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Payment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<sst xmlns="http://schemas.openxmlformats.org/spreadsheetml/2006/main" count="109" uniqueCount="67">
  <si>
    <t>Comparison of Black Start Schedule 6A Payments with RPM Payments</t>
  </si>
  <si>
    <t>Assumptions</t>
  </si>
  <si>
    <t>MW</t>
  </si>
  <si>
    <t xml:space="preserve">Refurbishment Cost   </t>
  </si>
  <si>
    <t>CRF Table</t>
  </si>
  <si>
    <t>Years Remaining</t>
  </si>
  <si>
    <t xml:space="preserve">        Age of Unit</t>
  </si>
  <si>
    <t>Levelized CRF</t>
  </si>
  <si>
    <t>Hydro</t>
  </si>
  <si>
    <t>No</t>
  </si>
  <si>
    <t>Calculations</t>
  </si>
  <si>
    <t>CONE</t>
  </si>
  <si>
    <t>Installed Capacity</t>
  </si>
  <si>
    <t>(for area where Black Start unit is Located)</t>
  </si>
  <si>
    <t>=</t>
  </si>
  <si>
    <t>Annual Fixed Black Start Service Cost</t>
  </si>
  <si>
    <t>Variable Black Start Service Cost</t>
  </si>
  <si>
    <t>Black Start Unit O&amp;M * Y</t>
  </si>
  <si>
    <t>Annual O&amp;M</t>
  </si>
  <si>
    <t>(Annual Variable O&amp;M outlined in Manual 15)</t>
  </si>
  <si>
    <t>(For Estimation Purposes Only)</t>
  </si>
  <si>
    <t>50 staff hours/year/plant * $75/hour</t>
  </si>
  <si>
    <t>Annual Training Costs</t>
  </si>
  <si>
    <t>Annual Fuel Storage Costs</t>
  </si>
  <si>
    <t>Fuel Source</t>
  </si>
  <si>
    <t>Oil</t>
  </si>
  <si>
    <t>{MTSL + [(# Run Hours) * ( Fuel Burn Rate)]} * ( 12 Month Forward Strip + Basis) * ( Bond Rate)</t>
  </si>
  <si>
    <t>(estimated)</t>
  </si>
  <si>
    <t>Annual Black Start Service Revenue</t>
  </si>
  <si>
    <t>RPM Clearing Price</t>
  </si>
  <si>
    <t>{(Fixed BSSC) + (Variable BSSC) + (Training Costs) + (Fuel Storage Costs)} * (1 + Z)</t>
  </si>
  <si>
    <t>Annual Black Start Service Revenue (No refurbishment)</t>
  </si>
  <si>
    <t>Annual Black Start Service Revenue (With refurbishment)</t>
  </si>
  <si>
    <t>Black Start Capital Cost * CRF</t>
  </si>
  <si>
    <t>Unit Age</t>
  </si>
  <si>
    <t>years</t>
  </si>
  <si>
    <t>16+</t>
  </si>
  <si>
    <t>EFORd</t>
  </si>
  <si>
    <t>per MW day</t>
  </si>
  <si>
    <t>Total Capital Recovery</t>
  </si>
  <si>
    <t>CONE * 365 * Black Start Unit Capacity * X</t>
  </si>
  <si>
    <t>Annual Revenue</t>
  </si>
  <si>
    <t>Black Start Service</t>
  </si>
  <si>
    <t>Annual Revenues</t>
  </si>
  <si>
    <t xml:space="preserve">Estimated RPM </t>
  </si>
  <si>
    <t>Black Start CRF</t>
  </si>
  <si>
    <t>Refurbishment Cost ($)</t>
  </si>
  <si>
    <t>ACR Rate</t>
  </si>
  <si>
    <t xml:space="preserve">Estimated ACR </t>
  </si>
  <si>
    <t>RPM Payment =</t>
  </si>
  <si>
    <t>Black Start Payment =</t>
  </si>
  <si>
    <t>Offer into RPM</t>
  </si>
  <si>
    <t>Yes</t>
  </si>
  <si>
    <t>Proposal B</t>
  </si>
  <si>
    <t>Original Proposal A</t>
  </si>
  <si>
    <t>{(Fixed BSSC) + (Variable BSSC) + (Training Costs) + (Fuel Storage Costs)} * (1 )</t>
  </si>
  <si>
    <t>Fixed Black Start Service Cost * Years Remaining * 1</t>
  </si>
  <si>
    <t>Compromise Proposal A1</t>
  </si>
  <si>
    <t>ALR Unit</t>
  </si>
  <si>
    <t xml:space="preserve"> the formula is revised to:</t>
  </si>
  <si>
    <t>(Training Costs)  * (1 + Z)</t>
  </si>
  <si>
    <t>* For units that have the demonstrated ability to operate at reduced levels when automatically disconnected from the grid,</t>
  </si>
  <si>
    <t>Annual Black Start Service Revenue*</t>
  </si>
  <si>
    <t>(Max of Sch 6A CRF + ACR or RPM)</t>
  </si>
  <si>
    <t>(Max of Sch 6A CRF or RPM)</t>
  </si>
  <si>
    <t>(Sch 6A CRF +RPM)</t>
  </si>
  <si>
    <t>(Includes Formula Rate if RPM is Greater)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</si>
</sst>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  <numFmt numFmtId="169" formatCode="&quot;$&quot;#,##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68" fontId="0" fillId="0" borderId="0" xfId="0" applyNumberFormat="1" applyAlignment="1">
      <alignment/>
    </xf>
    <xf numFmtId="168" fontId="38" fillId="0" borderId="0" xfId="0" applyNumberFormat="1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right"/>
    </xf>
    <xf numFmtId="166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8" fillId="0" borderId="0" xfId="0" applyNumberFormat="1" applyFont="1" applyAlignment="1">
      <alignment/>
    </xf>
    <xf numFmtId="0" fontId="0" fillId="0" borderId="14" xfId="0" applyBorder="1" applyAlignment="1" quotePrefix="1">
      <alignment horizontal="right"/>
    </xf>
    <xf numFmtId="10" fontId="38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168" fontId="40" fillId="0" borderId="0" xfId="0" applyNumberFormat="1" applyFont="1" applyAlignment="1">
      <alignment horizontal="center"/>
    </xf>
    <xf numFmtId="168" fontId="41" fillId="0" borderId="0" xfId="0" applyNumberFormat="1" applyFont="1" applyAlignment="1">
      <alignment/>
    </xf>
    <xf numFmtId="168" fontId="4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0" fontId="38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6" width="20.7109375" style="0" customWidth="1"/>
  </cols>
  <sheetData>
    <row r="1" ht="21">
      <c r="A1" s="2" t="s">
        <v>0</v>
      </c>
    </row>
    <row r="2" ht="12.75">
      <c r="A2" s="1" t="s">
        <v>20</v>
      </c>
    </row>
    <row r="4" ht="15">
      <c r="A4" s="3" t="s">
        <v>1</v>
      </c>
    </row>
    <row r="5" spans="1:3" ht="12.75">
      <c r="A5" t="s">
        <v>12</v>
      </c>
      <c r="B5" s="4">
        <v>20</v>
      </c>
      <c r="C5" t="s">
        <v>2</v>
      </c>
    </row>
    <row r="6" spans="1:2" ht="12.75">
      <c r="A6" t="s">
        <v>8</v>
      </c>
      <c r="B6" s="8" t="s">
        <v>9</v>
      </c>
    </row>
    <row r="7" spans="1:2" ht="12.75">
      <c r="A7" t="s">
        <v>24</v>
      </c>
      <c r="B7" s="8" t="s">
        <v>25</v>
      </c>
    </row>
    <row r="8" spans="1:3" ht="12.75">
      <c r="A8" t="s">
        <v>11</v>
      </c>
      <c r="B8" s="9">
        <v>160.76</v>
      </c>
      <c r="C8" t="s">
        <v>13</v>
      </c>
    </row>
    <row r="9" spans="1:3" ht="12.75">
      <c r="A9" t="s">
        <v>18</v>
      </c>
      <c r="B9" s="6">
        <v>60000</v>
      </c>
      <c r="C9" t="s">
        <v>19</v>
      </c>
    </row>
    <row r="10" spans="1:2" ht="12.75">
      <c r="A10" t="s">
        <v>3</v>
      </c>
      <c r="B10" s="6">
        <v>2000000</v>
      </c>
    </row>
    <row r="11" spans="1:3" ht="12.75">
      <c r="A11" t="s">
        <v>34</v>
      </c>
      <c r="B11" s="22">
        <v>25</v>
      </c>
      <c r="C11" t="s">
        <v>35</v>
      </c>
    </row>
    <row r="12" spans="1:3" ht="12.75">
      <c r="A12" t="s">
        <v>29</v>
      </c>
      <c r="B12" s="9">
        <v>110</v>
      </c>
      <c r="C12" t="s">
        <v>38</v>
      </c>
    </row>
    <row r="13" spans="1:2" ht="12.75">
      <c r="A13" t="s">
        <v>37</v>
      </c>
      <c r="B13" s="24">
        <v>0.05</v>
      </c>
    </row>
    <row r="14" spans="1:3" ht="12.75">
      <c r="A14" t="s">
        <v>47</v>
      </c>
      <c r="B14" s="9">
        <v>27.98</v>
      </c>
      <c r="C14" t="s">
        <v>38</v>
      </c>
    </row>
    <row r="15" spans="1:2" ht="12.75">
      <c r="A15" t="s">
        <v>51</v>
      </c>
      <c r="B15" s="32" t="s">
        <v>52</v>
      </c>
    </row>
    <row r="16" spans="1:2" ht="12.75">
      <c r="A16" t="s">
        <v>58</v>
      </c>
      <c r="B16" s="32" t="s">
        <v>9</v>
      </c>
    </row>
    <row r="19" spans="3:4" ht="15">
      <c r="C19" s="33" t="s">
        <v>46</v>
      </c>
      <c r="D19" s="33"/>
    </row>
    <row r="20" spans="3:4" ht="15">
      <c r="C20" s="35">
        <f>B10</f>
        <v>2000000</v>
      </c>
      <c r="D20" s="35"/>
    </row>
    <row r="22" spans="2:7" s="25" customFormat="1" ht="15">
      <c r="B22" s="26" t="s">
        <v>42</v>
      </c>
      <c r="C22" s="26" t="s">
        <v>45</v>
      </c>
      <c r="D22" s="26" t="s">
        <v>44</v>
      </c>
      <c r="E22" s="26" t="s">
        <v>48</v>
      </c>
      <c r="F22" s="26"/>
      <c r="G22" s="27"/>
    </row>
    <row r="23" spans="2:7" s="25" customFormat="1" ht="15">
      <c r="B23" s="26" t="s">
        <v>41</v>
      </c>
      <c r="C23" s="26" t="s">
        <v>41</v>
      </c>
      <c r="D23" s="26" t="s">
        <v>43</v>
      </c>
      <c r="E23" s="26" t="s">
        <v>43</v>
      </c>
      <c r="F23" s="28"/>
      <c r="G23" s="29"/>
    </row>
    <row r="25" spans="2:6" s="25" customFormat="1" ht="15">
      <c r="B25" s="30">
        <f>Calculations!C17</f>
        <v>38454.67455670103</v>
      </c>
      <c r="C25" s="30">
        <f>IF(OR(B16="No",B16="no"),Calculations!O17,0)</f>
        <v>737487.8350515463</v>
      </c>
      <c r="D25" s="30">
        <f>IF(B15="yes",(1-B13)*B5*B12*365,0)</f>
        <v>762850</v>
      </c>
      <c r="E25" s="30">
        <f>IF(OR(B16="No",B16="no"),(1-B13)*B5*B14*365,0)</f>
        <v>194041.3</v>
      </c>
      <c r="F25" s="30"/>
    </row>
    <row r="29" spans="1:6" ht="15">
      <c r="A29" s="33" t="s">
        <v>54</v>
      </c>
      <c r="B29" s="33"/>
      <c r="C29" s="33" t="s">
        <v>57</v>
      </c>
      <c r="D29" s="33"/>
      <c r="E29" s="33" t="s">
        <v>53</v>
      </c>
      <c r="F29" s="33"/>
    </row>
    <row r="30" spans="1:6" ht="15">
      <c r="A30" s="33" t="s">
        <v>41</v>
      </c>
      <c r="B30" s="33"/>
      <c r="C30" s="33" t="s">
        <v>41</v>
      </c>
      <c r="D30" s="33"/>
      <c r="E30" s="33" t="s">
        <v>41</v>
      </c>
      <c r="F30" s="33"/>
    </row>
    <row r="31" spans="1:6" ht="13.5">
      <c r="A31" s="34" t="s">
        <v>64</v>
      </c>
      <c r="B31" s="34"/>
      <c r="C31" s="34" t="s">
        <v>63</v>
      </c>
      <c r="D31" s="34"/>
      <c r="E31" s="34" t="s">
        <v>65</v>
      </c>
      <c r="F31" s="34"/>
    </row>
    <row r="32" spans="3:4" ht="12.75">
      <c r="C32" s="37" t="s">
        <v>66</v>
      </c>
      <c r="D32" s="37"/>
    </row>
    <row r="33" spans="1:6" ht="15">
      <c r="A33" s="35">
        <f>IF(OR(B16="No",B16="no"),MAX(C25:D25),D25+B25)</f>
        <v>762850</v>
      </c>
      <c r="B33" s="36"/>
      <c r="C33" s="35">
        <f>IF(OR(B16="No",B16="no"),IF(D25&gt;=C25+E25,D25+B25,C25+E25),D25+B25)</f>
        <v>931529.1350515464</v>
      </c>
      <c r="D33" s="35"/>
      <c r="E33" s="35">
        <f>IF(OR(B16="No",B16="no"),C25+D25,D25+B25)</f>
        <v>1500337.8350515463</v>
      </c>
      <c r="F33" s="36"/>
    </row>
    <row r="35" spans="1:6" ht="12.75">
      <c r="A35" t="s">
        <v>49</v>
      </c>
      <c r="B35" s="31">
        <f>D25</f>
        <v>762850</v>
      </c>
      <c r="C35" t="s">
        <v>49</v>
      </c>
      <c r="D35" s="31">
        <f>D25</f>
        <v>762850</v>
      </c>
      <c r="E35" t="s">
        <v>49</v>
      </c>
      <c r="F35" s="31">
        <f>D25</f>
        <v>762850</v>
      </c>
    </row>
    <row r="36" spans="1:6" ht="12.75">
      <c r="A36" t="s">
        <v>50</v>
      </c>
      <c r="B36" s="31">
        <f>IF(OR(B16="No",B16="no"),A33-B35,B25)</f>
        <v>0</v>
      </c>
      <c r="C36" t="s">
        <v>50</v>
      </c>
      <c r="D36" s="31">
        <f>IF(OR(B16="No",B16="no"),C33-D35,B25)</f>
        <v>168679.1350515464</v>
      </c>
      <c r="E36" t="s">
        <v>50</v>
      </c>
      <c r="F36" s="31">
        <f>IF(OR(B16="No",B16="no"),C25,B25)</f>
        <v>737487.8350515463</v>
      </c>
    </row>
  </sheetData>
  <sheetProtection/>
  <mergeCells count="15">
    <mergeCell ref="A31:B31"/>
    <mergeCell ref="A33:B33"/>
    <mergeCell ref="A29:B29"/>
    <mergeCell ref="A30:B30"/>
    <mergeCell ref="C19:D19"/>
    <mergeCell ref="C20:D20"/>
    <mergeCell ref="E29:F29"/>
    <mergeCell ref="E30:F30"/>
    <mergeCell ref="E31:F31"/>
    <mergeCell ref="E33:F33"/>
    <mergeCell ref="C29:D29"/>
    <mergeCell ref="C33:D33"/>
    <mergeCell ref="C30:D30"/>
    <mergeCell ref="C31:D31"/>
    <mergeCell ref="C32:D32"/>
  </mergeCells>
  <printOptions/>
  <pageMargins left="0.4" right="0.4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7.7109375" style="0" customWidth="1"/>
    <col min="3" max="3" width="10.7109375" style="0" customWidth="1"/>
    <col min="4" max="4" width="10.00390625" style="0" customWidth="1"/>
    <col min="12" max="12" width="8.57421875" style="0" customWidth="1"/>
    <col min="13" max="13" width="16.7109375" style="0" customWidth="1"/>
    <col min="14" max="14" width="8.140625" style="0" customWidth="1"/>
    <col min="15" max="15" width="9.421875" style="0" customWidth="1"/>
  </cols>
  <sheetData>
    <row r="1" ht="15">
      <c r="A1" s="3" t="s">
        <v>10</v>
      </c>
    </row>
    <row r="2" ht="15">
      <c r="A2" s="3"/>
    </row>
    <row r="3" spans="1:13" ht="12.75">
      <c r="A3" s="1" t="s">
        <v>31</v>
      </c>
      <c r="M3" s="1" t="s">
        <v>32</v>
      </c>
    </row>
    <row r="4" spans="1:15" ht="26.25">
      <c r="A4" s="7" t="s">
        <v>15</v>
      </c>
      <c r="B4" t="s">
        <v>14</v>
      </c>
      <c r="C4" t="s">
        <v>40</v>
      </c>
      <c r="M4" s="7" t="s">
        <v>15</v>
      </c>
      <c r="N4" t="s">
        <v>14</v>
      </c>
      <c r="O4" t="s">
        <v>33</v>
      </c>
    </row>
    <row r="5" spans="2:15" ht="12.75">
      <c r="B5" t="s">
        <v>14</v>
      </c>
      <c r="C5" s="5">
        <f>IF(OR(Payments!B16="No",Payments!B16="no"),IF(OR(Payments!B6="Yes",Payments!B6="yes"),Payments!B8*365*Payments!B5*0.01,Payments!B8*365*Payments!B5*0.02),0)</f>
        <v>23470.96</v>
      </c>
      <c r="N5" t="s">
        <v>14</v>
      </c>
      <c r="O5" s="5">
        <f>IF(OR(Payments!B16="No",Payments!B16="no"),Payments!B10*VLOOKUP(Payments!B11,M26:P29,4),0)</f>
        <v>726000</v>
      </c>
    </row>
    <row r="7" spans="1:15" ht="26.25">
      <c r="A7" s="7" t="s">
        <v>16</v>
      </c>
      <c r="B7" t="s">
        <v>14</v>
      </c>
      <c r="C7" t="s">
        <v>17</v>
      </c>
      <c r="M7" s="7" t="s">
        <v>16</v>
      </c>
      <c r="N7" t="s">
        <v>14</v>
      </c>
      <c r="O7" t="s">
        <v>17</v>
      </c>
    </row>
    <row r="8" spans="2:15" ht="12.75">
      <c r="B8" t="s">
        <v>14</v>
      </c>
      <c r="C8" s="5">
        <f>IF(OR(Payments!B16="No",Payments!B16="no"),Payments!B9*0.01,0)</f>
        <v>600</v>
      </c>
      <c r="N8" t="s">
        <v>14</v>
      </c>
      <c r="O8" s="5">
        <f>IF(OR(Payments!B16="No",Payments!B16="no"),Payments!B9*0.01,0)</f>
        <v>600</v>
      </c>
    </row>
    <row r="10" spans="1:15" ht="26.25">
      <c r="A10" s="7" t="s">
        <v>22</v>
      </c>
      <c r="B10" t="s">
        <v>14</v>
      </c>
      <c r="C10" t="s">
        <v>21</v>
      </c>
      <c r="M10" s="7" t="s">
        <v>22</v>
      </c>
      <c r="N10" t="s">
        <v>14</v>
      </c>
      <c r="O10" t="s">
        <v>21</v>
      </c>
    </row>
    <row r="11" spans="2:15" ht="12.75">
      <c r="B11" t="s">
        <v>14</v>
      </c>
      <c r="C11" s="5">
        <f>50*75</f>
        <v>3750</v>
      </c>
      <c r="N11" t="s">
        <v>14</v>
      </c>
      <c r="O11" s="5">
        <f>50*75</f>
        <v>3750</v>
      </c>
    </row>
    <row r="13" spans="1:15" ht="26.25">
      <c r="A13" s="7" t="s">
        <v>23</v>
      </c>
      <c r="B13" t="s">
        <v>14</v>
      </c>
      <c r="C13" t="s">
        <v>26</v>
      </c>
      <c r="M13" s="7" t="s">
        <v>23</v>
      </c>
      <c r="N13" t="s">
        <v>14</v>
      </c>
      <c r="O13" t="s">
        <v>26</v>
      </c>
    </row>
    <row r="14" spans="1:15" ht="12.75">
      <c r="A14" t="s">
        <v>27</v>
      </c>
      <c r="B14" t="s">
        <v>14</v>
      </c>
      <c r="C14" s="5">
        <f>IF(OR(Payments!B16="No",Payments!B16="No"),IF(Payments!B7="Oil",(1000+16*(Payments!B5*1000*14000/135800))*3.5*0.06,0),0)</f>
        <v>7137.835051546392</v>
      </c>
      <c r="M14" t="s">
        <v>27</v>
      </c>
      <c r="N14" t="s">
        <v>14</v>
      </c>
      <c r="O14" s="5">
        <f>IF(OR(Payments!B16="No",Payments!B16="No"),IF(Payments!B7="Oil",(1000+16*(Payments!B5*1000*14000/135800))*3.5*0.06,0),0)</f>
        <v>7137.835051546392</v>
      </c>
    </row>
    <row r="16" spans="1:15" ht="26.25">
      <c r="A16" s="7" t="s">
        <v>62</v>
      </c>
      <c r="B16" t="s">
        <v>14</v>
      </c>
      <c r="C16" t="s">
        <v>30</v>
      </c>
      <c r="M16" s="7" t="s">
        <v>62</v>
      </c>
      <c r="N16" t="s">
        <v>14</v>
      </c>
      <c r="O16" t="s">
        <v>55</v>
      </c>
    </row>
    <row r="17" spans="2:15" ht="12.75">
      <c r="B17" t="s">
        <v>14</v>
      </c>
      <c r="C17" s="5">
        <f>(C5+C8+C11+C14)*(1+0.1)</f>
        <v>38454.67455670103</v>
      </c>
      <c r="N17" t="s">
        <v>14</v>
      </c>
      <c r="O17" s="5">
        <f>IF(OR(Payments!B16="No",Payments!B16="no"),(O5+O8+O11+O14)*(1),O11*1.1)</f>
        <v>737487.8350515463</v>
      </c>
    </row>
    <row r="20" spans="13:15" ht="26.25">
      <c r="M20" s="7" t="s">
        <v>39</v>
      </c>
      <c r="N20" t="s">
        <v>14</v>
      </c>
      <c r="O20" t="s">
        <v>56</v>
      </c>
    </row>
    <row r="21" spans="14:16" ht="12.75">
      <c r="N21" t="s">
        <v>14</v>
      </c>
      <c r="O21" s="38">
        <f>O5*VLOOKUP(Payments!B11,Calculations!M26:P29,3)*1</f>
        <v>3630000</v>
      </c>
      <c r="P21" s="38"/>
    </row>
    <row r="23" ht="12.75">
      <c r="A23" t="s">
        <v>61</v>
      </c>
    </row>
    <row r="24" spans="1:16" ht="15">
      <c r="A24" t="s">
        <v>59</v>
      </c>
      <c r="M24" s="11" t="s">
        <v>4</v>
      </c>
      <c r="N24" s="12"/>
      <c r="O24" s="12"/>
      <c r="P24" s="15"/>
    </row>
    <row r="25" spans="1:16" ht="39">
      <c r="A25" s="7" t="s">
        <v>28</v>
      </c>
      <c r="B25" t="s">
        <v>14</v>
      </c>
      <c r="C25" t="s">
        <v>60</v>
      </c>
      <c r="M25" s="18" t="s">
        <v>6</v>
      </c>
      <c r="N25" s="19"/>
      <c r="O25" s="20" t="s">
        <v>5</v>
      </c>
      <c r="P25" s="21" t="s">
        <v>7</v>
      </c>
    </row>
    <row r="26" spans="13:16" ht="12.75">
      <c r="M26" s="10">
        <v>1</v>
      </c>
      <c r="N26">
        <v>5</v>
      </c>
      <c r="O26">
        <v>20</v>
      </c>
      <c r="P26" s="16">
        <v>0.125</v>
      </c>
    </row>
    <row r="27" spans="13:16" ht="12.75">
      <c r="M27" s="10">
        <v>6</v>
      </c>
      <c r="N27">
        <v>10</v>
      </c>
      <c r="O27">
        <v>15</v>
      </c>
      <c r="P27" s="16">
        <v>0.146</v>
      </c>
    </row>
    <row r="28" spans="13:16" ht="12.75">
      <c r="M28" s="10">
        <v>11</v>
      </c>
      <c r="N28">
        <v>15</v>
      </c>
      <c r="O28">
        <v>10</v>
      </c>
      <c r="P28" s="16">
        <v>0.198</v>
      </c>
    </row>
    <row r="29" spans="13:16" ht="12.75">
      <c r="M29" s="13">
        <v>16</v>
      </c>
      <c r="N29" s="23" t="s">
        <v>36</v>
      </c>
      <c r="O29" s="14">
        <v>5</v>
      </c>
      <c r="P29" s="17">
        <v>0.363</v>
      </c>
    </row>
  </sheetData>
  <sheetProtection/>
  <mergeCells count="1">
    <mergeCell ref="O21:P21"/>
  </mergeCells>
  <printOptions/>
  <pageMargins left="0.2" right="0.2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Pitts, Martelle</cp:lastModifiedBy>
  <cp:lastPrinted>2011-06-07T19:32:10Z</cp:lastPrinted>
  <dcterms:created xsi:type="dcterms:W3CDTF">2011-05-03T12:59:23Z</dcterms:created>
  <dcterms:modified xsi:type="dcterms:W3CDTF">2018-09-19T20:39:33Z</dcterms:modified>
  <cp:category/>
  <cp:version/>
  <cp:contentType/>
  <cp:contentStatus/>
</cp:coreProperties>
</file>