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300" windowWidth="12240" windowHeight="9060" activeTab="0"/>
  </bookViews>
  <sheets>
    <sheet name="UCAP Oblig-ZCP" sheetId="1" r:id="rId1"/>
    <sheet name="Summary" sheetId="2" r:id="rId2"/>
    <sheet name="CP TIA Load Pricing Results" sheetId="3" r:id="rId3"/>
    <sheet name="BRA Resource Clearing Results" sheetId="4" r:id="rId4"/>
    <sheet name="BRA Load Pricing Results" sheetId="5" r:id="rId5"/>
    <sheet name="BRA CTRs" sheetId="6" r:id="rId6"/>
    <sheet name="BRA ICTRs" sheetId="7" r:id="rId7"/>
    <sheet name="1stIA Resource Clearing Results" sheetId="8" r:id="rId8"/>
    <sheet name="1st IA Load Pricing Results" sheetId="9" r:id="rId9"/>
    <sheet name="1st IA CTRs" sheetId="10" r:id="rId10"/>
    <sheet name="1st IA ICTRs" sheetId="11" r:id="rId11"/>
    <sheet name="2ndIA Resource Clearing Results" sheetId="12" r:id="rId12"/>
    <sheet name="2nd IA Load Pricing Results" sheetId="13" r:id="rId13"/>
    <sheet name="2nd IA CTRs" sheetId="14" r:id="rId14"/>
    <sheet name="2nd IA ICTRs" sheetId="15" r:id="rId15"/>
  </sheets>
  <definedNames>
    <definedName name="_xlnm.Print_Area" localSheetId="9">'1st IA CTRs'!$A$1:$AB$45</definedName>
    <definedName name="_xlnm.Print_Area" localSheetId="10">'1st IA ICTRs'!$A$1:$Z$101</definedName>
    <definedName name="_xlnm.Print_Area" localSheetId="8">'1st IA Load Pricing Results'!$A$1:$M$65</definedName>
    <definedName name="_xlnm.Print_Area" localSheetId="7">'1stIA Resource Clearing Results'!$A$1:$Y$95</definedName>
    <definedName name="_xlnm.Print_Area" localSheetId="13">'2nd IA CTRs'!$A$1:$AB$41</definedName>
    <definedName name="_xlnm.Print_Area" localSheetId="12">'2nd IA Load Pricing Results'!$A$1:$M$65</definedName>
    <definedName name="_xlnm.Print_Area" localSheetId="11">'2ndIA Resource Clearing Results'!$A$1:$Y$77</definedName>
    <definedName name="_xlnm.Print_Area" localSheetId="5">'BRA CTRs'!$A$1:$AB$41</definedName>
    <definedName name="_xlnm.Print_Area" localSheetId="6">'BRA ICTRs'!$A$1:$T$102</definedName>
    <definedName name="_xlnm.Print_Area" localSheetId="4">'BRA Load Pricing Results'!$A$1:$M$60</definedName>
    <definedName name="_xlnm.Print_Area" localSheetId="3">'BRA Resource Clearing Results'!$A$2:$J$107</definedName>
    <definedName name="_xlnm.Print_Area" localSheetId="2">'CP TIA Load Pricing Results'!$A$1:$G$27</definedName>
    <definedName name="_xlnm.Print_Area" localSheetId="1">'Summary'!$A$1:$N$97</definedName>
    <definedName name="_xlnm.Print_Area" localSheetId="0">'UCAP Oblig-ZCP'!$N$4:$T$26</definedName>
  </definedNames>
  <calcPr fullCalcOnLoad="1"/>
</workbook>
</file>

<file path=xl/sharedStrings.xml><?xml version="1.0" encoding="utf-8"?>
<sst xmlns="http://schemas.openxmlformats.org/spreadsheetml/2006/main" count="2565" uniqueCount="385">
  <si>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</si>
  <si>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</si>
  <si>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</si>
  <si>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</si>
  <si>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</si>
  <si>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</si>
  <si>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</si>
  <si>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</si>
  <si>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</si>
  <si>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</si>
  <si>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</si>
  <si>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</si>
  <si>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</si>
  <si>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</si>
  <si>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</si>
  <si>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</si>
  <si>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</si>
  <si>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</si>
  <si>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</si>
  <si>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</si>
  <si>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</si>
  <si>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</si>
  <si>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</si>
  <si>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</si>
  <si>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</si>
  <si>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</si>
  <si>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</si>
  <si>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</si>
  <si>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</si>
  <si>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</si>
  <si>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Short-Term Resource Procurement Target [MW]</t>
  </si>
  <si>
    <t>AEP</t>
  </si>
  <si>
    <t>DOM</t>
  </si>
  <si>
    <t xml:space="preserve">  </t>
  </si>
  <si>
    <t>LDA3</t>
  </si>
  <si>
    <t>Preliminary Zonal Capacity Price           [$/MW-day]</t>
  </si>
  <si>
    <t>RTO Reliability Requirement [MW]</t>
  </si>
  <si>
    <t>Short-Term Resource Target [%]</t>
  </si>
  <si>
    <t>Short-Term Resource Target [MW]</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</si>
  <si>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</si>
  <si>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</si>
  <si>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</si>
  <si>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</si>
  <si>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</si>
  <si>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</si>
  <si>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</si>
  <si>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</si>
  <si>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</si>
  <si>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</si>
  <si>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</si>
  <si>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</si>
  <si>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</si>
  <si>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</si>
  <si>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</si>
  <si>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</si>
  <si>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AEP **</t>
  </si>
  <si>
    <t>Base Zonal CTR Credit Rate [$/MW UCAP Obligation per Day]</t>
  </si>
  <si>
    <t>Annual Resource Clearing Price [$/MW-day]</t>
  </si>
  <si>
    <t>Annual Resources Cleared [MW]</t>
  </si>
  <si>
    <t>Limited Resource Clearing Price [$/MW-day]</t>
  </si>
  <si>
    <t>Extended Summer Resources Cleared [MW]</t>
  </si>
  <si>
    <t>Total Resources Cleared        [MW]</t>
  </si>
  <si>
    <t>DEOK **</t>
  </si>
  <si>
    <t>DEOK</t>
  </si>
  <si>
    <t>Total Resource Credits [$/day]</t>
  </si>
  <si>
    <t>Resource Credits</t>
  </si>
  <si>
    <t>Resource Clearing Prices</t>
  </si>
  <si>
    <t>Cleared &amp; Make-Whole MWs</t>
  </si>
  <si>
    <t>Sub-Zone/Zone</t>
  </si>
  <si>
    <t>LDA Base UCAP Obligation [MW]</t>
  </si>
  <si>
    <t>Make-whole Credits for Extended Summer Resources [$/day]</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</si>
  <si>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</si>
  <si>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</si>
  <si>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</si>
  <si>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</si>
  <si>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</si>
  <si>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</si>
  <si>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</si>
  <si>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</si>
  <si>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</si>
  <si>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</si>
  <si>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</si>
  <si>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</si>
  <si>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</si>
  <si>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</si>
  <si>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</si>
  <si>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</si>
  <si>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</si>
  <si>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</si>
  <si>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</si>
  <si>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</si>
  <si>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</si>
  <si>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 xml:space="preserve">The load charges for Base Zonal UCAP Obligations at the Preliminary Zonal Capacity Prices exceed the sum of Resource Credits, Make-Whole Payments, QTU Credits and CTR/ICTR Credits as the Base Zonal UCAP Obligations include uncleared Short-Term Resource Procurement Target with no Resource Credits.  </t>
  </si>
  <si>
    <t>Cleared Capacity     [MW]</t>
  </si>
  <si>
    <t>CTRs Allocated to LSEs           [MW]</t>
  </si>
  <si>
    <t>CTRs Allocated to LSEs                 [MW]</t>
  </si>
  <si>
    <t>CTRs Allocated to LSEs        [MW]</t>
  </si>
  <si>
    <t>CTRs Allocated to LSEs            [MW]</t>
  </si>
  <si>
    <t>Extended Summer Resources Make-whole [MW]</t>
  </si>
  <si>
    <t>Annual Resources Make-whole [MW]</t>
  </si>
  <si>
    <t>Total Make-whole [MW]</t>
  </si>
  <si>
    <t>Extended Summer Resource Make-whole [MW]</t>
  </si>
  <si>
    <t>Preliminary CTRs Allocated = Max of the LDA CTRs Allocated to LSEs [MW]</t>
  </si>
  <si>
    <t>Preliminary Zonal CTR Settlement Rate [$/MW CTR per day]</t>
  </si>
  <si>
    <t>ICTRs for Customer-Funded Upgrades [MW]</t>
  </si>
  <si>
    <t>Total ICTRs into Sink LDA [MW]</t>
  </si>
  <si>
    <t>Allocation of LSE CTRs, Economic Value of LSE CTRs, Zonal CTR Credit Rates, &amp; Zonal CTR Settlement Rates</t>
  </si>
  <si>
    <t>Economic Value of LSE CTRs [$/day]</t>
  </si>
  <si>
    <t>Total Preliminary Economic Value of LSE CTRs [$/day]</t>
  </si>
  <si>
    <t>LDA Capacity Price [$/MW-day]</t>
  </si>
  <si>
    <t>*Locational Price Adder with respect to RTO</t>
  </si>
  <si>
    <t>Resource Credits for Limited Resources [$/day]</t>
  </si>
  <si>
    <t>Resource Credits for Extended Summer Resources [$/day]</t>
  </si>
  <si>
    <t>Resource Credits for Annual Resources [$/day]</t>
  </si>
  <si>
    <t>Limited Resources Cleared [MW]</t>
  </si>
  <si>
    <t>Limited Resources Make-whole [MW]</t>
  </si>
  <si>
    <t>QTU Clearing Price **      [$/MW-Day]</t>
  </si>
  <si>
    <t>** Locational Price Adder with respect to the immediate higher level LDA.</t>
  </si>
  <si>
    <t>Total CTRs * [MW]</t>
  </si>
  <si>
    <t>* CTRs are reduced to allow for certain grandfathered congestion credits.</t>
  </si>
  <si>
    <t>b0457: Dooms-Lexington circuit wave traps (effective 2012/2013)</t>
  </si>
  <si>
    <t>b0559: Capacitor at Meadow Brook substation (effective 2012/2013</t>
  </si>
  <si>
    <t>b0497: Install Second Conastone-Graceton 230 kV circuit; Replace Conastone 230 kV breaker 2323/2302 (effective 2014/2015)</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</si>
  <si>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</si>
  <si>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</si>
  <si>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</si>
  <si>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</si>
  <si>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East Coast Power (ECP)</t>
  </si>
  <si>
    <t>Hudson Transmission Partners (HTP)</t>
  </si>
  <si>
    <t>Incremental Rights-Eligible Required Transmission Enhancements</t>
  </si>
  <si>
    <t>Regional Facilities and Necessary Lower Voltage Facilities</t>
  </si>
  <si>
    <t>ICTRs [MW] for Regional Facilities and Necessary Lower Voltage Facilities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</si>
  <si>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</si>
  <si>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</si>
  <si>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</si>
  <si>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</si>
  <si>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</si>
  <si>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Regional Facilities and Necessary Lower Voltage Facilities [MW]</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</si>
  <si>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</si>
  <si>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</si>
  <si>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</si>
  <si>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</si>
  <si>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</si>
  <si>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</si>
  <si>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</si>
  <si>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</si>
  <si>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</si>
  <si>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</si>
  <si>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</si>
  <si>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Base Residual Auction</t>
  </si>
  <si>
    <t>Zonal UCAP Obligations, Zonal Capacity Prices, &amp; Zonal CTR Credit Rates</t>
  </si>
  <si>
    <t>Base Zonal CTR Credit Rate ($/MW-UCAP Obligation-day)</t>
  </si>
  <si>
    <t>** Obligation affected by FRR quantities.</t>
  </si>
  <si>
    <t>Base Zonal UCAP Obligation      (MW)</t>
  </si>
  <si>
    <t>Preliminary Zonal Capacity Price          ($/MW-day)</t>
  </si>
  <si>
    <t>b1304.1, b1304.2, b1304.3, b1304.4: Various upgrades in PS (effective 2015/2016)</t>
  </si>
  <si>
    <t>ATSI-CLEVELAND</t>
  </si>
  <si>
    <t>Rest of ATSI</t>
  </si>
  <si>
    <t>ATSI Equivalent</t>
  </si>
  <si>
    <t>EKPC **</t>
  </si>
  <si>
    <t>EKPC</t>
  </si>
  <si>
    <t>Y1-082:  Uprate bus equipment at Wye Mills 69 kV substation</t>
  </si>
  <si>
    <t>b1694: Rebuild Loudoun - Brambleton 500 kV (effective 2016/2017)</t>
  </si>
  <si>
    <t>Calculation of Zonal Capacity Prices for PS, DPL, and ATSI</t>
  </si>
  <si>
    <t>Additional Locational Price Adder with respect to Reference LDA [$/MW-day]</t>
  </si>
  <si>
    <t>Additional Make-whole Costs with respect to  Reference LDA [$/day]</t>
  </si>
  <si>
    <t>AEP ***</t>
  </si>
  <si>
    <t>DEOK ***</t>
  </si>
  <si>
    <t>EKPC ***</t>
  </si>
  <si>
    <t>*** Obligation affected by FRR quantities</t>
  </si>
  <si>
    <t>ADJUSTED</t>
  </si>
  <si>
    <t>Adjusted ICTR * [MW]</t>
  </si>
  <si>
    <t>No ICTRs for Regional Facilities/ Necessary Lower Voltage Facilities and no ICTRs for Lower Voltage Facilities.</t>
  </si>
  <si>
    <t>Annual Resource Make-whole [MW]</t>
  </si>
  <si>
    <t>Make-whole Credits for Limited Resources [$/day]</t>
  </si>
  <si>
    <t>NORTH</t>
  </si>
  <si>
    <t>WEST 1</t>
  </si>
  <si>
    <t>WEST 2</t>
  </si>
  <si>
    <t>SOUTH 1</t>
  </si>
  <si>
    <t>SOUTH 2</t>
  </si>
  <si>
    <t>NA</t>
  </si>
  <si>
    <t>2017/2018 DY BRA Load Pricing Results</t>
  </si>
  <si>
    <t>2017/2018 DY BRA CTRs</t>
  </si>
  <si>
    <t xml:space="preserve">2017/2018 DY BRA ICTRs </t>
  </si>
  <si>
    <t>Certified ICTR [MW]</t>
  </si>
  <si>
    <t xml:space="preserve">b1251.1, b1251: Re-build the existing and build a second Raphael-Bagley 230 kV </t>
  </si>
  <si>
    <t>Y3-082:  Upgrade Easton-Trappe Tap 69 kV circuit to 136/174 MVA SN/SE</t>
  </si>
  <si>
    <t>Lower Voltage Facility: b1251, b1251.1</t>
  </si>
  <si>
    <t>ICTRs for Lower Voltage Facility: b1251, b1251.1 [MW]</t>
  </si>
  <si>
    <t>2013 W/N Coincident Peak Load          [MW]</t>
  </si>
  <si>
    <t>COMED ***</t>
  </si>
  <si>
    <t>LDA/External Source Zone</t>
  </si>
  <si>
    <t>System Marginal Price [$/MW-day]</t>
  </si>
  <si>
    <t>Make-Whole MW &amp; Credits</t>
  </si>
  <si>
    <t>Qualifying Transmission Upgrade (QTU) MWs &amp; Credits</t>
  </si>
  <si>
    <t>QTU Import Capability Cleared into Sink LDA  [MW]</t>
  </si>
  <si>
    <t>System Marginal Price*
 [$/MW-day]</t>
  </si>
  <si>
    <t>Extended Summer Resource Clearing Price
 [$/MW-day]</t>
  </si>
  <si>
    <t>*System Marginal Price is the clearing price for Annual Resources in unconstrained area of RTO.</t>
  </si>
  <si>
    <t>** Locational Price Adder (positive number) is with respect to the immediate higher level LDA.  Locational Price Decrement (negative number) is with respect to the unconstrained area of RTO.</t>
  </si>
  <si>
    <t>Sub-Annual Resource Price Decrement in LDA
 [$/MW-day]</t>
  </si>
  <si>
    <t>Limited Resource Price Decrement in LDA [$/MW-day]</t>
  </si>
  <si>
    <t>Locational Price Adder (Decrement)**
  [$/MW-day]</t>
  </si>
  <si>
    <t>Limited Resource Make-whole  [MW]</t>
  </si>
  <si>
    <t>Make-whole Credits for Annual Resources [$/day]</t>
  </si>
  <si>
    <t>Additional Make-whole Adjustments due to NEPA [$/day)</t>
  </si>
  <si>
    <t>Total Make-Whole Credits [$/day]</t>
  </si>
  <si>
    <t>Locational Price Adder* applicable to LDA [$/MW-day]</t>
  </si>
  <si>
    <t>Preliminary Zonal Capacity Price
[$/MW-day]</t>
  </si>
  <si>
    <t>Adjustment due to Sub-Annual Resource Price Decrement in constrained LDA [$/day]</t>
  </si>
  <si>
    <t>Adjustment due to Limited Resource Price Decrement in constrained LDA [$/day]</t>
  </si>
  <si>
    <t>Adjustment due to Price Decrements for External Resources [$/day]</t>
  </si>
  <si>
    <t>Adjustment due to Price Decrements for External Resources [$/MW-day]</t>
  </si>
  <si>
    <t>Adjustment due to Make-Whole [$/MW-day]</t>
  </si>
  <si>
    <t>Adjustment due to Sub-Annual Resource Price Decrement in constrained LDA [$/MW-day]</t>
  </si>
  <si>
    <t>Adjustment due to Limited Resource Price Decrement in constrained LDA [$/MW-day]</t>
  </si>
  <si>
    <t>Additional Adjustment due to Sub-Annual  Resource Price Decrement with respect to Reference LDA [$/MW-day]</t>
  </si>
  <si>
    <t>Additional Adjustment due to Limited Resource Price Decrement with respect to Reference LDA [$/day]</t>
  </si>
  <si>
    <t>Additional Adjustment due to Limited Resource Price Decrement with respect to Reference LDA [$/MW-day]</t>
  </si>
  <si>
    <t>LDA Capacity Price</t>
  </si>
  <si>
    <t>Reference LDA** Capacity Price [MW]</t>
  </si>
  <si>
    <t>**Reference LDA is EMAAC LDA for PS and DPL zones and RTO for ATSI zone.</t>
  </si>
  <si>
    <t>A Weighted Locational Price Adder is used in the case of PS, DPL, or ATSI Equivalent.</t>
  </si>
  <si>
    <t>2017/2018 DY BRA Resource Clearing Results</t>
  </si>
  <si>
    <t>RTO ***</t>
  </si>
  <si>
    <t>*** RTO resources do not include resources modeled in External Source Zones.</t>
  </si>
  <si>
    <t xml:space="preserve">Note:  Cost Allocation Percentages are based on 2014 cost responsibility assignments from the tariff (from 1-1-14 update).  The cost allocation percentages may change during actual Delivery Year. </t>
  </si>
  <si>
    <t>Additional Adjustment due to Sub-Annual Resource Price Decrement with respect to Reference LDA [$/day]</t>
  </si>
  <si>
    <t>Additional Adjustment due to Make-whole with respect to Reference LDA
 [$/MW-day]</t>
  </si>
  <si>
    <t>Allocation of Required Transmission Enhancement ICTRs to Zone/Responsible Customer</t>
  </si>
  <si>
    <t>Lower Voltage Facilities</t>
  </si>
  <si>
    <t>Additional Auction Credits due to CP Transition IA ($/day)</t>
  </si>
  <si>
    <t>Adjusted Zonal Capacity Price with CP Transition IA Cost Component ($/MW-day)</t>
  </si>
  <si>
    <t xml:space="preserve">CP Transition IA Cost Component as of 9/9/2015 ($/MW-day) </t>
  </si>
  <si>
    <t>Base Zonal UCAP Obligation (MW)</t>
  </si>
  <si>
    <t>Preliminary Zonal Capacity Price ($/MW-day)</t>
  </si>
  <si>
    <t>Adjusted Zonal Net Load Price         ($/MW-day)</t>
  </si>
  <si>
    <t>Base Residual Auction Adjusted Zonal Capacity Price with CP Transition IA Cost Component is equal to the Preliminary Zonal Capacity Price plus CP Transition IA Cost Component determined as of 9/9/2015.</t>
  </si>
  <si>
    <t>Participant Buy Bids/Sell Offers Cleared &amp; Make-Whole MWs</t>
  </si>
  <si>
    <t>Participant Buy Bids Cleared [MW]</t>
  </si>
  <si>
    <t>Participant Sell Offers Cleared [MW]</t>
  </si>
  <si>
    <t>Net Participant Buy Bid/Sell Offers Cleared [MW]</t>
  </si>
  <si>
    <t>Make-Whole [MW]</t>
  </si>
  <si>
    <t>Limited Resources</t>
  </si>
  <si>
    <t>Extended Summer Resources</t>
  </si>
  <si>
    <t>Annual Resources</t>
  </si>
  <si>
    <t>Total Resources</t>
  </si>
  <si>
    <t>PJM Buy Bids/Sell Offers Cleared</t>
  </si>
  <si>
    <t>PJM Buy Bids Cleared [MW]</t>
  </si>
  <si>
    <t>PJM Sell Offers Cleared [MW]</t>
  </si>
  <si>
    <t>Net PJM Buy Bid/Sell Offers Cleared [MW]</t>
  </si>
  <si>
    <t>Auction Credits/Charges</t>
  </si>
  <si>
    <t>Auction Charge for Participant Buy Bids [$/MW-Day]</t>
  </si>
  <si>
    <t>Auction Credit for Participant Sell Offer [$/MW-Day]</t>
  </si>
  <si>
    <t>Net Auction Charge/Credit for Participant Buy Bid/Sell Offer [$/MW-Day]</t>
  </si>
  <si>
    <t>Make-Whole Credits</t>
  </si>
  <si>
    <t>Make-whole Costs assessed to LSEs through Zonal Capacity Price [$/day]</t>
  </si>
  <si>
    <t>Make-whole Costs to Participant Buy Bids [$/day]</t>
  </si>
  <si>
    <t>0.8* BRA STRPT</t>
  </si>
  <si>
    <t>LDA Capacity Price Components</t>
  </si>
  <si>
    <t>Updated LDA UCAP Obligation [MW]</t>
  </si>
  <si>
    <t>Weighted System Marginal Price [$/MW-day]</t>
  </si>
  <si>
    <t>Weighted Locational Price Adder* Applicable to LDA             [$/MW-day]</t>
  </si>
  <si>
    <t>Adjusted LDA Capacity Price [$/MW-day]</t>
  </si>
  <si>
    <t>Reference LDA* Capacity Price [$/MW-day]</t>
  </si>
  <si>
    <t>Additional Weighted Locational Price Adder with respect to Reference LDA  [$/MW-day]</t>
  </si>
  <si>
    <t>Adjusted Zonal Capacity Price [$/MW-day]</t>
  </si>
  <si>
    <t>*Reference LDA is EMAAC for PS and DPL, and RTO for ATSI.</t>
  </si>
  <si>
    <t>Updated Zonal Results</t>
  </si>
  <si>
    <t>Updated Zonal RPM Scaling Factor</t>
  </si>
  <si>
    <t>Adjusted Zonal Capacity Price           [$/MW-day]</t>
  </si>
  <si>
    <t>AEP #</t>
  </si>
  <si>
    <t>DEOK #</t>
  </si>
  <si>
    <t>EKPC#</t>
  </si>
  <si>
    <t># Obligation affected by FRR quantities</t>
  </si>
  <si>
    <t xml:space="preserve">The load charges for Updated Zonal UCAP Obligations at the Adjusted Zonal Capacity Prices exceed the sum of Resource Credits, Make-Whole Payments, QTU Credits and CTR/ICTR Credits as the Zonal UCAP Obligations include uncleared Short-Term Resource Procurement Target with no Resource Credits.  </t>
  </si>
  <si>
    <t>Net Participant Buy Bid/Sell Offers Cleared</t>
  </si>
  <si>
    <t>1st IA Short-Term Resource Procurement Target                   [MW]</t>
  </si>
  <si>
    <t>Total Updated CTRs [MW] *</t>
  </si>
  <si>
    <t>Remaining CTRs for Required Transmission Enhancements, Customer-Funded Upgrades, &amp; LSEs [MW]</t>
  </si>
  <si>
    <t xml:space="preserve"> Required Transmission Enhancements ICTRs  [MW]</t>
  </si>
  <si>
    <t>* CTR MWs are adjusted slightly to accommodate certain grandfathered arrangements.</t>
  </si>
  <si>
    <t>Weighted Locational Price Adder</t>
  </si>
  <si>
    <t>Updated CTRs Allocated = Max of the LDA CTRs Allocated to LSEs [MW]</t>
  </si>
  <si>
    <t>Updated Zonal CTR Credit Rate [$/MW UCAP Obligation per Day]</t>
  </si>
  <si>
    <t>Updated Zonal CTR Settlement Rate [$/MW CTR per day]</t>
  </si>
  <si>
    <t>Weighted Locational Price Adder is with respect to immediate higher level LDA.</t>
  </si>
  <si>
    <t>CTRs Allocated, Economic Value of CTRs, CTR Credit Rates, and CTR Settlement Rates are not final and may change due to future Incremental Auction results.</t>
  </si>
  <si>
    <t>Make-Whole Credits [$/Day]</t>
  </si>
  <si>
    <t>2014 W/N Coincident Peak Load                    [MW]</t>
  </si>
  <si>
    <t>1st IA 2017/2018 Zonal Peak Load Forecast            [MW]</t>
  </si>
  <si>
    <t>COMED #</t>
  </si>
  <si>
    <t>2017/2018 Prelim. Zonal Peak Load Forecast                     [MW]</t>
  </si>
  <si>
    <t>Updated Total RTO Obligation, MW</t>
  </si>
  <si>
    <t>Updated CP  Transition IA Cost Component*, ($/MW-day)</t>
  </si>
  <si>
    <t>1st Incremental Auction</t>
  </si>
  <si>
    <t>Resource Clearing Prices [$/MW-day]</t>
  </si>
  <si>
    <t>Limited Resource</t>
  </si>
  <si>
    <t>Extended Summer Resource</t>
  </si>
  <si>
    <t>Annual Resource</t>
  </si>
  <si>
    <t>Participant Buy Bids/Sell Offers Cleared</t>
  </si>
  <si>
    <t xml:space="preserve">Total Resources </t>
  </si>
  <si>
    <t xml:space="preserve"> Defined PJM Buy Bids/Sell Offers only apply in Incremental Auctions.  Variable Resource Requirement Curve (VRR) used in the clearing of the Base Residual Auction. </t>
  </si>
  <si>
    <t>* A negative net participant buy bid/sell offer cleared represents a net sale of capacity by participants.</t>
  </si>
  <si>
    <t>**A positive net PJM buy bid/sell offer cleared represents a net purchase of capacity by PJM.</t>
  </si>
  <si>
    <t>** A negative net PJM buy bid/sell offer cleared represents a net release of committed capacity by PJM.</t>
  </si>
  <si>
    <t>Updated Zonal CTR Credit Rate ($/MW-UCAP Obligation-day)</t>
  </si>
  <si>
    <t>* A positive net particpant buy bid/sell offer cleared represents a net purchase of capacity by participants.</t>
  </si>
  <si>
    <t>Net Participant Buy Bids/Sell Offers Cleared * [MW]</t>
  </si>
  <si>
    <t>Net PJM Buy Bids/Sell Offers Cleared ** [MW]</t>
  </si>
  <si>
    <t>Adjusted Zonal UCAP Obligation      (MW)</t>
  </si>
  <si>
    <t>Adjusted Zonal Capacity Price          ($/MW-day)</t>
  </si>
  <si>
    <t>1st IA Adjusted Zonal UCAP Obligation (MW)</t>
  </si>
  <si>
    <t>*** Obligation affected by FRR quantities.</t>
  </si>
  <si>
    <t>1st Incremental Auction Adjusted Zonal Capacity Price with CP Transition IA Cost Component is equal to the 1st IA Adjusted Zonal Capaicty Price plus CP Transition IA Cost Component determined as of 9/25/2015.</t>
  </si>
  <si>
    <t>b0497: Install Second Conastone-Graceton 230 kV circuit; Replace Conastone 230 kV breaker 2323/2302 (effective 2017/2018)</t>
  </si>
  <si>
    <t>b1251.1, b1251: Re-build the existing and build a second Raphael-Bagley 230 kV  (effective 2017/2018)</t>
  </si>
  <si>
    <t>Y1-082:  Uprate bus equipment at Wye Mills 69 kV substation (effective 2016/2017)</t>
  </si>
  <si>
    <t>Y3-082:  Upgrade Easton-Trappe Tap 69 kV circuit to 136/174 MVA SN/SE (effective 2017/2018)</t>
  </si>
  <si>
    <t xml:space="preserve">Note:  Cost Allocation Percentages are based on July 2015 Transmission Enhancement Worksheet available at http://www.pjm.com/~/media/committees-groups/subcommittees/mss/postings/transmission-enhancement-worksheet-july-2015.ashx or 2015 cost responsibility assignments from the OATT (from 1-1-15 update).  The cost allocation percentages may change during actual Delivery Year. </t>
  </si>
  <si>
    <t xml:space="preserve">2017/2018 1st IA ICTRs </t>
  </si>
  <si>
    <t>ICTRs for Lower Voltage Facility: b0497               [MW]</t>
  </si>
  <si>
    <t>2017/2018 DY Capacity Performance Transition Incremental Auction Load Pricing Results</t>
  </si>
  <si>
    <t>2017/2018 DY 1st IA Resource Clearing Results</t>
  </si>
  <si>
    <t>2017/2018 DY 1st IA Load Pricing Results</t>
  </si>
  <si>
    <t>2017/2018 1st IA CTRs</t>
  </si>
  <si>
    <t>NORTH ***</t>
  </si>
  <si>
    <t>WEST 1 ***</t>
  </si>
  <si>
    <t>WEST 2 ***</t>
  </si>
  <si>
    <t>SOUTH 1 ***</t>
  </si>
  <si>
    <t>SOUTH 2 ***</t>
  </si>
  <si>
    <t>*** There were no Sell Offers in External Source Zones.</t>
  </si>
  <si>
    <t>Adjustment due to Make-Whole [$/day]</t>
  </si>
  <si>
    <t>Additional Adjustment due to Sub-Annual Resource Price Decrement in constrained LDA [$/day]</t>
  </si>
  <si>
    <t>Additional Adjustment due to Sub-Annual Resource Price Decrement in constrained LDA [$/MW-day]</t>
  </si>
  <si>
    <t>Additional Adjustment due to Limited Resource Price Decrement in constrained LDA [$/day]</t>
  </si>
  <si>
    <t>Additional Adjustment due to Limited Resource Price Decrement in constrained LDA [$/MW-day]</t>
  </si>
  <si>
    <t>Additional Adjustment due to Make-Whole [$/day]</t>
  </si>
  <si>
    <t>Additional Adjustment due to Make-Whole [$/MW-day]</t>
  </si>
  <si>
    <t>1st IA Short-Term Resource Procurement Target                  [MW]</t>
  </si>
  <si>
    <t>Updated Zonal UCAP Obligation          [MW]</t>
  </si>
  <si>
    <t>Remaining CTRs for LSEs                     [MW]</t>
  </si>
  <si>
    <t>CTRs Allocated to LSEs                     [MW]</t>
  </si>
  <si>
    <t>Economic Value of LSE CTRs           [$/day]</t>
  </si>
  <si>
    <t>Total Updated Economic Value of LSE CTRs           [$/day]</t>
  </si>
  <si>
    <t>Economic Value of CTRs = CTRs Allocated * Weighted Locational Price Adder</t>
  </si>
  <si>
    <t>Economic Value of ICTRs = Total ICTRs * Weighted Locational Price Adder.</t>
  </si>
  <si>
    <t>ICTRs allocated and  Economic Value of ICTRs are not final and are subject to change due to Incremental Auction results.</t>
  </si>
  <si>
    <t xml:space="preserve">CP Transition IA Cost Component as of 9/9/2015        ($/MW-day) </t>
  </si>
  <si>
    <t>Adjusted Zonal Capacity Price with CP Transition IA Cost Component    ($/MW-day)</t>
  </si>
  <si>
    <t>Adjusted Zonal Net Load Price       ($/MW-day)</t>
  </si>
  <si>
    <t xml:space="preserve">CP Transition IA Cost Component as of 9/25/2015     ($/MW-day) </t>
  </si>
  <si>
    <t xml:space="preserve">CP Transition IA Cost Component as of 9/9/2015                ($/MW-day) </t>
  </si>
  <si>
    <t>CP Transition IA Cost Component as of 9/25/2015              ($/MW-day) *</t>
  </si>
  <si>
    <t>* CP Transition IA Cost Component is subject to change since Total RTO Obligation is not finalized until after final Incremental Auction for Delivery Year.</t>
  </si>
  <si>
    <t>2017/2018 DY 2nd IA Resource Clearing Results</t>
  </si>
  <si>
    <t>2017/2018 DY 2nd IA Load Pricing Results</t>
  </si>
  <si>
    <t>2017/2018 2nd IA CTRs</t>
  </si>
  <si>
    <t xml:space="preserve">2017/2018 2nd IA ICTRs </t>
  </si>
  <si>
    <t>2nd Incremental Auction</t>
  </si>
  <si>
    <t>2nd IA Adjusted Zonal UCAP Obligation (MW)</t>
  </si>
  <si>
    <t>CP Transition IA Cost Component as of 7/22/2016              ($/MW-day) *</t>
  </si>
  <si>
    <t>0.6* BRA STRPT</t>
  </si>
  <si>
    <t>RTO Reliability Requirement [MW] *</t>
  </si>
  <si>
    <t>* Including EE Addback.</t>
  </si>
  <si>
    <t>2015 W/N Coincident Peak Load                    [MW]</t>
  </si>
  <si>
    <t>2nd IA 2017/2018 Zonal Peak Load Forecast            [MW]</t>
  </si>
  <si>
    <t>2nd IA Short-Term Resource Procurement Target                  [MW]</t>
  </si>
  <si>
    <t>2nd IA Short-Term Resource Procurement Target                   [MW]</t>
  </si>
  <si>
    <t xml:space="preserve">Note:  Cost Allocation Percentages are based on 2016 cost responsibility assignments from the OATT.  The cost allocation percentages may change during actual Delivery Year. </t>
  </si>
  <si>
    <t>*** There were no Sell Offers in these External Source Zones.</t>
  </si>
  <si>
    <t xml:space="preserve">CP Transition IA Cost Component as of 7/22/2016     ($/MW-day) </t>
  </si>
  <si>
    <t>Annual Resources ****</t>
  </si>
  <si>
    <t>**** RTO Sell Offers Cleared include capacity from External Source Zones.</t>
  </si>
  <si>
    <t>Adjusted ICTR ** [MW]</t>
  </si>
  <si>
    <t>Certified ICTR ** [MW]</t>
  </si>
  <si>
    <t>Annual Resource**</t>
  </si>
  <si>
    <t>** RTO Annual Resource includes Sell Offere cleared in South 1 Zone.</t>
  </si>
  <si>
    <t xml:space="preserve">2nd Incremental Auction Adjusted Zonal Capacity Prices &amp; Adjusted Zonal CTR Credit Rates are determined based on the results of the Base Residual Auction and 1st and 2nd Incremental Auctions for the DY. </t>
  </si>
  <si>
    <t>2nd Incremental Auction Adjusted Zonal Capacity Price with CP Transition IA Cost Component is equal to the 2nd IA Adjusted Zonal Capaicty Price plus CP Transition IA Cost Component determined as of 7/22/2016.</t>
  </si>
  <si>
    <t>2017/2018 DY 2nd IA Summary of Auction Results</t>
  </si>
  <si>
    <t>COMED **</t>
  </si>
  <si>
    <t>2017/2018 DY BRA, CP TIA, 1st IA, 2nd IA:  Zonal UCAP Obligations, Zonal Capacity Prices, Zonal CTR Credit Rate, and Zonal Net Load Prices</t>
  </si>
  <si>
    <t>** Certified ICTRs are adjusted to zero if Weighted Locational Price Adder is negative.</t>
  </si>
  <si>
    <t>#37169393</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</si>
</sst>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quot;#,##0.0"/>
    <numFmt numFmtId="168" formatCode="#,##0.000000"/>
    <numFmt numFmtId="169" formatCode="0.000%"/>
    <numFmt numFmtId="170" formatCode="0.00000"/>
    <numFmt numFmtId="171" formatCode="&quot;$&quot;#,##0.000000"/>
    <numFmt numFmtId="172" formatCode="0.0000%"/>
    <numFmt numFmtId="173" formatCode="0.0000"/>
    <numFmt numFmtId="174" formatCode="#,##0.0"/>
    <numFmt numFmtId="175" formatCode="#,##0.00000"/>
    <numFmt numFmtId="176" formatCode="_([$$-409]* #,##0.00_);_([$$-409]* \(#,##0.00\);_([$$-409]* &quot;-&quot;??_);_(@_)"/>
    <numFmt numFmtId="177" formatCode="&quot;Yes&quot;;&quot;Yes&quot;;&quot;No&quot;"/>
    <numFmt numFmtId="178" formatCode="&quot;True&quot;;&quot;True&quot;;&quot;False&quot;"/>
    <numFmt numFmtId="179" formatCode="&quot;On&quot;;&quot;On&quot;;&quot;Off&quot;"/>
    <numFmt numFmtId="180" formatCode="[$€-2]\ #,##0.00_);[Red]\([$€-2]\ #,##0.00\)"/>
    <numFmt numFmtId="181" formatCode="&quot;$&quot;#,##0.00000"/>
    <numFmt numFmtId="182" formatCode="#,##0.0000000"/>
    <numFmt numFmtId="183" formatCode="&quot;$&quot;#,##0.0000000000000"/>
    <numFmt numFmtId="184" formatCode="&quot;$&quot;#,##0.000000000"/>
    <numFmt numFmtId="185" formatCode="&quot;$&quot;#,##0.0000000"/>
    <numFmt numFmtId="186" formatCode="&quot;$&quot;#,##0.00000000"/>
    <numFmt numFmtId="187" formatCode="0.0000000"/>
    <numFmt numFmtId="188" formatCode="0.000000"/>
    <numFmt numFmtId="189" formatCode="0.000"/>
    <numFmt numFmtId="190" formatCode="[$-409]dddd\,\ mmmm\ dd\,\ yyyy"/>
    <numFmt numFmtId="191" formatCode="[$-409]h:mm:ss\ AM/PM"/>
    <numFmt numFmtId="192" formatCode="_(* #,##0.0_);_(* \(#,##0.0\);_(* &quot;-&quot;??_);_(@_)"/>
    <numFmt numFmtId="193" formatCode="_(* #,##0.00000_);_(* \(#,##0.00000\);_(* &quot;-&quot;?????_);_(@_)"/>
    <numFmt numFmtId="194" formatCode="&quot;$&quot;#,##0.000"/>
    <numFmt numFmtId="195" formatCode="&quot;$&quot;#,##0.0000"/>
    <numFmt numFmtId="196" formatCode="&quot;$&quot;#,##0.0000000000"/>
    <numFmt numFmtId="197" formatCode="_(* #,##0.0_);_(* \(#,##0.0\);_(* &quot;-&quot;?_);_(@_)"/>
    <numFmt numFmtId="198" formatCode="_(* #,##0.0000_);_(* \(#,##0.0000\);_(* &quot;-&quot;????_);_(@_)"/>
    <numFmt numFmtId="199" formatCode="_(* #,##0.000_);_(* \(#,##0.000\);_(* &quot;-&quot;??_);_(@_)"/>
    <numFmt numFmtId="200" formatCode="_(* #,##0.0000_);_(* \(#,##0.0000\);_(* &quot;-&quot;??_);_(@_)"/>
    <numFmt numFmtId="201" formatCode="_(* #,##0.00000_);_(* \(#,##0.00000\);_(* &quot;-&quot;??_);_(@_)"/>
    <numFmt numFmtId="202" formatCode="0.00000000"/>
    <numFmt numFmtId="203" formatCode="&quot;$&quot;#,##0"/>
    <numFmt numFmtId="204" formatCode="_(* #,##0.000_);_(* \(#,##0.000\);_(* &quot;-&quot;???_);_(@_)"/>
    <numFmt numFmtId="205" formatCode="_(&quot;$&quot;* #,##0.000_);_(&quot;$&quot;* \(#,##0.000\);_(&quot;$&quot;* &quot;-&quot;??_);_(@_)"/>
    <numFmt numFmtId="206" formatCode="_(&quot;$&quot;* #,##0.0000_);_(&quot;$&quot;* \(#,##0.0000\);_(&quot;$&quot;* &quot;-&quot;??_);_(@_)"/>
    <numFmt numFmtId="207" formatCode="_(&quot;$&quot;* #,##0.00000_);_(&quot;$&quot;* \(#,##0.00000\);_(&quot;$&quot;* &quot;-&quot;??_);_(@_)"/>
    <numFmt numFmtId="208" formatCode="_(&quot;$&quot;* #,##0.000000_);_(&quot;$&quot;* \(#,##0.000000\);_(&quot;$&quot;* &quot;-&quot;??_);_(@_)"/>
    <numFmt numFmtId="209" formatCode="_(* #,##0.0000000_);_(* \(#,##0.0000000\);_(* &quot;-&quot;???????_);_(@_)"/>
    <numFmt numFmtId="210" formatCode="_(* #,##0_);_(* \(#,##0\);_(* &quot;-&quot;??_);_(@_)"/>
    <numFmt numFmtId="211" formatCode="_(* #,##0.000000_);_(* \(#,##0.000000\);_(* &quot;-&quot;??_);_(@_)"/>
    <numFmt numFmtId="212" formatCode="0.000000000"/>
    <numFmt numFmtId="213" formatCode="0.0000000000"/>
    <numFmt numFmtId="214" formatCode="0.00000000000"/>
    <numFmt numFmtId="215" formatCode="_(* #,##0.000000000_);_(* \(#,##0.000000000\);_(* &quot;-&quot;??_);_(@_)"/>
    <numFmt numFmtId="216" formatCode="&quot;$&quot;#,##0.00000000000"/>
    <numFmt numFmtId="217" formatCode="0.00_);\(0.00\)"/>
    <numFmt numFmtId="218" formatCode="0.000000000000"/>
    <numFmt numFmtId="219" formatCode="0.0000000000000"/>
    <numFmt numFmtId="220" formatCode="0.00000000000000"/>
    <numFmt numFmtId="221" formatCode="0.000000000000000"/>
    <numFmt numFmtId="222" formatCode="#,##0.000"/>
    <numFmt numFmtId="223" formatCode="#,##0.0000"/>
    <numFmt numFmtId="224" formatCode="#,##0.00000000"/>
    <numFmt numFmtId="225" formatCode="_(* #,##0.00000000000000_);_(* \(#,##0.00000000000000\);_(* &quot;-&quot;??????????????_);_(@_)"/>
    <numFmt numFmtId="226" formatCode="_(* #,##0.0000000_);_(* \(#,##0.0000000\);_(* &quot;-&quot;??_);_(@_)"/>
  </numFmts>
  <fonts count="63">
    <font>
      <sz val="10"/>
      <name val="Arial"/>
      <family val="0"/>
    </font>
    <font>
      <b/>
      <i/>
      <sz val="14"/>
      <name val="Arial"/>
      <family val="2"/>
    </font>
    <font>
      <sz val="14"/>
      <name val="Arial"/>
      <family val="2"/>
    </font>
    <font>
      <b/>
      <sz val="10"/>
      <name val="Arial"/>
      <family val="2"/>
    </font>
    <font>
      <u val="single"/>
      <sz val="7.5"/>
      <color indexed="12"/>
      <name val="Arial"/>
      <family val="2"/>
    </font>
    <font>
      <u val="single"/>
      <sz val="7.5"/>
      <color indexed="36"/>
      <name val="Arial"/>
      <family val="2"/>
    </font>
    <font>
      <i/>
      <sz val="10"/>
      <name val="Arial"/>
      <family val="2"/>
    </font>
    <font>
      <b/>
      <sz val="10"/>
      <name val="Calibri"/>
      <family val="2"/>
    </font>
    <font>
      <sz val="10"/>
      <color indexed="10"/>
      <name val="Arial"/>
      <family val="2"/>
    </font>
    <font>
      <b/>
      <sz val="10"/>
      <color indexed="10"/>
      <name val="Arial"/>
      <family val="2"/>
    </font>
    <font>
      <b/>
      <sz val="11"/>
      <color indexed="10"/>
      <name val="Arial"/>
      <family val="2"/>
    </font>
    <font>
      <sz val="10"/>
      <name val="Calibri"/>
      <family val="2"/>
    </font>
    <font>
      <b/>
      <sz val="10"/>
      <color indexed="10"/>
      <name val="Calibri"/>
      <family val="2"/>
    </font>
    <font>
      <b/>
      <i/>
      <sz val="12"/>
      <name val="Calibri"/>
      <family val="2"/>
    </font>
    <font>
      <sz val="10"/>
      <color indexed="10"/>
      <name val="Calibri"/>
      <family val="2"/>
    </font>
    <font>
      <i/>
      <sz val="10"/>
      <name val="Calibri"/>
      <family val="2"/>
    </font>
    <font>
      <b/>
      <i/>
      <sz val="10"/>
      <name val="Calibri"/>
      <family val="2"/>
    </font>
    <font>
      <i/>
      <sz val="10"/>
      <color indexed="10"/>
      <name val="Calibri"/>
      <family val="2"/>
    </font>
    <font>
      <i/>
      <sz val="12"/>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name val="Calibri"/>
      <family val="2"/>
    </font>
    <font>
      <b/>
      <sz val="12"/>
      <name val="Calibri"/>
      <family val="2"/>
    </font>
    <font>
      <b/>
      <i/>
      <sz val="14"/>
      <name val="Calibri"/>
      <family val="2"/>
    </font>
    <font>
      <sz val="11"/>
      <name val="Calibri"/>
      <family val="2"/>
    </font>
    <font>
      <sz val="14"/>
      <name val="Calibri"/>
      <family val="2"/>
    </font>
    <font>
      <sz val="11"/>
      <color indexed="56"/>
      <name val="Calibri"/>
      <family val="2"/>
    </font>
    <font>
      <b/>
      <i/>
      <sz val="14"/>
      <color indexed="10"/>
      <name val="Calibri"/>
      <family val="2"/>
    </font>
    <font>
      <b/>
      <sz val="16"/>
      <name val="Calibri"/>
      <family val="2"/>
    </font>
    <font>
      <b/>
      <sz val="12"/>
      <color indexed="10"/>
      <name val="Calibri"/>
      <family val="2"/>
    </font>
    <font>
      <b/>
      <sz val="11"/>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rgb="FFFF7C80"/>
        <bgColor indexed="64"/>
      </patternFill>
    </fill>
    <fill>
      <patternFill patternType="solid">
        <fgColor indexed="36"/>
        <bgColor indexed="64"/>
      </patternFill>
    </fill>
    <fill>
      <patternFill patternType="solid">
        <fgColor indexed="5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medium"/>
    </border>
    <border>
      <left style="medium"/>
      <right>
        <color indexed="63"/>
      </right>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style="medium"/>
      <top style="medium"/>
      <bottom>
        <color indexed="63"/>
      </bottom>
    </border>
    <border>
      <left style="thin"/>
      <right>
        <color indexed="63"/>
      </right>
      <top style="medium"/>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medium"/>
      <top>
        <color indexed="63"/>
      </top>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2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Fill="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Alignment="1">
      <alignment wrapText="1"/>
    </xf>
    <xf numFmtId="0" fontId="0" fillId="0" borderId="0" xfId="0" applyFont="1" applyBorder="1" applyAlignment="1">
      <alignment/>
    </xf>
    <xf numFmtId="170" fontId="0" fillId="0" borderId="0" xfId="0" applyNumberFormat="1" applyFont="1" applyAlignment="1">
      <alignment/>
    </xf>
    <xf numFmtId="0" fontId="0" fillId="0" borderId="0" xfId="0" applyFont="1" applyFill="1" applyBorder="1" applyAlignment="1">
      <alignment/>
    </xf>
    <xf numFmtId="0" fontId="3" fillId="0" borderId="0" xfId="0" applyNumberFormat="1" applyFont="1" applyFill="1" applyBorder="1" applyAlignment="1">
      <alignment horizontal="center" wrapText="1"/>
    </xf>
    <xf numFmtId="0" fontId="9" fillId="0" borderId="0" xfId="0" applyFont="1" applyAlignment="1">
      <alignment/>
    </xf>
    <xf numFmtId="174" fontId="0" fillId="0" borderId="0" xfId="0" applyNumberFormat="1" applyFont="1" applyAlignment="1">
      <alignment/>
    </xf>
    <xf numFmtId="44" fontId="3" fillId="0" borderId="0" xfId="47" applyFont="1" applyBorder="1" applyAlignment="1">
      <alignment horizontal="center"/>
    </xf>
    <xf numFmtId="43"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10" fillId="0" borderId="0" xfId="0" applyFont="1" applyFill="1" applyBorder="1" applyAlignment="1">
      <alignment horizontal="left"/>
    </xf>
    <xf numFmtId="0" fontId="8" fillId="0" borderId="0" xfId="0" applyFont="1" applyAlignment="1">
      <alignment/>
    </xf>
    <xf numFmtId="0" fontId="3" fillId="0" borderId="0" xfId="0" applyFont="1" applyBorder="1" applyAlignment="1">
      <alignment horizontal="center"/>
    </xf>
    <xf numFmtId="0" fontId="11" fillId="0" borderId="0" xfId="0" applyFont="1" applyAlignment="1">
      <alignment/>
    </xf>
    <xf numFmtId="0" fontId="11" fillId="0" borderId="10" xfId="0" applyFont="1" applyFill="1" applyBorder="1" applyAlignment="1">
      <alignment/>
    </xf>
    <xf numFmtId="0" fontId="11" fillId="0" borderId="0" xfId="0" applyFont="1" applyFill="1" applyBorder="1" applyAlignment="1">
      <alignment/>
    </xf>
    <xf numFmtId="0" fontId="7" fillId="0" borderId="10" xfId="0" applyFont="1" applyFill="1" applyBorder="1" applyAlignment="1">
      <alignment horizontal="center" wrapText="1"/>
    </xf>
    <xf numFmtId="0" fontId="7" fillId="0" borderId="10" xfId="0" applyFont="1" applyBorder="1" applyAlignment="1">
      <alignment horizontal="center" wrapText="1"/>
    </xf>
    <xf numFmtId="0" fontId="11" fillId="0" borderId="0" xfId="0" applyFont="1" applyBorder="1" applyAlignment="1">
      <alignment wrapText="1"/>
    </xf>
    <xf numFmtId="0" fontId="7" fillId="0" borderId="0" xfId="0" applyFont="1" applyBorder="1" applyAlignment="1">
      <alignment horizontal="center" wrapText="1"/>
    </xf>
    <xf numFmtId="0" fontId="11" fillId="0" borderId="0" xfId="0" applyFont="1" applyAlignment="1">
      <alignment wrapText="1"/>
    </xf>
    <xf numFmtId="0" fontId="11" fillId="0" borderId="10" xfId="0" applyFont="1" applyBorder="1" applyAlignment="1">
      <alignment/>
    </xf>
    <xf numFmtId="165" fontId="11" fillId="0" borderId="10" xfId="0" applyNumberFormat="1" applyFont="1" applyBorder="1" applyAlignment="1">
      <alignment horizontal="right"/>
    </xf>
    <xf numFmtId="0" fontId="11" fillId="0" borderId="0" xfId="0" applyFont="1" applyBorder="1" applyAlignment="1">
      <alignment/>
    </xf>
    <xf numFmtId="165" fontId="11" fillId="0" borderId="0" xfId="0" applyNumberFormat="1" applyFont="1" applyFill="1" applyBorder="1" applyAlignment="1">
      <alignment horizontal="right"/>
    </xf>
    <xf numFmtId="165" fontId="11" fillId="0" borderId="0" xfId="0" applyNumberFormat="1" applyFont="1" applyBorder="1" applyAlignment="1">
      <alignment horizontal="right"/>
    </xf>
    <xf numFmtId="165" fontId="11" fillId="0" borderId="10" xfId="0" applyNumberFormat="1" applyFont="1" applyFill="1" applyBorder="1" applyAlignment="1">
      <alignment horizontal="right"/>
    </xf>
    <xf numFmtId="165" fontId="11" fillId="0" borderId="0" xfId="0" applyNumberFormat="1" applyFont="1" applyBorder="1" applyAlignment="1">
      <alignment/>
    </xf>
    <xf numFmtId="165" fontId="12" fillId="0" borderId="0" xfId="0" applyNumberFormat="1" applyFont="1" applyBorder="1" applyAlignment="1">
      <alignment horizontal="left"/>
    </xf>
    <xf numFmtId="0" fontId="11" fillId="0" borderId="0" xfId="0" applyFont="1" applyBorder="1" applyAlignment="1">
      <alignment horizontal="right"/>
    </xf>
    <xf numFmtId="164" fontId="11" fillId="0" borderId="0" xfId="0" applyNumberFormat="1" applyFont="1" applyBorder="1" applyAlignment="1">
      <alignment horizontal="right"/>
    </xf>
    <xf numFmtId="165" fontId="7" fillId="0" borderId="0" xfId="0" applyNumberFormat="1" applyFont="1" applyBorder="1" applyAlignment="1">
      <alignment horizontal="right"/>
    </xf>
    <xf numFmtId="165" fontId="7" fillId="0" borderId="0" xfId="0" applyNumberFormat="1" applyFont="1" applyBorder="1" applyAlignment="1">
      <alignment horizontal="center"/>
    </xf>
    <xf numFmtId="192" fontId="11" fillId="0" borderId="10" xfId="42" applyNumberFormat="1" applyFont="1" applyBorder="1" applyAlignment="1">
      <alignment/>
    </xf>
    <xf numFmtId="174" fontId="11" fillId="0" borderId="10" xfId="0" applyNumberFormat="1" applyFont="1" applyFill="1" applyBorder="1" applyAlignment="1">
      <alignment horizontal="right"/>
    </xf>
    <xf numFmtId="192" fontId="11" fillId="0" borderId="10" xfId="42" applyNumberFormat="1" applyFont="1" applyFill="1" applyBorder="1" applyAlignment="1">
      <alignment horizontal="right"/>
    </xf>
    <xf numFmtId="192" fontId="11" fillId="0" borderId="0" xfId="0" applyNumberFormat="1" applyFont="1" applyBorder="1" applyAlignment="1">
      <alignment/>
    </xf>
    <xf numFmtId="0" fontId="11" fillId="0" borderId="11" xfId="0" applyFont="1" applyBorder="1" applyAlignment="1">
      <alignment/>
    </xf>
    <xf numFmtId="174" fontId="11" fillId="0" borderId="10" xfId="0" applyNumberFormat="1" applyFont="1" applyBorder="1" applyAlignment="1">
      <alignment horizontal="right"/>
    </xf>
    <xf numFmtId="165" fontId="11" fillId="0" borderId="10" xfId="0" applyNumberFormat="1" applyFont="1" applyBorder="1" applyAlignment="1">
      <alignment/>
    </xf>
    <xf numFmtId="165" fontId="11" fillId="0" borderId="12" xfId="0" applyNumberFormat="1" applyFont="1" applyBorder="1" applyAlignment="1">
      <alignment/>
    </xf>
    <xf numFmtId="165" fontId="11" fillId="0" borderId="0" xfId="0" applyNumberFormat="1" applyFont="1" applyAlignment="1">
      <alignment/>
    </xf>
    <xf numFmtId="0" fontId="11" fillId="0" borderId="11" xfId="0" applyFont="1" applyFill="1" applyBorder="1" applyAlignment="1">
      <alignment/>
    </xf>
    <xf numFmtId="174" fontId="11" fillId="0" borderId="0" xfId="0" applyNumberFormat="1" applyFont="1" applyBorder="1" applyAlignment="1">
      <alignment horizontal="right"/>
    </xf>
    <xf numFmtId="174" fontId="11" fillId="0" borderId="0" xfId="0" applyNumberFormat="1" applyFont="1" applyBorder="1" applyAlignment="1">
      <alignment horizontal="left"/>
    </xf>
    <xf numFmtId="174" fontId="11" fillId="0" borderId="0" xfId="0" applyNumberFormat="1" applyFont="1" applyBorder="1" applyAlignment="1">
      <alignment/>
    </xf>
    <xf numFmtId="165" fontId="7" fillId="0" borderId="13" xfId="0" applyNumberFormat="1" applyFont="1" applyBorder="1" applyAlignment="1">
      <alignment/>
    </xf>
    <xf numFmtId="0" fontId="7" fillId="0" borderId="0" xfId="0" applyFont="1" applyAlignment="1">
      <alignmen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11" fillId="0" borderId="0" xfId="0" applyNumberFormat="1" applyFont="1" applyBorder="1" applyAlignment="1">
      <alignment horizontal="center"/>
    </xf>
    <xf numFmtId="0" fontId="7" fillId="0" borderId="10" xfId="0" applyFont="1" applyBorder="1" applyAlignment="1">
      <alignment/>
    </xf>
    <xf numFmtId="174" fontId="11" fillId="0" borderId="0" xfId="0" applyNumberFormat="1" applyFont="1" applyBorder="1" applyAlignment="1">
      <alignment horizontal="center"/>
    </xf>
    <xf numFmtId="0" fontId="7" fillId="0" borderId="0" xfId="0" applyFont="1" applyBorder="1" applyAlignment="1">
      <alignment/>
    </xf>
    <xf numFmtId="10" fontId="11" fillId="0" borderId="12" xfId="67" applyNumberFormat="1" applyFont="1" applyFill="1" applyBorder="1" applyAlignment="1">
      <alignment horizontal="right"/>
    </xf>
    <xf numFmtId="165" fontId="11" fillId="0" borderId="0" xfId="0" applyNumberFormat="1" applyFont="1" applyBorder="1" applyAlignment="1">
      <alignment horizontal="center" wrapText="1"/>
    </xf>
    <xf numFmtId="164" fontId="14" fillId="0" borderId="0" xfId="0" applyNumberFormat="1" applyFont="1" applyBorder="1" applyAlignment="1">
      <alignment horizontal="center"/>
    </xf>
    <xf numFmtId="165" fontId="11" fillId="0" borderId="0" xfId="42" applyNumberFormat="1" applyFont="1" applyBorder="1" applyAlignment="1">
      <alignment horizontal="center"/>
    </xf>
    <xf numFmtId="192" fontId="11" fillId="0" borderId="0" xfId="42" applyNumberFormat="1" applyFont="1" applyBorder="1" applyAlignment="1">
      <alignment horizontal="center"/>
    </xf>
    <xf numFmtId="192" fontId="12" fillId="0" borderId="0" xfId="42" applyNumberFormat="1" applyFont="1" applyBorder="1" applyAlignment="1">
      <alignment horizontal="left"/>
    </xf>
    <xf numFmtId="164" fontId="11" fillId="0" borderId="0" xfId="0" applyNumberFormat="1" applyFont="1" applyBorder="1" applyAlignment="1">
      <alignment horizontal="center"/>
    </xf>
    <xf numFmtId="165" fontId="11" fillId="0" borderId="0" xfId="47" applyNumberFormat="1" applyFont="1" applyBorder="1" applyAlignment="1">
      <alignment horizontal="center"/>
    </xf>
    <xf numFmtId="164" fontId="11" fillId="0" borderId="0" xfId="0" applyNumberFormat="1" applyFont="1" applyBorder="1" applyAlignment="1">
      <alignment/>
    </xf>
    <xf numFmtId="164" fontId="11" fillId="0" borderId="0" xfId="0" applyNumberFormat="1" applyFont="1" applyAlignment="1">
      <alignment/>
    </xf>
    <xf numFmtId="174" fontId="11" fillId="0" borderId="0" xfId="0" applyNumberFormat="1" applyFont="1" applyAlignment="1">
      <alignment/>
    </xf>
    <xf numFmtId="4" fontId="11" fillId="0" borderId="0" xfId="0" applyNumberFormat="1" applyFont="1" applyBorder="1" applyAlignment="1">
      <alignment horizontal="right"/>
    </xf>
    <xf numFmtId="0" fontId="14" fillId="0" borderId="0" xfId="0" applyFont="1" applyAlignment="1">
      <alignment/>
    </xf>
    <xf numFmtId="193" fontId="11" fillId="0" borderId="0" xfId="0" applyNumberFormat="1" applyFont="1" applyAlignment="1">
      <alignment/>
    </xf>
    <xf numFmtId="165" fontId="11" fillId="0" borderId="10" xfId="42" applyNumberFormat="1" applyFont="1" applyBorder="1" applyAlignment="1">
      <alignment horizontal="right"/>
    </xf>
    <xf numFmtId="0" fontId="14" fillId="0" borderId="10" xfId="0" applyFont="1" applyBorder="1" applyAlignment="1">
      <alignment/>
    </xf>
    <xf numFmtId="165" fontId="11" fillId="0" borderId="10" xfId="0" applyNumberFormat="1" applyFont="1" applyBorder="1" applyAlignment="1">
      <alignment horizontal="right" wrapText="1"/>
    </xf>
    <xf numFmtId="0" fontId="11" fillId="0" borderId="0" xfId="0" applyFont="1" applyFill="1" applyBorder="1" applyAlignment="1">
      <alignment horizontal="left" wrapText="1"/>
    </xf>
    <xf numFmtId="188" fontId="15" fillId="0" borderId="0" xfId="0" applyNumberFormat="1" applyFont="1" applyBorder="1" applyAlignment="1">
      <alignment/>
    </xf>
    <xf numFmtId="165" fontId="12" fillId="0" borderId="0" xfId="0" applyNumberFormat="1" applyFont="1" applyBorder="1" applyAlignment="1">
      <alignment/>
    </xf>
    <xf numFmtId="0" fontId="14" fillId="0" borderId="0" xfId="0" applyNumberFormat="1" applyFont="1" applyBorder="1" applyAlignment="1">
      <alignment horizontal="center" wrapText="1"/>
    </xf>
    <xf numFmtId="0" fontId="7" fillId="0" borderId="14" xfId="0" applyNumberFormat="1" applyFont="1" applyFill="1" applyBorder="1" applyAlignment="1">
      <alignment horizontal="center" wrapText="1"/>
    </xf>
    <xf numFmtId="0" fontId="7" fillId="0" borderId="15"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11" fillId="0" borderId="10" xfId="0" applyFont="1" applyFill="1" applyBorder="1" applyAlignment="1">
      <alignment horizontal="center"/>
    </xf>
    <xf numFmtId="0" fontId="11" fillId="0" borderId="12" xfId="0" applyFont="1" applyFill="1" applyBorder="1" applyAlignment="1">
      <alignment horizontal="center"/>
    </xf>
    <xf numFmtId="170" fontId="11" fillId="0" borderId="10" xfId="0" applyNumberFormat="1" applyFont="1" applyBorder="1" applyAlignment="1">
      <alignment/>
    </xf>
    <xf numFmtId="192" fontId="11" fillId="0" borderId="10" xfId="42" applyNumberFormat="1" applyFont="1" applyFill="1" applyBorder="1" applyAlignment="1">
      <alignment/>
    </xf>
    <xf numFmtId="174" fontId="11" fillId="0" borderId="10" xfId="0" applyNumberFormat="1" applyFont="1" applyFill="1" applyBorder="1" applyAlignment="1">
      <alignment/>
    </xf>
    <xf numFmtId="0" fontId="11" fillId="0" borderId="17" xfId="0" applyFont="1" applyFill="1" applyBorder="1" applyAlignment="1">
      <alignment horizontal="center"/>
    </xf>
    <xf numFmtId="0" fontId="11" fillId="0" borderId="13" xfId="0" applyFont="1" applyFill="1" applyBorder="1" applyAlignment="1">
      <alignment horizontal="center"/>
    </xf>
    <xf numFmtId="0" fontId="15" fillId="0" borderId="0" xfId="0" applyFont="1" applyFill="1" applyBorder="1" applyAlignment="1">
      <alignment/>
    </xf>
    <xf numFmtId="0" fontId="15" fillId="0" borderId="10" xfId="0" applyFont="1" applyFill="1" applyBorder="1" applyAlignment="1">
      <alignment/>
    </xf>
    <xf numFmtId="0" fontId="16" fillId="0" borderId="0" xfId="0" applyFont="1" applyAlignment="1">
      <alignment/>
    </xf>
    <xf numFmtId="0" fontId="16" fillId="0" borderId="0" xfId="0" applyFont="1" applyFill="1" applyBorder="1" applyAlignment="1">
      <alignment/>
    </xf>
    <xf numFmtId="0" fontId="11" fillId="0" borderId="0" xfId="0" applyFont="1" applyBorder="1" applyAlignment="1">
      <alignment/>
    </xf>
    <xf numFmtId="7" fontId="11" fillId="0" borderId="10" xfId="0" applyNumberFormat="1" applyFont="1" applyFill="1" applyBorder="1" applyAlignment="1">
      <alignment horizontal="right"/>
    </xf>
    <xf numFmtId="192" fontId="0" fillId="0" borderId="0" xfId="0" applyNumberFormat="1" applyFont="1" applyAlignment="1">
      <alignment/>
    </xf>
    <xf numFmtId="7" fontId="11" fillId="0" borderId="0" xfId="0" applyNumberFormat="1" applyFont="1" applyBorder="1" applyAlignment="1">
      <alignment/>
    </xf>
    <xf numFmtId="7" fontId="11" fillId="0" borderId="0" xfId="0" applyNumberFormat="1" applyFont="1" applyFill="1" applyBorder="1" applyAlignment="1">
      <alignment horizontal="left" wrapText="1"/>
    </xf>
    <xf numFmtId="0" fontId="11" fillId="0" borderId="0" xfId="0" applyFont="1" applyFill="1" applyBorder="1" applyAlignment="1">
      <alignment/>
    </xf>
    <xf numFmtId="192" fontId="11" fillId="0" borderId="10" xfId="42" applyNumberFormat="1" applyFont="1" applyBorder="1" applyAlignment="1">
      <alignment horizontal="right"/>
    </xf>
    <xf numFmtId="0" fontId="12" fillId="0" borderId="0" xfId="0" applyFont="1" applyAlignment="1">
      <alignment/>
    </xf>
    <xf numFmtId="0" fontId="12" fillId="0" borderId="0" xfId="0" applyFont="1" applyAlignment="1">
      <alignment horizontal="right"/>
    </xf>
    <xf numFmtId="0" fontId="7" fillId="0" borderId="14" xfId="0" applyFont="1" applyBorder="1" applyAlignment="1">
      <alignment horizontal="center" wrapText="1"/>
    </xf>
    <xf numFmtId="0" fontId="7" fillId="0" borderId="15" xfId="0" applyFont="1" applyFill="1" applyBorder="1" applyAlignment="1">
      <alignment horizontal="center" wrapText="1"/>
    </xf>
    <xf numFmtId="0" fontId="7" fillId="0" borderId="15" xfId="0" applyFont="1" applyBorder="1" applyAlignment="1">
      <alignment horizontal="center" wrapText="1"/>
    </xf>
    <xf numFmtId="0" fontId="7" fillId="0" borderId="15" xfId="0" applyFont="1" applyBorder="1" applyAlignment="1">
      <alignment horizontal="center" vertical="center" wrapText="1"/>
    </xf>
    <xf numFmtId="0" fontId="7" fillId="0" borderId="16" xfId="0" applyFont="1" applyBorder="1" applyAlignment="1">
      <alignment horizontal="center" wrapText="1"/>
    </xf>
    <xf numFmtId="0" fontId="11" fillId="0" borderId="11" xfId="0" applyFont="1" applyBorder="1" applyAlignment="1">
      <alignment horizontal="left"/>
    </xf>
    <xf numFmtId="164" fontId="11" fillId="0" borderId="10" xfId="0" applyNumberFormat="1" applyFont="1" applyFill="1" applyBorder="1" applyAlignment="1">
      <alignment/>
    </xf>
    <xf numFmtId="3" fontId="11" fillId="0" borderId="10" xfId="0" applyNumberFormat="1" applyFont="1" applyBorder="1" applyAlignment="1">
      <alignment horizontal="right"/>
    </xf>
    <xf numFmtId="0" fontId="11" fillId="0" borderId="10" xfId="0" applyNumberFormat="1" applyFont="1" applyBorder="1" applyAlignment="1">
      <alignment horizontal="right"/>
    </xf>
    <xf numFmtId="0" fontId="11" fillId="0" borderId="11" xfId="0" applyFont="1" applyFill="1" applyBorder="1" applyAlignment="1">
      <alignment horizontal="left"/>
    </xf>
    <xf numFmtId="164" fontId="11" fillId="0" borderId="10" xfId="42" applyNumberFormat="1" applyFont="1" applyBorder="1" applyAlignment="1">
      <alignment/>
    </xf>
    <xf numFmtId="0" fontId="11" fillId="0" borderId="18" xfId="0" applyFont="1" applyFill="1" applyBorder="1" applyAlignment="1">
      <alignment horizontal="left"/>
    </xf>
    <xf numFmtId="192" fontId="11" fillId="0" borderId="17" xfId="42" applyNumberFormat="1" applyFont="1" applyBorder="1" applyAlignment="1">
      <alignment/>
    </xf>
    <xf numFmtId="164" fontId="11" fillId="0" borderId="17" xfId="42" applyNumberFormat="1" applyFont="1" applyBorder="1" applyAlignment="1">
      <alignment/>
    </xf>
    <xf numFmtId="174" fontId="11" fillId="0" borderId="17" xfId="0" applyNumberFormat="1" applyFont="1" applyBorder="1" applyAlignment="1">
      <alignment horizontal="right"/>
    </xf>
    <xf numFmtId="3" fontId="11" fillId="0" borderId="17" xfId="0" applyNumberFormat="1" applyFont="1" applyBorder="1" applyAlignment="1">
      <alignment horizontal="right"/>
    </xf>
    <xf numFmtId="0" fontId="11" fillId="0" borderId="0" xfId="0" applyFont="1" applyFill="1" applyBorder="1" applyAlignment="1">
      <alignment horizontal="left"/>
    </xf>
    <xf numFmtId="165" fontId="7" fillId="0" borderId="0" xfId="0" applyNumberFormat="1" applyFont="1" applyBorder="1" applyAlignment="1">
      <alignment/>
    </xf>
    <xf numFmtId="0" fontId="14" fillId="0" borderId="0" xfId="0" applyFont="1" applyBorder="1" applyAlignment="1">
      <alignment/>
    </xf>
    <xf numFmtId="164" fontId="11" fillId="0" borderId="0" xfId="0" applyNumberFormat="1" applyFont="1" applyAlignment="1">
      <alignment horizontal="left"/>
    </xf>
    <xf numFmtId="165" fontId="11" fillId="0" borderId="13" xfId="0" applyNumberFormat="1" applyFont="1" applyBorder="1" applyAlignment="1">
      <alignment horizontal="center" vertical="center"/>
    </xf>
    <xf numFmtId="164" fontId="11" fillId="0" borderId="11" xfId="0" applyNumberFormat="1" applyFont="1" applyBorder="1" applyAlignment="1">
      <alignment horizontal="right"/>
    </xf>
    <xf numFmtId="165" fontId="11" fillId="0" borderId="12" xfId="47" applyNumberFormat="1" applyFont="1" applyBorder="1" applyAlignment="1">
      <alignment horizontal="right"/>
    </xf>
    <xf numFmtId="174" fontId="11" fillId="0" borderId="11" xfId="0" applyNumberFormat="1" applyFont="1" applyBorder="1" applyAlignment="1">
      <alignment horizontal="right"/>
    </xf>
    <xf numFmtId="165" fontId="11" fillId="0" borderId="12" xfId="0" applyNumberFormat="1" applyFont="1" applyBorder="1" applyAlignment="1">
      <alignment horizontal="right"/>
    </xf>
    <xf numFmtId="192" fontId="11" fillId="0" borderId="11" xfId="42" applyNumberFormat="1" applyFont="1" applyBorder="1" applyAlignment="1">
      <alignment horizontal="right"/>
    </xf>
    <xf numFmtId="0" fontId="11" fillId="0" borderId="18" xfId="0" applyFont="1" applyFill="1" applyBorder="1" applyAlignment="1">
      <alignment/>
    </xf>
    <xf numFmtId="164" fontId="11" fillId="0" borderId="19" xfId="0" applyNumberFormat="1" applyFont="1" applyBorder="1" applyAlignment="1">
      <alignment horizontal="right"/>
    </xf>
    <xf numFmtId="165" fontId="11" fillId="0" borderId="20" xfId="47" applyNumberFormat="1" applyFont="1" applyBorder="1" applyAlignment="1">
      <alignment horizontal="right"/>
    </xf>
    <xf numFmtId="164" fontId="7" fillId="0" borderId="21" xfId="0" applyNumberFormat="1" applyFont="1" applyBorder="1" applyAlignment="1">
      <alignment horizontal="right"/>
    </xf>
    <xf numFmtId="165" fontId="7" fillId="0" borderId="22" xfId="47" applyNumberFormat="1" applyFont="1" applyBorder="1" applyAlignment="1">
      <alignment horizontal="right"/>
    </xf>
    <xf numFmtId="174" fontId="11" fillId="0" borderId="21" xfId="0" applyNumberFormat="1" applyFont="1" applyBorder="1" applyAlignment="1">
      <alignment horizontal="right"/>
    </xf>
    <xf numFmtId="165" fontId="7" fillId="0" borderId="23" xfId="47" applyNumberFormat="1" applyFont="1" applyBorder="1" applyAlignment="1">
      <alignment horizontal="right"/>
    </xf>
    <xf numFmtId="44" fontId="7" fillId="0" borderId="23" xfId="47" applyFont="1" applyBorder="1" applyAlignment="1">
      <alignment horizontal="right"/>
    </xf>
    <xf numFmtId="44" fontId="7" fillId="0" borderId="22" xfId="47" applyFont="1" applyBorder="1" applyAlignment="1">
      <alignment horizontal="right"/>
    </xf>
    <xf numFmtId="165" fontId="11" fillId="0" borderId="18" xfId="0" applyNumberFormat="1" applyFont="1" applyBorder="1" applyAlignment="1">
      <alignment horizontal="center" wrapText="1"/>
    </xf>
    <xf numFmtId="165" fontId="11" fillId="0" borderId="13" xfId="47" applyNumberFormat="1" applyFont="1" applyBorder="1" applyAlignment="1">
      <alignment horizontal="center" vertical="center"/>
    </xf>
    <xf numFmtId="0" fontId="7" fillId="0" borderId="24" xfId="0" applyFont="1" applyBorder="1" applyAlignment="1">
      <alignment horizontal="center"/>
    </xf>
    <xf numFmtId="0" fontId="7" fillId="0" borderId="1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Fill="1" applyBorder="1" applyAlignment="1">
      <alignment horizontal="center" wrapText="1"/>
    </xf>
    <xf numFmtId="0" fontId="7" fillId="0" borderId="26" xfId="0" applyFont="1" applyFill="1" applyBorder="1" applyAlignment="1">
      <alignment horizontal="center" wrapText="1"/>
    </xf>
    <xf numFmtId="0" fontId="7" fillId="0" borderId="27" xfId="0" applyFont="1" applyFill="1" applyBorder="1" applyAlignment="1">
      <alignment horizontal="left" wrapText="1"/>
    </xf>
    <xf numFmtId="0" fontId="11" fillId="0" borderId="11" xfId="0" applyFont="1" applyBorder="1" applyAlignment="1">
      <alignment/>
    </xf>
    <xf numFmtId="0" fontId="11" fillId="0" borderId="26" xfId="0" applyFont="1" applyBorder="1" applyAlignment="1">
      <alignment/>
    </xf>
    <xf numFmtId="0" fontId="11" fillId="0" borderId="27" xfId="0" applyFont="1" applyFill="1" applyBorder="1" applyAlignment="1">
      <alignment horizontal="left" vertical="top" wrapText="1"/>
    </xf>
    <xf numFmtId="164" fontId="11" fillId="0" borderId="11" xfId="0" applyNumberFormat="1" applyFont="1" applyFill="1" applyBorder="1" applyAlignment="1">
      <alignment horizontal="right"/>
    </xf>
    <xf numFmtId="164" fontId="11" fillId="0" borderId="26" xfId="0" applyNumberFormat="1" applyFont="1" applyFill="1" applyBorder="1" applyAlignment="1">
      <alignment horizontal="right"/>
    </xf>
    <xf numFmtId="0" fontId="11" fillId="0" borderId="27" xfId="0" applyFont="1" applyFill="1" applyBorder="1" applyAlignment="1">
      <alignment horizontal="left" wrapText="1"/>
    </xf>
    <xf numFmtId="0" fontId="7" fillId="0" borderId="27" xfId="0" applyFont="1" applyFill="1" applyBorder="1" applyAlignment="1">
      <alignment horizontal="center" wrapText="1"/>
    </xf>
    <xf numFmtId="164" fontId="7" fillId="0" borderId="11" xfId="0" applyNumberFormat="1" applyFont="1" applyFill="1" applyBorder="1" applyAlignment="1">
      <alignment horizontal="right"/>
    </xf>
    <xf numFmtId="0" fontId="7" fillId="0" borderId="26" xfId="0" applyFont="1" applyFill="1" applyBorder="1" applyAlignment="1">
      <alignment/>
    </xf>
    <xf numFmtId="0" fontId="11" fillId="0" borderId="27" xfId="0" applyFont="1" applyFill="1" applyBorder="1" applyAlignment="1">
      <alignment horizontal="left" vertical="center" wrapText="1"/>
    </xf>
    <xf numFmtId="164" fontId="11" fillId="0" borderId="28" xfId="0" applyNumberFormat="1" applyFont="1" applyFill="1" applyBorder="1" applyAlignment="1">
      <alignment horizontal="right"/>
    </xf>
    <xf numFmtId="0" fontId="7" fillId="0" borderId="27" xfId="0" applyFont="1" applyBorder="1" applyAlignment="1">
      <alignment horizontal="left" wrapText="1"/>
    </xf>
    <xf numFmtId="0" fontId="7" fillId="0" borderId="14"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0" fontId="11" fillId="0" borderId="10" xfId="67" applyNumberFormat="1" applyFont="1" applyFill="1" applyBorder="1" applyAlignment="1">
      <alignment horizontal="right"/>
    </xf>
    <xf numFmtId="10" fontId="7" fillId="0" borderId="0" xfId="0" applyNumberFormat="1" applyFont="1" applyBorder="1" applyAlignment="1">
      <alignment horizontal="right"/>
    </xf>
    <xf numFmtId="165" fontId="7" fillId="0" borderId="12" xfId="0" applyNumberFormat="1" applyFont="1" applyBorder="1" applyAlignment="1">
      <alignment horizontal="center" vertical="center"/>
    </xf>
    <xf numFmtId="0" fontId="11" fillId="0" borderId="29" xfId="0" applyFont="1" applyBorder="1" applyAlignment="1">
      <alignment horizontal="right" vertical="center" wrapText="1"/>
    </xf>
    <xf numFmtId="0" fontId="7" fillId="0" borderId="30"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164" fontId="7" fillId="0" borderId="11" xfId="0" applyNumberFormat="1" applyFont="1" applyBorder="1" applyAlignment="1">
      <alignment horizontal="center" vertical="center" wrapText="1"/>
    </xf>
    <xf numFmtId="164" fontId="11" fillId="0" borderId="10" xfId="0" applyNumberFormat="1" applyFont="1" applyBorder="1" applyAlignment="1">
      <alignment horizontal="right"/>
    </xf>
    <xf numFmtId="164" fontId="7" fillId="0" borderId="18" xfId="0" applyNumberFormat="1" applyFont="1" applyBorder="1" applyAlignment="1">
      <alignment horizontal="right"/>
    </xf>
    <xf numFmtId="164" fontId="7" fillId="0" borderId="17" xfId="0" applyNumberFormat="1" applyFont="1" applyBorder="1" applyAlignment="1">
      <alignment horizontal="right"/>
    </xf>
    <xf numFmtId="165" fontId="7" fillId="0" borderId="13" xfId="0" applyNumberFormat="1" applyFont="1" applyBorder="1" applyAlignment="1">
      <alignment horizontal="right"/>
    </xf>
    <xf numFmtId="0" fontId="11" fillId="0" borderId="0" xfId="0" applyFont="1" applyBorder="1" applyAlignment="1">
      <alignment horizontal="left"/>
    </xf>
    <xf numFmtId="0" fontId="7" fillId="0" borderId="14" xfId="0" applyFont="1" applyBorder="1" applyAlignment="1">
      <alignment horizontal="center" vertical="center"/>
    </xf>
    <xf numFmtId="0" fontId="11" fillId="0" borderId="19" xfId="0" applyFont="1" applyBorder="1" applyAlignment="1">
      <alignment/>
    </xf>
    <xf numFmtId="165" fontId="11" fillId="0" borderId="31" xfId="0" applyNumberFormat="1" applyFont="1" applyBorder="1" applyAlignment="1">
      <alignment/>
    </xf>
    <xf numFmtId="165" fontId="11" fillId="0" borderId="20" xfId="0" applyNumberFormat="1" applyFont="1" applyBorder="1" applyAlignment="1">
      <alignment/>
    </xf>
    <xf numFmtId="165" fontId="7" fillId="0" borderId="17" xfId="0" applyNumberFormat="1" applyFont="1" applyBorder="1" applyAlignment="1">
      <alignment/>
    </xf>
    <xf numFmtId="0" fontId="7" fillId="0" borderId="0" xfId="0" applyFont="1" applyFill="1" applyBorder="1" applyAlignment="1">
      <alignment horizontal="center"/>
    </xf>
    <xf numFmtId="0" fontId="7" fillId="0" borderId="32" xfId="0" applyFont="1" applyFill="1" applyBorder="1" applyAlignment="1">
      <alignment horizontal="center" wrapText="1"/>
    </xf>
    <xf numFmtId="164" fontId="7" fillId="0" borderId="0" xfId="0" applyNumberFormat="1" applyFont="1" applyFill="1" applyBorder="1" applyAlignment="1">
      <alignment horizontal="right"/>
    </xf>
    <xf numFmtId="164" fontId="7" fillId="0" borderId="0" xfId="0" applyNumberFormat="1" applyFont="1" applyBorder="1" applyAlignment="1">
      <alignment horizontal="right"/>
    </xf>
    <xf numFmtId="164"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0" fontId="7" fillId="0" borderId="0" xfId="0" applyFont="1" applyBorder="1" applyAlignment="1">
      <alignment horizontal="center"/>
    </xf>
    <xf numFmtId="164" fontId="12" fillId="0" borderId="0" xfId="0" applyNumberFormat="1" applyFont="1" applyBorder="1" applyAlignment="1">
      <alignment horizontal="center" vertical="center" wrapText="1"/>
    </xf>
    <xf numFmtId="165" fontId="11" fillId="33" borderId="10" xfId="0" applyNumberFormat="1" applyFont="1" applyFill="1" applyBorder="1" applyAlignment="1">
      <alignment/>
    </xf>
    <xf numFmtId="165" fontId="11" fillId="33" borderId="10" xfId="0" applyNumberFormat="1" applyFont="1" applyFill="1" applyBorder="1" applyAlignment="1">
      <alignment horizontal="right"/>
    </xf>
    <xf numFmtId="7" fontId="11" fillId="33" borderId="10" xfId="0" applyNumberFormat="1" applyFont="1" applyFill="1" applyBorder="1" applyAlignment="1">
      <alignment horizontal="right"/>
    </xf>
    <xf numFmtId="165" fontId="7" fillId="33" borderId="10" xfId="0" applyNumberFormat="1" applyFont="1" applyFill="1" applyBorder="1" applyAlignment="1">
      <alignment horizontal="right"/>
    </xf>
    <xf numFmtId="165" fontId="11" fillId="33" borderId="10" xfId="47" applyNumberFormat="1" applyFont="1" applyFill="1" applyBorder="1" applyAlignment="1">
      <alignment horizontal="right"/>
    </xf>
    <xf numFmtId="165" fontId="11" fillId="33" borderId="10" xfId="42" applyNumberFormat="1" applyFont="1" applyFill="1" applyBorder="1" applyAlignment="1">
      <alignment horizontal="right"/>
    </xf>
    <xf numFmtId="165" fontId="7" fillId="33" borderId="10" xfId="47" applyNumberFormat="1" applyFont="1" applyFill="1" applyBorder="1" applyAlignment="1">
      <alignment/>
    </xf>
    <xf numFmtId="0" fontId="7" fillId="34" borderId="16" xfId="0" applyFont="1" applyFill="1" applyBorder="1" applyAlignment="1">
      <alignment horizontal="center" wrapText="1"/>
    </xf>
    <xf numFmtId="192" fontId="11" fillId="34" borderId="12" xfId="42" applyNumberFormat="1" applyFont="1" applyFill="1" applyBorder="1" applyAlignment="1">
      <alignment horizontal="right"/>
    </xf>
    <xf numFmtId="1" fontId="11" fillId="34" borderId="12" xfId="42" applyNumberFormat="1" applyFont="1" applyFill="1" applyBorder="1" applyAlignment="1">
      <alignment horizontal="right"/>
    </xf>
    <xf numFmtId="1" fontId="11" fillId="34" borderId="13" xfId="42" applyNumberFormat="1" applyFont="1" applyFill="1" applyBorder="1" applyAlignment="1">
      <alignment/>
    </xf>
    <xf numFmtId="0" fontId="7" fillId="33" borderId="15" xfId="0" applyNumberFormat="1" applyFont="1" applyFill="1" applyBorder="1" applyAlignment="1">
      <alignment horizontal="center" wrapText="1"/>
    </xf>
    <xf numFmtId="0" fontId="7" fillId="33" borderId="16" xfId="0" applyNumberFormat="1" applyFont="1" applyFill="1" applyBorder="1" applyAlignment="1">
      <alignment horizontal="center" wrapText="1"/>
    </xf>
    <xf numFmtId="165" fontId="11" fillId="33" borderId="12" xfId="0" applyNumberFormat="1" applyFont="1" applyFill="1" applyBorder="1" applyAlignment="1">
      <alignment horizontal="right"/>
    </xf>
    <xf numFmtId="165" fontId="11" fillId="33" borderId="31" xfId="0" applyNumberFormat="1" applyFont="1" applyFill="1" applyBorder="1" applyAlignment="1">
      <alignment horizontal="right"/>
    </xf>
    <xf numFmtId="165" fontId="11" fillId="33" borderId="20" xfId="0" applyNumberFormat="1" applyFont="1" applyFill="1" applyBorder="1" applyAlignment="1">
      <alignment horizontal="right"/>
    </xf>
    <xf numFmtId="0" fontId="7" fillId="34" borderId="27" xfId="0" applyFont="1" applyFill="1" applyBorder="1" applyAlignment="1">
      <alignment horizontal="right" wrapText="1"/>
    </xf>
    <xf numFmtId="164" fontId="7" fillId="34" borderId="11" xfId="0" applyNumberFormat="1" applyFont="1" applyFill="1" applyBorder="1" applyAlignment="1">
      <alignment horizontal="right"/>
    </xf>
    <xf numFmtId="164" fontId="7" fillId="34" borderId="26" xfId="0" applyNumberFormat="1" applyFont="1" applyFill="1" applyBorder="1" applyAlignment="1">
      <alignment/>
    </xf>
    <xf numFmtId="164" fontId="7" fillId="34" borderId="26" xfId="0" applyNumberFormat="1" applyFont="1" applyFill="1" applyBorder="1" applyAlignment="1">
      <alignment horizontal="right"/>
    </xf>
    <xf numFmtId="0" fontId="7" fillId="34" borderId="33" xfId="0" applyFont="1" applyFill="1" applyBorder="1" applyAlignment="1">
      <alignment horizontal="right" wrapText="1"/>
    </xf>
    <xf numFmtId="164" fontId="7" fillId="34" borderId="19" xfId="0" applyNumberFormat="1" applyFont="1" applyFill="1" applyBorder="1" applyAlignment="1">
      <alignment horizontal="right"/>
    </xf>
    <xf numFmtId="164" fontId="7" fillId="34" borderId="34" xfId="0" applyNumberFormat="1" applyFont="1" applyFill="1" applyBorder="1" applyAlignment="1">
      <alignment horizontal="right"/>
    </xf>
    <xf numFmtId="164" fontId="7" fillId="34" borderId="35" xfId="0" applyNumberFormat="1" applyFont="1" applyFill="1" applyBorder="1" applyAlignment="1">
      <alignment horizontal="right"/>
    </xf>
    <xf numFmtId="0" fontId="11" fillId="0" borderId="36" xfId="0" applyFont="1" applyBorder="1" applyAlignment="1">
      <alignment horizontal="right" vertical="center"/>
    </xf>
    <xf numFmtId="165" fontId="7" fillId="0" borderId="20" xfId="0" applyNumberFormat="1" applyFont="1" applyBorder="1" applyAlignment="1">
      <alignment horizontal="center" vertical="center"/>
    </xf>
    <xf numFmtId="0" fontId="13" fillId="35" borderId="24" xfId="0" applyFont="1" applyFill="1" applyBorder="1" applyAlignment="1">
      <alignment horizontal="center"/>
    </xf>
    <xf numFmtId="0" fontId="13" fillId="36" borderId="31" xfId="0" applyFont="1" applyFill="1" applyBorder="1" applyAlignment="1">
      <alignment horizontal="center"/>
    </xf>
    <xf numFmtId="0" fontId="13" fillId="34" borderId="37" xfId="0" applyFont="1" applyFill="1" applyBorder="1" applyAlignment="1">
      <alignment horizontal="center"/>
    </xf>
    <xf numFmtId="0" fontId="7" fillId="0" borderId="10" xfId="0" applyNumberFormat="1" applyFont="1" applyFill="1" applyBorder="1" applyAlignment="1">
      <alignment horizontal="center" wrapText="1"/>
    </xf>
    <xf numFmtId="0" fontId="7" fillId="0" borderId="10" xfId="0" applyFont="1" applyBorder="1" applyAlignment="1">
      <alignment horizontal="center"/>
    </xf>
    <xf numFmtId="2" fontId="11" fillId="0" borderId="0" xfId="0" applyNumberFormat="1" applyFont="1" applyBorder="1" applyAlignment="1">
      <alignment/>
    </xf>
    <xf numFmtId="0" fontId="13" fillId="34" borderId="10" xfId="0" applyFont="1" applyFill="1" applyBorder="1" applyAlignment="1">
      <alignment horizontal="center"/>
    </xf>
    <xf numFmtId="0" fontId="11" fillId="0" borderId="10" xfId="0" applyFont="1" applyBorder="1" applyAlignment="1">
      <alignment wrapText="1"/>
    </xf>
    <xf numFmtId="166" fontId="11" fillId="0" borderId="10" xfId="67" applyNumberFormat="1" applyFont="1" applyFill="1" applyBorder="1" applyAlignment="1">
      <alignment horizontal="right"/>
    </xf>
    <xf numFmtId="173" fontId="11" fillId="0" borderId="10" xfId="67" applyNumberFormat="1" applyFont="1" applyFill="1" applyBorder="1" applyAlignment="1">
      <alignment horizontal="right"/>
    </xf>
    <xf numFmtId="164" fontId="11" fillId="0" borderId="10" xfId="67" applyNumberFormat="1" applyFont="1" applyFill="1" applyBorder="1" applyAlignment="1">
      <alignment horizontal="right"/>
    </xf>
    <xf numFmtId="170" fontId="11" fillId="0" borderId="10" xfId="67" applyNumberFormat="1" applyFont="1" applyBorder="1" applyAlignment="1">
      <alignment horizontal="right"/>
    </xf>
    <xf numFmtId="0" fontId="13" fillId="36" borderId="37" xfId="0" applyFont="1" applyFill="1" applyBorder="1" applyAlignment="1">
      <alignment horizontal="center" wrapText="1"/>
    </xf>
    <xf numFmtId="0" fontId="13" fillId="36" borderId="31" xfId="0" applyFont="1" applyFill="1" applyBorder="1" applyAlignment="1">
      <alignment horizontal="center" wrapText="1"/>
    </xf>
    <xf numFmtId="0" fontId="7" fillId="0" borderId="10" xfId="0" applyNumberFormat="1" applyFont="1" applyBorder="1" applyAlignment="1">
      <alignment horizontal="center" wrapText="1"/>
    </xf>
    <xf numFmtId="0" fontId="7" fillId="37" borderId="10" xfId="0" applyNumberFormat="1" applyFont="1" applyFill="1" applyBorder="1" applyAlignment="1">
      <alignment horizontal="center" wrapText="1"/>
    </xf>
    <xf numFmtId="192" fontId="11" fillId="0" borderId="10" xfId="42" applyNumberFormat="1" applyFont="1" applyFill="1" applyBorder="1" applyAlignment="1">
      <alignment/>
    </xf>
    <xf numFmtId="165" fontId="11" fillId="37" borderId="10" xfId="0" applyNumberFormat="1" applyFont="1" applyFill="1" applyBorder="1" applyAlignment="1">
      <alignment horizontal="right"/>
    </xf>
    <xf numFmtId="192" fontId="7" fillId="0" borderId="10" xfId="42" applyNumberFormat="1" applyFont="1" applyFill="1" applyBorder="1" applyAlignment="1">
      <alignment/>
    </xf>
    <xf numFmtId="0" fontId="7" fillId="0" borderId="10" xfId="0" applyFont="1" applyFill="1" applyBorder="1" applyAlignment="1">
      <alignment/>
    </xf>
    <xf numFmtId="192" fontId="7" fillId="0" borderId="10" xfId="42" applyNumberFormat="1" applyFont="1" applyFill="1" applyBorder="1" applyAlignment="1">
      <alignment/>
    </xf>
    <xf numFmtId="192" fontId="7" fillId="0" borderId="10" xfId="42" applyNumberFormat="1" applyFont="1" applyBorder="1" applyAlignment="1">
      <alignment horizontal="left" indent="2"/>
    </xf>
    <xf numFmtId="164" fontId="7" fillId="0" borderId="10" xfId="0" applyNumberFormat="1" applyFont="1" applyBorder="1" applyAlignment="1">
      <alignment horizontal="center"/>
    </xf>
    <xf numFmtId="0" fontId="7" fillId="0" borderId="38" xfId="0" applyFont="1" applyFill="1" applyBorder="1" applyAlignment="1">
      <alignment horizontal="center" vertical="center" wrapText="1"/>
    </xf>
    <xf numFmtId="164" fontId="7" fillId="0" borderId="15" xfId="0" applyNumberFormat="1" applyFont="1" applyBorder="1" applyAlignment="1">
      <alignment horizontal="center" vertical="center" wrapText="1"/>
    </xf>
    <xf numFmtId="164" fontId="7" fillId="0" borderId="16" xfId="0" applyNumberFormat="1" applyFont="1" applyBorder="1" applyAlignment="1">
      <alignment horizontal="center" vertical="center" wrapText="1"/>
    </xf>
    <xf numFmtId="0" fontId="11" fillId="0" borderId="18" xfId="0" applyFont="1" applyBorder="1" applyAlignment="1">
      <alignment horizontal="center"/>
    </xf>
    <xf numFmtId="10" fontId="7" fillId="0" borderId="17" xfId="0" applyNumberFormat="1" applyFont="1" applyBorder="1" applyAlignment="1">
      <alignment horizontal="right"/>
    </xf>
    <xf numFmtId="10" fontId="7" fillId="0" borderId="13" xfId="0" applyNumberFormat="1" applyFont="1" applyBorder="1" applyAlignment="1">
      <alignment horizontal="right"/>
    </xf>
    <xf numFmtId="1" fontId="11" fillId="0" borderId="10" xfId="0" applyNumberFormat="1" applyFont="1" applyFill="1" applyBorder="1" applyAlignment="1">
      <alignment/>
    </xf>
    <xf numFmtId="1" fontId="11" fillId="0" borderId="17" xfId="0" applyNumberFormat="1" applyFont="1" applyFill="1" applyBorder="1" applyAlignment="1">
      <alignment/>
    </xf>
    <xf numFmtId="0" fontId="14" fillId="0" borderId="0" xfId="0" applyFont="1" applyFill="1" applyAlignment="1">
      <alignment/>
    </xf>
    <xf numFmtId="0" fontId="11" fillId="0" borderId="0" xfId="0" applyFont="1" applyFill="1" applyAlignment="1">
      <alignment/>
    </xf>
    <xf numFmtId="7" fontId="0" fillId="0" borderId="0" xfId="0" applyNumberFormat="1" applyAlignment="1">
      <alignment/>
    </xf>
    <xf numFmtId="43" fontId="0" fillId="0" borderId="0" xfId="0" applyNumberFormat="1" applyAlignment="1">
      <alignment/>
    </xf>
    <xf numFmtId="167" fontId="11" fillId="0" borderId="0" xfId="0" applyNumberFormat="1" applyFont="1" applyBorder="1" applyAlignment="1">
      <alignment horizontal="right"/>
    </xf>
    <xf numFmtId="0" fontId="6" fillId="0" borderId="0" xfId="0" applyFont="1" applyFill="1" applyBorder="1" applyAlignment="1">
      <alignment horizontal="left" vertical="top" wrapText="1"/>
    </xf>
    <xf numFmtId="0" fontId="35" fillId="0" borderId="0" xfId="0" applyFont="1" applyBorder="1" applyAlignment="1">
      <alignment vertical="center"/>
    </xf>
    <xf numFmtId="0" fontId="13" fillId="0" borderId="0" xfId="0" applyFont="1" applyBorder="1" applyAlignment="1">
      <alignment vertical="center"/>
    </xf>
    <xf numFmtId="0" fontId="11"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7" fillId="38" borderId="10" xfId="0" applyNumberFormat="1" applyFont="1" applyFill="1" applyBorder="1" applyAlignment="1">
      <alignment horizontal="center" vertical="center" wrapText="1"/>
    </xf>
    <xf numFmtId="0" fontId="7" fillId="39" borderId="10"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11" fillId="38" borderId="10" xfId="0" applyFont="1" applyFill="1" applyBorder="1" applyAlignment="1">
      <alignment vertical="center"/>
    </xf>
    <xf numFmtId="192" fontId="11" fillId="39" borderId="10" xfId="42" applyNumberFormat="1" applyFont="1" applyFill="1" applyBorder="1" applyAlignment="1">
      <alignment vertical="center"/>
    </xf>
    <xf numFmtId="165" fontId="11" fillId="39" borderId="10" xfId="42" applyNumberFormat="1" applyFont="1" applyFill="1" applyBorder="1" applyAlignment="1">
      <alignment vertical="center"/>
    </xf>
    <xf numFmtId="192" fontId="11" fillId="37" borderId="10" xfId="42" applyNumberFormat="1" applyFont="1" applyFill="1" applyBorder="1" applyAlignment="1">
      <alignment vertical="center"/>
    </xf>
    <xf numFmtId="165" fontId="11" fillId="37" borderId="10" xfId="42" applyNumberFormat="1" applyFont="1" applyFill="1" applyBorder="1" applyAlignment="1">
      <alignment vertical="center"/>
    </xf>
    <xf numFmtId="0" fontId="11" fillId="38" borderId="10" xfId="0" applyFont="1" applyFill="1" applyBorder="1" applyAlignment="1">
      <alignment horizontal="center" vertical="center"/>
    </xf>
    <xf numFmtId="0" fontId="11" fillId="0" borderId="0" xfId="0" applyFont="1" applyAlignment="1">
      <alignment vertical="center"/>
    </xf>
    <xf numFmtId="192" fontId="7" fillId="39" borderId="39" xfId="0" applyNumberFormat="1" applyFont="1" applyFill="1" applyBorder="1" applyAlignment="1">
      <alignment vertical="center"/>
    </xf>
    <xf numFmtId="0" fontId="11" fillId="0" borderId="0" xfId="0" applyFont="1" applyBorder="1" applyAlignment="1">
      <alignment vertical="center"/>
    </xf>
    <xf numFmtId="192" fontId="7" fillId="37" borderId="39" xfId="0" applyNumberFormat="1" applyFont="1" applyFill="1" applyBorder="1" applyAlignment="1">
      <alignment vertical="center"/>
    </xf>
    <xf numFmtId="0" fontId="11" fillId="0" borderId="0" xfId="0" applyFont="1" applyFill="1" applyBorder="1" applyAlignment="1">
      <alignment vertical="center"/>
    </xf>
    <xf numFmtId="0" fontId="36" fillId="0" borderId="0" xfId="0" applyFont="1" applyAlignment="1">
      <alignment/>
    </xf>
    <xf numFmtId="0" fontId="13" fillId="0" borderId="0" xfId="0" applyFont="1" applyBorder="1" applyAlignment="1">
      <alignment horizontal="left" vertical="center"/>
    </xf>
    <xf numFmtId="0" fontId="7" fillId="0" borderId="0" xfId="0" applyFont="1" applyBorder="1" applyAlignment="1">
      <alignment horizontal="center"/>
    </xf>
    <xf numFmtId="0" fontId="7" fillId="38" borderId="10" xfId="0" applyFont="1" applyFill="1" applyBorder="1" applyAlignment="1">
      <alignment horizontal="center" vertical="center" wrapText="1"/>
    </xf>
    <xf numFmtId="0" fontId="11" fillId="38" borderId="10" xfId="0" applyFont="1" applyFill="1" applyBorder="1" applyAlignment="1">
      <alignment/>
    </xf>
    <xf numFmtId="165" fontId="11" fillId="39" borderId="10" xfId="44" applyNumberFormat="1" applyFont="1" applyFill="1" applyBorder="1" applyAlignment="1">
      <alignment/>
    </xf>
    <xf numFmtId="165" fontId="11" fillId="37" borderId="10" xfId="44" applyNumberFormat="1" applyFont="1" applyFill="1" applyBorder="1" applyAlignment="1">
      <alignment/>
    </xf>
    <xf numFmtId="0" fontId="11" fillId="38" borderId="10" xfId="0" applyFont="1" applyFill="1" applyBorder="1" applyAlignment="1">
      <alignment horizontal="center"/>
    </xf>
    <xf numFmtId="0" fontId="7" fillId="0" borderId="0" xfId="0" applyFont="1" applyFill="1" applyBorder="1" applyAlignment="1">
      <alignment horizontal="center" wrapText="1"/>
    </xf>
    <xf numFmtId="43" fontId="11" fillId="0" borderId="0" xfId="0" applyNumberFormat="1" applyFont="1" applyAlignment="1">
      <alignment/>
    </xf>
    <xf numFmtId="165" fontId="11" fillId="0" borderId="0" xfId="44" applyNumberFormat="1" applyFont="1" applyFill="1" applyBorder="1" applyAlignment="1">
      <alignment/>
    </xf>
    <xf numFmtId="165" fontId="11" fillId="39" borderId="10" xfId="44" applyNumberFormat="1" applyFont="1" applyFill="1" applyBorder="1" applyAlignment="1">
      <alignment horizontal="right"/>
    </xf>
    <xf numFmtId="167" fontId="11" fillId="39" borderId="10" xfId="44" applyNumberFormat="1" applyFont="1" applyFill="1" applyBorder="1" applyAlignment="1">
      <alignment horizontal="right"/>
    </xf>
    <xf numFmtId="165" fontId="11" fillId="37" borderId="10" xfId="44" applyNumberFormat="1" applyFont="1" applyFill="1" applyBorder="1" applyAlignment="1">
      <alignment horizontal="right"/>
    </xf>
    <xf numFmtId="0" fontId="11" fillId="0" borderId="40" xfId="0" applyFont="1" applyFill="1" applyBorder="1" applyAlignment="1">
      <alignment horizontal="left"/>
    </xf>
    <xf numFmtId="0" fontId="11" fillId="0" borderId="0" xfId="0" applyFont="1" applyFill="1" applyBorder="1" applyAlignment="1">
      <alignment horizontal="left"/>
    </xf>
    <xf numFmtId="0" fontId="7" fillId="0" borderId="0" xfId="0" applyFont="1" applyFill="1" applyBorder="1" applyAlignment="1">
      <alignment horizontal="left"/>
    </xf>
    <xf numFmtId="0" fontId="7" fillId="38" borderId="10" xfId="0" applyFont="1" applyFill="1" applyBorder="1" applyAlignment="1">
      <alignment horizontal="center" wrapText="1"/>
    </xf>
    <xf numFmtId="174" fontId="11" fillId="39" borderId="10" xfId="44" applyNumberFormat="1" applyFont="1" applyFill="1" applyBorder="1" applyAlignment="1">
      <alignment/>
    </xf>
    <xf numFmtId="174" fontId="11" fillId="37" borderId="10" xfId="44" applyNumberFormat="1" applyFont="1" applyFill="1" applyBorder="1" applyAlignment="1">
      <alignment/>
    </xf>
    <xf numFmtId="174" fontId="11" fillId="0" borderId="0" xfId="44" applyNumberFormat="1" applyFont="1" applyFill="1" applyBorder="1" applyAlignment="1">
      <alignment/>
    </xf>
    <xf numFmtId="192" fontId="11" fillId="0" borderId="0" xfId="44" applyNumberFormat="1" applyFont="1" applyFill="1" applyBorder="1" applyAlignment="1">
      <alignment/>
    </xf>
    <xf numFmtId="0" fontId="7" fillId="38" borderId="27" xfId="0" applyFont="1" applyFill="1" applyBorder="1" applyAlignment="1">
      <alignment horizontal="center" wrapText="1"/>
    </xf>
    <xf numFmtId="0" fontId="11" fillId="38" borderId="27" xfId="0" applyFont="1" applyFill="1" applyBorder="1" applyAlignment="1">
      <alignment/>
    </xf>
    <xf numFmtId="0" fontId="11" fillId="38" borderId="27" xfId="0" applyFont="1" applyFill="1" applyBorder="1" applyAlignment="1">
      <alignment horizontal="center"/>
    </xf>
    <xf numFmtId="165" fontId="11" fillId="39" borderId="10" xfId="42" applyNumberFormat="1" applyFont="1" applyFill="1" applyBorder="1" applyAlignment="1">
      <alignment/>
    </xf>
    <xf numFmtId="165" fontId="11" fillId="39" borderId="10" xfId="47" applyNumberFormat="1" applyFont="1" applyFill="1" applyBorder="1" applyAlignment="1">
      <alignment vertical="center"/>
    </xf>
    <xf numFmtId="165" fontId="11" fillId="39" borderId="10" xfId="0" applyNumberFormat="1" applyFont="1" applyFill="1" applyBorder="1" applyAlignment="1">
      <alignment vertical="center"/>
    </xf>
    <xf numFmtId="165" fontId="11" fillId="37" borderId="10" xfId="42" applyNumberFormat="1" applyFont="1" applyFill="1" applyBorder="1" applyAlignment="1">
      <alignment/>
    </xf>
    <xf numFmtId="165" fontId="11" fillId="37" borderId="10" xfId="47" applyNumberFormat="1" applyFont="1" applyFill="1" applyBorder="1" applyAlignment="1">
      <alignment vertical="center"/>
    </xf>
    <xf numFmtId="165" fontId="11" fillId="37" borderId="10" xfId="0" applyNumberFormat="1" applyFont="1" applyFill="1" applyBorder="1" applyAlignment="1">
      <alignment vertical="center"/>
    </xf>
    <xf numFmtId="0" fontId="7" fillId="0" borderId="10" xfId="0" applyFont="1" applyBorder="1" applyAlignment="1">
      <alignment horizontal="right" vertical="center"/>
    </xf>
    <xf numFmtId="192" fontId="7" fillId="39" borderId="10" xfId="0" applyNumberFormat="1" applyFont="1" applyFill="1" applyBorder="1" applyAlignment="1">
      <alignment vertical="center"/>
    </xf>
    <xf numFmtId="192" fontId="7" fillId="37" borderId="10" xfId="0" applyNumberFormat="1" applyFont="1" applyFill="1" applyBorder="1" applyAlignment="1">
      <alignment vertical="center"/>
    </xf>
    <xf numFmtId="0" fontId="37" fillId="0" borderId="0" xfId="0" applyFont="1" applyAlignment="1">
      <alignment/>
    </xf>
    <xf numFmtId="0" fontId="38" fillId="0" borderId="0" xfId="0" applyFont="1" applyAlignment="1">
      <alignment/>
    </xf>
    <xf numFmtId="0" fontId="11" fillId="38" borderId="10" xfId="0" applyFont="1" applyFill="1" applyBorder="1" applyAlignment="1">
      <alignment horizontal="right" vertical="center"/>
    </xf>
    <xf numFmtId="7" fontId="11" fillId="39" borderId="10" xfId="47" applyNumberFormat="1" applyFont="1" applyFill="1" applyBorder="1" applyAlignment="1">
      <alignment vertical="center"/>
    </xf>
    <xf numFmtId="7" fontId="11" fillId="37" borderId="10" xfId="47" applyNumberFormat="1" applyFont="1" applyFill="1" applyBorder="1" applyAlignment="1">
      <alignment vertical="center"/>
    </xf>
    <xf numFmtId="0" fontId="11" fillId="0" borderId="10" xfId="0" applyFont="1" applyBorder="1" applyAlignment="1">
      <alignment horizontal="right" vertical="center"/>
    </xf>
    <xf numFmtId="0" fontId="11" fillId="0" borderId="39" xfId="0" applyFont="1" applyBorder="1" applyAlignment="1">
      <alignment horizontal="right" vertical="center"/>
    </xf>
    <xf numFmtId="7" fontId="7" fillId="39" borderId="10" xfId="47" applyNumberFormat="1" applyFont="1" applyFill="1" applyBorder="1" applyAlignment="1">
      <alignment vertical="center"/>
    </xf>
    <xf numFmtId="7" fontId="7" fillId="37" borderId="10" xfId="47" applyNumberFormat="1" applyFont="1" applyFill="1" applyBorder="1" applyAlignment="1">
      <alignment vertical="center"/>
    </xf>
    <xf numFmtId="0" fontId="35" fillId="0" borderId="0" xfId="0" applyFont="1" applyAlignment="1">
      <alignment/>
    </xf>
    <xf numFmtId="0" fontId="37" fillId="0" borderId="0" xfId="0" applyFont="1" applyFill="1" applyBorder="1" applyAlignment="1">
      <alignment/>
    </xf>
    <xf numFmtId="0" fontId="11" fillId="0" borderId="0" xfId="0" applyFont="1" applyBorder="1" applyAlignment="1">
      <alignment/>
    </xf>
    <xf numFmtId="0" fontId="14" fillId="0" borderId="0" xfId="0" applyFont="1" applyFill="1" applyAlignment="1">
      <alignment/>
    </xf>
    <xf numFmtId="165" fontId="14" fillId="0" borderId="0" xfId="0" applyNumberFormat="1" applyFont="1" applyFill="1" applyAlignment="1">
      <alignment/>
    </xf>
    <xf numFmtId="0" fontId="11" fillId="0" borderId="0" xfId="0" applyFont="1" applyFill="1" applyAlignment="1">
      <alignment/>
    </xf>
    <xf numFmtId="0" fontId="13" fillId="0" borderId="0" xfId="0" applyFont="1" applyFill="1" applyBorder="1" applyAlignment="1">
      <alignment horizontal="left" vertical="center"/>
    </xf>
    <xf numFmtId="0" fontId="7" fillId="0" borderId="10" xfId="0" applyFont="1" applyFill="1" applyBorder="1" applyAlignment="1">
      <alignment horizontal="center" wrapText="1"/>
    </xf>
    <xf numFmtId="0" fontId="7" fillId="0" borderId="10" xfId="0" applyFont="1" applyBorder="1" applyAlignment="1">
      <alignment horizontal="center" wrapText="1"/>
    </xf>
    <xf numFmtId="0" fontId="7" fillId="40" borderId="10" xfId="0" applyFont="1" applyFill="1" applyBorder="1" applyAlignment="1">
      <alignment horizontal="center" wrapText="1"/>
    </xf>
    <xf numFmtId="0" fontId="11" fillId="0" borderId="0" xfId="0" applyFont="1" applyBorder="1" applyAlignment="1">
      <alignment wrapText="1"/>
    </xf>
    <xf numFmtId="0" fontId="11" fillId="0" borderId="10" xfId="0" applyFont="1" applyBorder="1" applyAlignment="1">
      <alignment/>
    </xf>
    <xf numFmtId="165" fontId="11" fillId="0" borderId="10" xfId="0" applyNumberFormat="1" applyFont="1" applyBorder="1" applyAlignment="1">
      <alignment horizontal="right"/>
    </xf>
    <xf numFmtId="165" fontId="11" fillId="40" borderId="10" xfId="0" applyNumberFormat="1" applyFont="1" applyFill="1" applyBorder="1" applyAlignment="1">
      <alignment horizontal="right"/>
    </xf>
    <xf numFmtId="7" fontId="11" fillId="0" borderId="10" xfId="0" applyNumberFormat="1" applyFont="1" applyBorder="1" applyAlignment="1">
      <alignment horizontal="right"/>
    </xf>
    <xf numFmtId="43" fontId="11" fillId="0" borderId="0" xfId="0" applyNumberFormat="1" applyFont="1" applyBorder="1" applyAlignment="1">
      <alignment/>
    </xf>
    <xf numFmtId="7" fontId="11" fillId="0" borderId="0" xfId="0" applyNumberFormat="1" applyFont="1" applyBorder="1" applyAlignment="1">
      <alignment/>
    </xf>
    <xf numFmtId="0" fontId="11" fillId="0" borderId="10" xfId="0" applyFont="1" applyFill="1" applyBorder="1" applyAlignment="1">
      <alignment/>
    </xf>
    <xf numFmtId="165" fontId="11" fillId="0" borderId="10" xfId="0" applyNumberFormat="1" applyFont="1" applyFill="1" applyBorder="1" applyAlignment="1">
      <alignment horizontal="right"/>
    </xf>
    <xf numFmtId="165" fontId="11" fillId="0" borderId="0" xfId="0" applyNumberFormat="1" applyFont="1" applyBorder="1" applyAlignment="1">
      <alignment/>
    </xf>
    <xf numFmtId="0" fontId="11" fillId="0" borderId="0" xfId="0" applyFont="1" applyFill="1" applyBorder="1" applyAlignment="1">
      <alignment/>
    </xf>
    <xf numFmtId="165" fontId="11" fillId="0" borderId="0" xfId="0" applyNumberFormat="1" applyFont="1" applyBorder="1" applyAlignment="1">
      <alignment horizontal="right"/>
    </xf>
    <xf numFmtId="165" fontId="11" fillId="0" borderId="0" xfId="0" applyNumberFormat="1" applyFont="1" applyFill="1" applyBorder="1" applyAlignment="1">
      <alignment horizontal="right"/>
    </xf>
    <xf numFmtId="0" fontId="11" fillId="0" borderId="0" xfId="0" applyNumberFormat="1" applyFont="1" applyFill="1" applyBorder="1" applyAlignment="1">
      <alignment horizontal="right"/>
    </xf>
    <xf numFmtId="165" fontId="7" fillId="0" borderId="0" xfId="0" applyNumberFormat="1" applyFont="1" applyBorder="1" applyAlignment="1">
      <alignment horizontal="right"/>
    </xf>
    <xf numFmtId="0" fontId="11" fillId="0" borderId="0" xfId="0" applyFont="1" applyBorder="1" applyAlignment="1">
      <alignment horizontal="right"/>
    </xf>
    <xf numFmtId="164" fontId="11" fillId="0" borderId="0" xfId="0" applyNumberFormat="1" applyFont="1" applyBorder="1" applyAlignment="1">
      <alignment horizontal="right"/>
    </xf>
    <xf numFmtId="165" fontId="11" fillId="0" borderId="0" xfId="0" applyNumberFormat="1" applyFont="1" applyFill="1" applyBorder="1" applyAlignment="1">
      <alignment horizontal="left"/>
    </xf>
    <xf numFmtId="0" fontId="11" fillId="0" borderId="0" xfId="0" applyFont="1" applyFill="1" applyBorder="1" applyAlignment="1">
      <alignment horizontal="right"/>
    </xf>
    <xf numFmtId="164" fontId="11" fillId="0" borderId="0" xfId="0" applyNumberFormat="1" applyFont="1" applyFill="1" applyBorder="1" applyAlignment="1">
      <alignment horizontal="right"/>
    </xf>
    <xf numFmtId="192" fontId="11" fillId="0" borderId="10" xfId="42" applyNumberFormat="1" applyFont="1" applyBorder="1" applyAlignment="1">
      <alignment/>
    </xf>
    <xf numFmtId="174" fontId="11" fillId="0" borderId="10" xfId="0" applyNumberFormat="1" applyFont="1" applyFill="1" applyBorder="1" applyAlignment="1">
      <alignment horizontal="right"/>
    </xf>
    <xf numFmtId="192" fontId="11" fillId="0" borderId="10" xfId="42" applyNumberFormat="1" applyFont="1" applyFill="1" applyBorder="1" applyAlignment="1">
      <alignment horizontal="right"/>
    </xf>
    <xf numFmtId="1" fontId="11" fillId="0" borderId="10" xfId="42" applyNumberFormat="1" applyFont="1" applyBorder="1" applyAlignment="1">
      <alignment/>
    </xf>
    <xf numFmtId="1" fontId="11" fillId="0" borderId="10" xfId="42" applyNumberFormat="1" applyFont="1" applyFill="1" applyBorder="1" applyAlignment="1">
      <alignment horizontal="right"/>
    </xf>
    <xf numFmtId="192" fontId="11" fillId="0" borderId="0" xfId="0" applyNumberFormat="1" applyFont="1" applyBorder="1" applyAlignment="1">
      <alignment/>
    </xf>
    <xf numFmtId="192" fontId="11" fillId="0" borderId="0" xfId="0" applyNumberFormat="1" applyFont="1" applyBorder="1" applyAlignment="1">
      <alignment horizontal="right"/>
    </xf>
    <xf numFmtId="174" fontId="11" fillId="0" borderId="10" xfId="0" applyNumberFormat="1" applyFont="1" applyBorder="1" applyAlignment="1">
      <alignment horizontal="right"/>
    </xf>
    <xf numFmtId="174" fontId="11" fillId="0" borderId="10" xfId="0" applyNumberFormat="1" applyFont="1" applyBorder="1" applyAlignment="1">
      <alignment/>
    </xf>
    <xf numFmtId="165" fontId="11" fillId="0" borderId="10" xfId="0" applyNumberFormat="1" applyFont="1" applyBorder="1" applyAlignment="1">
      <alignment/>
    </xf>
    <xf numFmtId="165" fontId="11" fillId="0" borderId="0" xfId="0" applyNumberFormat="1" applyFont="1" applyAlignment="1">
      <alignment/>
    </xf>
    <xf numFmtId="167" fontId="11" fillId="0" borderId="10" xfId="0" applyNumberFormat="1" applyFont="1" applyBorder="1" applyAlignment="1">
      <alignment horizontal="right"/>
    </xf>
    <xf numFmtId="0" fontId="7" fillId="0" borderId="10" xfId="0" applyFont="1" applyBorder="1" applyAlignment="1">
      <alignment/>
    </xf>
    <xf numFmtId="174" fontId="7" fillId="0" borderId="10" xfId="0" applyNumberFormat="1" applyFont="1" applyBorder="1" applyAlignment="1">
      <alignment horizontal="right"/>
    </xf>
    <xf numFmtId="165" fontId="7" fillId="0" borderId="10" xfId="0" applyNumberFormat="1" applyFont="1" applyBorder="1" applyAlignment="1">
      <alignment horizontal="right"/>
    </xf>
    <xf numFmtId="174" fontId="11" fillId="0" borderId="0" xfId="0" applyNumberFormat="1" applyFont="1" applyBorder="1" applyAlignment="1">
      <alignment horizontal="right"/>
    </xf>
    <xf numFmtId="174" fontId="11" fillId="0" borderId="0" xfId="0" applyNumberFormat="1" applyFont="1" applyBorder="1" applyAlignment="1">
      <alignment horizontal="left"/>
    </xf>
    <xf numFmtId="165" fontId="12" fillId="0" borderId="0" xfId="0" applyNumberFormat="1" applyFont="1" applyBorder="1" applyAlignment="1">
      <alignment horizontal="left"/>
    </xf>
    <xf numFmtId="174" fontId="11" fillId="0" borderId="0" xfId="0" applyNumberFormat="1" applyFont="1" applyBorder="1" applyAlignment="1">
      <alignment/>
    </xf>
    <xf numFmtId="44" fontId="7" fillId="0" borderId="10" xfId="47" applyFont="1" applyBorder="1" applyAlignment="1">
      <alignment horizontal="center" wrapText="1"/>
    </xf>
    <xf numFmtId="44" fontId="7" fillId="0" borderId="10" xfId="47" applyFont="1" applyFill="1" applyBorder="1" applyAlignment="1">
      <alignment horizontal="center" wrapText="1"/>
    </xf>
    <xf numFmtId="174" fontId="7" fillId="0" borderId="10" xfId="0" applyNumberFormat="1" applyFont="1" applyBorder="1" applyAlignment="1">
      <alignment/>
    </xf>
    <xf numFmtId="165" fontId="7" fillId="0" borderId="10" xfId="0" applyNumberFormat="1" applyFont="1" applyBorder="1" applyAlignment="1">
      <alignment/>
    </xf>
    <xf numFmtId="0" fontId="7" fillId="0" borderId="10" xfId="0" applyFont="1" applyFill="1" applyBorder="1" applyAlignment="1">
      <alignment horizontal="right"/>
    </xf>
    <xf numFmtId="0" fontId="35" fillId="0" borderId="0" xfId="0" applyFont="1" applyFill="1" applyBorder="1" applyAlignment="1">
      <alignment/>
    </xf>
    <xf numFmtId="0" fontId="35" fillId="0" borderId="0" xfId="0" applyFont="1" applyFill="1" applyAlignment="1">
      <alignment/>
    </xf>
    <xf numFmtId="0" fontId="14" fillId="0" borderId="0" xfId="0" applyFont="1" applyBorder="1" applyAlignment="1">
      <alignment horizont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174" fontId="11" fillId="0" borderId="10" xfId="44" applyNumberFormat="1" applyFont="1" applyFill="1" applyBorder="1" applyAlignment="1">
      <alignment horizontal="right"/>
    </xf>
    <xf numFmtId="174" fontId="11" fillId="0" borderId="10" xfId="44" applyNumberFormat="1" applyFont="1" applyBorder="1" applyAlignment="1">
      <alignment horizontal="right"/>
    </xf>
    <xf numFmtId="174" fontId="7" fillId="0" borderId="10" xfId="0" applyNumberFormat="1" applyFont="1" applyFill="1" applyBorder="1" applyAlignment="1">
      <alignment horizontal="right"/>
    </xf>
    <xf numFmtId="174" fontId="11" fillId="0" borderId="10" xfId="0" applyNumberFormat="1" applyFont="1" applyFill="1" applyBorder="1" applyAlignment="1">
      <alignment/>
    </xf>
    <xf numFmtId="192" fontId="11" fillId="0" borderId="0" xfId="44" applyNumberFormat="1" applyFont="1" applyFill="1" applyBorder="1" applyAlignment="1">
      <alignment horizontal="right"/>
    </xf>
    <xf numFmtId="192" fontId="11" fillId="0" borderId="0" xfId="44" applyNumberFormat="1" applyFont="1" applyBorder="1" applyAlignment="1">
      <alignment/>
    </xf>
    <xf numFmtId="174" fontId="11" fillId="0" borderId="0" xfId="0" applyNumberFormat="1" applyFont="1" applyFill="1" applyBorder="1" applyAlignment="1">
      <alignment horizontal="right"/>
    </xf>
    <xf numFmtId="164" fontId="11" fillId="0" borderId="0" xfId="44" applyNumberFormat="1" applyFont="1" applyBorder="1" applyAlignment="1">
      <alignment horizontal="right"/>
    </xf>
    <xf numFmtId="165" fontId="7" fillId="0" borderId="0" xfId="0" applyNumberFormat="1" applyFont="1" applyBorder="1" applyAlignment="1">
      <alignment horizontal="center"/>
    </xf>
    <xf numFmtId="165" fontId="7" fillId="0" borderId="0" xfId="0" applyNumberFormat="1" applyFont="1" applyFill="1" applyBorder="1" applyAlignment="1">
      <alignment horizontal="center"/>
    </xf>
    <xf numFmtId="0" fontId="7" fillId="0" borderId="0" xfId="0" applyFont="1" applyBorder="1" applyAlignment="1">
      <alignment horizontal="center" wrapText="1"/>
    </xf>
    <xf numFmtId="0" fontId="14" fillId="0" borderId="0" xfId="0" applyFont="1" applyBorder="1" applyAlignment="1">
      <alignment/>
    </xf>
    <xf numFmtId="0" fontId="14" fillId="0" borderId="0" xfId="0" applyFont="1" applyFill="1" applyBorder="1" applyAlignment="1">
      <alignment/>
    </xf>
    <xf numFmtId="165" fontId="11" fillId="0" borderId="0" xfId="0" applyNumberFormat="1" applyFont="1" applyFill="1" applyBorder="1" applyAlignment="1">
      <alignment/>
    </xf>
    <xf numFmtId="4" fontId="11" fillId="0" borderId="0" xfId="44" applyNumberFormat="1" applyFont="1" applyAlignment="1">
      <alignment/>
    </xf>
    <xf numFmtId="174" fontId="11" fillId="0" borderId="0" xfId="0" applyNumberFormat="1" applyFont="1" applyAlignment="1">
      <alignment/>
    </xf>
    <xf numFmtId="44" fontId="11" fillId="0" borderId="0" xfId="49" applyFont="1" applyFill="1" applyBorder="1" applyAlignment="1">
      <alignment/>
    </xf>
    <xf numFmtId="165" fontId="11" fillId="0" borderId="0" xfId="49" applyNumberFormat="1" applyFont="1" applyFill="1" applyBorder="1" applyAlignment="1">
      <alignment/>
    </xf>
    <xf numFmtId="44" fontId="7" fillId="0" borderId="0" xfId="49" applyFont="1" applyFill="1" applyBorder="1" applyAlignment="1">
      <alignment/>
    </xf>
    <xf numFmtId="164" fontId="11" fillId="0" borderId="10" xfId="44" applyNumberFormat="1" applyFont="1" applyBorder="1" applyAlignment="1">
      <alignment horizontal="right"/>
    </xf>
    <xf numFmtId="174" fontId="7" fillId="0" borderId="0" xfId="0" applyNumberFormat="1" applyFont="1" applyBorder="1" applyAlignment="1">
      <alignment horizontal="right"/>
    </xf>
    <xf numFmtId="174" fontId="7" fillId="0" borderId="0" xfId="0" applyNumberFormat="1" applyFont="1" applyBorder="1" applyAlignment="1">
      <alignment/>
    </xf>
    <xf numFmtId="165" fontId="7" fillId="0" borderId="0" xfId="0" applyNumberFormat="1" applyFont="1" applyBorder="1" applyAlignment="1">
      <alignment/>
    </xf>
    <xf numFmtId="44" fontId="7" fillId="0" borderId="10" xfId="49"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41" xfId="0" applyFont="1" applyBorder="1" applyAlignment="1">
      <alignment horizontal="center"/>
    </xf>
    <xf numFmtId="0" fontId="11" fillId="0" borderId="14" xfId="0" applyFont="1" applyBorder="1" applyAlignment="1">
      <alignment/>
    </xf>
    <xf numFmtId="166" fontId="11" fillId="0" borderId="16" xfId="68" applyNumberFormat="1" applyFont="1" applyFill="1" applyBorder="1" applyAlignment="1">
      <alignment horizontal="right"/>
    </xf>
    <xf numFmtId="0" fontId="7" fillId="0" borderId="0" xfId="0" applyFont="1" applyBorder="1" applyAlignment="1">
      <alignment/>
    </xf>
    <xf numFmtId="0" fontId="11" fillId="0" borderId="11" xfId="0" applyFont="1" applyBorder="1" applyAlignment="1">
      <alignment wrapText="1"/>
    </xf>
    <xf numFmtId="10" fontId="11" fillId="0" borderId="12" xfId="68" applyNumberFormat="1" applyFont="1" applyFill="1" applyBorder="1" applyAlignment="1">
      <alignment horizontal="right"/>
    </xf>
    <xf numFmtId="174" fontId="11" fillId="0" borderId="0" xfId="0" applyNumberFormat="1" applyFont="1" applyBorder="1" applyAlignment="1">
      <alignment horizontal="center"/>
    </xf>
    <xf numFmtId="165" fontId="11" fillId="0" borderId="0" xfId="0" applyNumberFormat="1" applyFont="1" applyBorder="1" applyAlignment="1">
      <alignment horizontal="center" wrapText="1"/>
    </xf>
    <xf numFmtId="0" fontId="11" fillId="0" borderId="11" xfId="0" applyFont="1" applyBorder="1" applyAlignment="1">
      <alignment/>
    </xf>
    <xf numFmtId="173" fontId="11" fillId="0" borderId="12" xfId="68" applyNumberFormat="1" applyFont="1" applyFill="1" applyBorder="1" applyAlignment="1">
      <alignment horizontal="right"/>
    </xf>
    <xf numFmtId="164" fontId="14" fillId="0" borderId="0" xfId="0" applyNumberFormat="1" applyFont="1" applyBorder="1" applyAlignment="1">
      <alignment horizontal="center"/>
    </xf>
    <xf numFmtId="165" fontId="11" fillId="0" borderId="0" xfId="0" applyNumberFormat="1" applyFont="1" applyBorder="1" applyAlignment="1">
      <alignment horizontal="center"/>
    </xf>
    <xf numFmtId="165" fontId="11" fillId="0" borderId="0" xfId="44" applyNumberFormat="1" applyFont="1" applyBorder="1" applyAlignment="1">
      <alignment horizontal="center"/>
    </xf>
    <xf numFmtId="192" fontId="11" fillId="0" borderId="0" xfId="44" applyNumberFormat="1" applyFont="1" applyBorder="1" applyAlignment="1">
      <alignment horizontal="center"/>
    </xf>
    <xf numFmtId="192" fontId="12" fillId="0" borderId="0" xfId="44" applyNumberFormat="1" applyFont="1" applyBorder="1" applyAlignment="1">
      <alignment horizontal="left"/>
    </xf>
    <xf numFmtId="164" fontId="11" fillId="0" borderId="0" xfId="0" applyNumberFormat="1" applyFont="1" applyBorder="1" applyAlignment="1">
      <alignment horizontal="center"/>
    </xf>
    <xf numFmtId="192" fontId="11" fillId="0" borderId="12" xfId="44" applyNumberFormat="1" applyFont="1" applyFill="1" applyBorder="1" applyAlignment="1">
      <alignment horizontal="right"/>
    </xf>
    <xf numFmtId="165" fontId="11" fillId="0" borderId="0" xfId="49" applyNumberFormat="1" applyFont="1" applyBorder="1" applyAlignment="1">
      <alignment horizontal="center"/>
    </xf>
    <xf numFmtId="166" fontId="11" fillId="0" borderId="12" xfId="68" applyNumberFormat="1" applyFont="1" applyFill="1" applyBorder="1" applyAlignment="1">
      <alignment horizontal="right"/>
    </xf>
    <xf numFmtId="164" fontId="11" fillId="0" borderId="12" xfId="68" applyNumberFormat="1" applyFont="1" applyFill="1" applyBorder="1" applyAlignment="1">
      <alignment horizontal="right"/>
    </xf>
    <xf numFmtId="0" fontId="11" fillId="0" borderId="18" xfId="0" applyFont="1" applyBorder="1" applyAlignment="1">
      <alignment/>
    </xf>
    <xf numFmtId="170" fontId="11" fillId="0" borderId="13" xfId="68" applyNumberFormat="1" applyFont="1" applyBorder="1" applyAlignment="1">
      <alignment horizontal="right"/>
    </xf>
    <xf numFmtId="215" fontId="11" fillId="0" borderId="0" xfId="0" applyNumberFormat="1" applyFont="1" applyBorder="1" applyAlignment="1">
      <alignment/>
    </xf>
    <xf numFmtId="211" fontId="11" fillId="0" borderId="0" xfId="0" applyNumberFormat="1" applyFont="1" applyBorder="1" applyAlignment="1">
      <alignment/>
    </xf>
    <xf numFmtId="164" fontId="11" fillId="0" borderId="0" xfId="0" applyNumberFormat="1" applyFont="1" applyAlignment="1">
      <alignment/>
    </xf>
    <xf numFmtId="192" fontId="11" fillId="0" borderId="0" xfId="44" applyNumberFormat="1" applyFont="1" applyBorder="1" applyAlignment="1">
      <alignment horizontal="right"/>
    </xf>
    <xf numFmtId="164" fontId="14" fillId="0" borderId="0" xfId="0" applyNumberFormat="1" applyFont="1" applyBorder="1" applyAlignment="1">
      <alignment horizontal="right"/>
    </xf>
    <xf numFmtId="0" fontId="13" fillId="39" borderId="31" xfId="0" applyFont="1" applyFill="1" applyBorder="1" applyAlignment="1">
      <alignment/>
    </xf>
    <xf numFmtId="0" fontId="14" fillId="0" borderId="0" xfId="0" applyFont="1" applyFill="1" applyBorder="1" applyAlignment="1">
      <alignment horizontal="left"/>
    </xf>
    <xf numFmtId="0" fontId="11" fillId="0" borderId="0" xfId="0" applyFont="1" applyBorder="1" applyAlignment="1">
      <alignment horizontal="center" wrapText="1"/>
    </xf>
    <xf numFmtId="192" fontId="11" fillId="0" borderId="10" xfId="44" applyNumberFormat="1" applyFont="1" applyFill="1" applyBorder="1" applyAlignment="1">
      <alignment horizontal="right"/>
    </xf>
    <xf numFmtId="165" fontId="11" fillId="39" borderId="10" xfId="0" applyNumberFormat="1" applyFont="1" applyFill="1" applyBorder="1" applyAlignment="1">
      <alignment horizontal="right"/>
    </xf>
    <xf numFmtId="7" fontId="11" fillId="0" borderId="10" xfId="0" applyNumberFormat="1" applyFont="1" applyFill="1" applyBorder="1" applyAlignment="1">
      <alignment horizontal="right"/>
    </xf>
    <xf numFmtId="7" fontId="11" fillId="39" borderId="10" xfId="0" applyNumberFormat="1" applyFont="1" applyFill="1" applyBorder="1" applyAlignment="1">
      <alignment horizontal="right"/>
    </xf>
    <xf numFmtId="165" fontId="7" fillId="39" borderId="10" xfId="0" applyNumberFormat="1" applyFont="1" applyFill="1" applyBorder="1" applyAlignment="1">
      <alignment horizontal="right"/>
    </xf>
    <xf numFmtId="4" fontId="11" fillId="0" borderId="0" xfId="0" applyNumberFormat="1" applyFont="1" applyBorder="1" applyAlignment="1">
      <alignment horizontal="right"/>
    </xf>
    <xf numFmtId="174" fontId="14" fillId="0" borderId="0" xfId="0" applyNumberFormat="1" applyFont="1" applyBorder="1" applyAlignment="1">
      <alignment horizontal="right"/>
    </xf>
    <xf numFmtId="0" fontId="13" fillId="41" borderId="31" xfId="0" applyFont="1" applyFill="1" applyBorder="1" applyAlignment="1">
      <alignment wrapText="1"/>
    </xf>
    <xf numFmtId="0" fontId="14" fillId="0" borderId="0" xfId="0" applyFont="1" applyAlignment="1">
      <alignment/>
    </xf>
    <xf numFmtId="0" fontId="12" fillId="0" borderId="0" xfId="0" applyFont="1" applyAlignment="1">
      <alignment/>
    </xf>
    <xf numFmtId="193" fontId="11" fillId="0" borderId="0" xfId="0" applyNumberFormat="1" applyFont="1" applyAlignment="1">
      <alignment/>
    </xf>
    <xf numFmtId="0" fontId="7" fillId="0" borderId="10" xfId="0" applyFont="1" applyBorder="1" applyAlignment="1">
      <alignment horizontal="center" vertical="center"/>
    </xf>
    <xf numFmtId="165" fontId="11" fillId="41" borderId="10" xfId="0" applyNumberFormat="1" applyFont="1" applyFill="1" applyBorder="1" applyAlignment="1">
      <alignment/>
    </xf>
    <xf numFmtId="165" fontId="11" fillId="41" borderId="10" xfId="49" applyNumberFormat="1" applyFont="1" applyFill="1" applyBorder="1" applyAlignment="1">
      <alignment horizontal="right"/>
    </xf>
    <xf numFmtId="165" fontId="11" fillId="0" borderId="10" xfId="49" applyNumberFormat="1" applyFont="1" applyFill="1" applyBorder="1" applyAlignment="1">
      <alignment horizontal="right"/>
    </xf>
    <xf numFmtId="165" fontId="11" fillId="0" borderId="10" xfId="44" applyNumberFormat="1" applyFont="1" applyBorder="1" applyAlignment="1">
      <alignment horizontal="right"/>
    </xf>
    <xf numFmtId="165" fontId="11" fillId="41" borderId="10" xfId="44" applyNumberFormat="1" applyFont="1" applyFill="1" applyBorder="1" applyAlignment="1">
      <alignment horizontal="right"/>
    </xf>
    <xf numFmtId="165" fontId="7" fillId="41" borderId="10" xfId="49" applyNumberFormat="1" applyFont="1" applyFill="1" applyBorder="1" applyAlignment="1">
      <alignment/>
    </xf>
    <xf numFmtId="165" fontId="11" fillId="0" borderId="10" xfId="0" applyNumberFormat="1" applyFont="1" applyBorder="1" applyAlignment="1">
      <alignment horizontal="right" wrapText="1"/>
    </xf>
    <xf numFmtId="165" fontId="11" fillId="0" borderId="0" xfId="49" applyNumberFormat="1" applyFont="1" applyFill="1" applyBorder="1" applyAlignment="1">
      <alignment horizontal="right"/>
    </xf>
    <xf numFmtId="165" fontId="14" fillId="0" borderId="0" xfId="49" applyNumberFormat="1" applyFont="1" applyFill="1" applyBorder="1" applyAlignment="1">
      <alignment horizontal="right"/>
    </xf>
    <xf numFmtId="165" fontId="11" fillId="0" borderId="0" xfId="44" applyNumberFormat="1" applyFont="1" applyFill="1" applyBorder="1" applyAlignment="1">
      <alignment horizontal="right"/>
    </xf>
    <xf numFmtId="165" fontId="7" fillId="0" borderId="0" xfId="49" applyNumberFormat="1" applyFont="1" applyFill="1" applyBorder="1" applyAlignment="1">
      <alignment/>
    </xf>
    <xf numFmtId="188" fontId="15" fillId="0" borderId="0" xfId="0" applyNumberFormat="1" applyFont="1" applyBorder="1" applyAlignment="1">
      <alignment/>
    </xf>
    <xf numFmtId="164" fontId="11" fillId="0" borderId="0" xfId="0" applyNumberFormat="1" applyFont="1" applyBorder="1" applyAlignment="1">
      <alignment/>
    </xf>
    <xf numFmtId="165" fontId="12" fillId="0" borderId="0" xfId="0" applyNumberFormat="1" applyFont="1" applyBorder="1" applyAlignment="1">
      <alignment/>
    </xf>
    <xf numFmtId="0" fontId="13" fillId="37" borderId="10" xfId="0" applyFont="1" applyFill="1" applyBorder="1" applyAlignment="1">
      <alignment/>
    </xf>
    <xf numFmtId="0" fontId="39" fillId="0" borderId="0" xfId="0" applyFont="1" applyAlignment="1">
      <alignment/>
    </xf>
    <xf numFmtId="0" fontId="14" fillId="0" borderId="0" xfId="0" applyNumberFormat="1" applyFont="1" applyBorder="1" applyAlignment="1">
      <alignment horizontal="center" wrapText="1"/>
    </xf>
    <xf numFmtId="0" fontId="14" fillId="0" borderId="0" xfId="0" applyNumberFormat="1" applyFont="1" applyFill="1" applyBorder="1" applyAlignment="1">
      <alignment horizontal="center" wrapText="1"/>
    </xf>
    <xf numFmtId="0" fontId="39" fillId="0" borderId="0" xfId="0" applyFont="1" applyBorder="1" applyAlignment="1">
      <alignment/>
    </xf>
    <xf numFmtId="0" fontId="7" fillId="0"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7" fillId="37" borderId="10" xfId="0" applyNumberFormat="1" applyFont="1" applyFill="1" applyBorder="1" applyAlignment="1">
      <alignment horizontal="center" vertical="center" wrapText="1"/>
    </xf>
    <xf numFmtId="0" fontId="11" fillId="0" borderId="10" xfId="0" applyFont="1" applyFill="1" applyBorder="1" applyAlignment="1">
      <alignment horizontal="center"/>
    </xf>
    <xf numFmtId="174" fontId="11" fillId="0" borderId="10" xfId="67" applyNumberFormat="1" applyFont="1" applyBorder="1" applyAlignment="1">
      <alignment horizontal="right" vertical="center"/>
    </xf>
    <xf numFmtId="170" fontId="11" fillId="0" borderId="10" xfId="0" applyNumberFormat="1" applyFont="1" applyFill="1" applyBorder="1" applyAlignment="1">
      <alignment/>
    </xf>
    <xf numFmtId="174" fontId="11" fillId="0" borderId="10" xfId="68" applyNumberFormat="1" applyFont="1" applyBorder="1" applyAlignment="1">
      <alignment horizontal="right" vertical="center"/>
    </xf>
    <xf numFmtId="170" fontId="11" fillId="0" borderId="10" xfId="0" applyNumberFormat="1" applyFont="1" applyBorder="1" applyAlignment="1">
      <alignment/>
    </xf>
    <xf numFmtId="192" fontId="11" fillId="0" borderId="10" xfId="44" applyNumberFormat="1" applyFont="1" applyFill="1" applyBorder="1" applyAlignment="1">
      <alignment/>
    </xf>
    <xf numFmtId="165" fontId="11" fillId="37" borderId="10" xfId="0" applyNumberFormat="1" applyFont="1" applyFill="1" applyBorder="1" applyAlignment="1">
      <alignment horizontal="right"/>
    </xf>
    <xf numFmtId="0" fontId="11" fillId="0" borderId="10" xfId="0" applyFont="1" applyBorder="1" applyAlignment="1">
      <alignment horizontal="center"/>
    </xf>
    <xf numFmtId="174" fontId="11" fillId="0" borderId="10" xfId="67" applyNumberFormat="1" applyFont="1" applyFill="1" applyBorder="1" applyAlignment="1">
      <alignment horizontal="right" vertical="center"/>
    </xf>
    <xf numFmtId="174" fontId="11" fillId="0" borderId="10" xfId="68" applyNumberFormat="1" applyFont="1" applyFill="1" applyBorder="1" applyAlignment="1">
      <alignment horizontal="right" vertical="center"/>
    </xf>
    <xf numFmtId="192" fontId="7" fillId="0" borderId="10" xfId="44"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192" fontId="7" fillId="0" borderId="10" xfId="44" applyNumberFormat="1" applyFont="1" applyBorder="1" applyAlignment="1">
      <alignment horizontal="center" vertical="center"/>
    </xf>
    <xf numFmtId="0" fontId="15" fillId="0" borderId="42" xfId="0" applyFont="1" applyFill="1" applyBorder="1" applyAlignment="1">
      <alignment/>
    </xf>
    <xf numFmtId="192" fontId="7" fillId="0" borderId="0" xfId="44" applyNumberFormat="1" applyFont="1" applyFill="1" applyBorder="1" applyAlignment="1">
      <alignment/>
    </xf>
    <xf numFmtId="0" fontId="7" fillId="0" borderId="0" xfId="0" applyFont="1" applyFill="1" applyAlignment="1">
      <alignment/>
    </xf>
    <xf numFmtId="192" fontId="7" fillId="0" borderId="0" xfId="44" applyNumberFormat="1" applyFont="1" applyFill="1" applyBorder="1" applyAlignment="1">
      <alignment/>
    </xf>
    <xf numFmtId="192" fontId="7" fillId="0" borderId="0" xfId="44" applyNumberFormat="1" applyFont="1" applyBorder="1" applyAlignment="1">
      <alignment horizontal="left" indent="2"/>
    </xf>
    <xf numFmtId="164" fontId="11" fillId="0" borderId="0" xfId="0" applyNumberFormat="1" applyFont="1" applyBorder="1" applyAlignment="1">
      <alignment horizontal="left" vertical="top" wrapText="1"/>
    </xf>
    <xf numFmtId="197" fontId="11" fillId="0" borderId="0" xfId="0" applyNumberFormat="1" applyFont="1" applyAlignment="1">
      <alignment/>
    </xf>
    <xf numFmtId="0" fontId="7" fillId="0" borderId="10" xfId="0" applyFont="1" applyFill="1" applyBorder="1" applyAlignment="1">
      <alignment horizontal="center" vertical="center" wrapText="1"/>
    </xf>
    <xf numFmtId="0" fontId="40" fillId="0" borderId="0" xfId="0" applyFont="1" applyAlignment="1">
      <alignment/>
    </xf>
    <xf numFmtId="192" fontId="14" fillId="0" borderId="0" xfId="0" applyNumberFormat="1" applyFont="1" applyAlignment="1">
      <alignment horizontal="left"/>
    </xf>
    <xf numFmtId="0" fontId="41" fillId="0" borderId="0" xfId="0" applyFont="1" applyAlignment="1">
      <alignment/>
    </xf>
    <xf numFmtId="192" fontId="11" fillId="0" borderId="10" xfId="44" applyNumberFormat="1" applyFont="1" applyBorder="1" applyAlignment="1">
      <alignment/>
    </xf>
    <xf numFmtId="164" fontId="11" fillId="0" borderId="10" xfId="44" applyNumberFormat="1" applyFont="1" applyBorder="1" applyAlignment="1">
      <alignment/>
    </xf>
    <xf numFmtId="3" fontId="11" fillId="0" borderId="10" xfId="0" applyNumberFormat="1" applyFont="1" applyBorder="1" applyAlignment="1">
      <alignment horizontal="right"/>
    </xf>
    <xf numFmtId="167" fontId="11" fillId="0" borderId="0" xfId="0" applyNumberFormat="1" applyFont="1" applyBorder="1" applyAlignment="1">
      <alignment/>
    </xf>
    <xf numFmtId="192" fontId="11" fillId="0" borderId="10" xfId="44" applyNumberFormat="1" applyFont="1" applyBorder="1" applyAlignment="1">
      <alignment horizontal="right"/>
    </xf>
    <xf numFmtId="164" fontId="11" fillId="0" borderId="10" xfId="44" applyNumberFormat="1" applyFont="1" applyFill="1" applyBorder="1" applyAlignment="1">
      <alignment/>
    </xf>
    <xf numFmtId="164" fontId="11" fillId="0" borderId="0" xfId="0" applyNumberFormat="1" applyFont="1" applyAlignment="1">
      <alignment horizontal="left"/>
    </xf>
    <xf numFmtId="165" fontId="38" fillId="0" borderId="31" xfId="0" applyNumberFormat="1" applyFont="1" applyBorder="1" applyAlignment="1">
      <alignment horizontal="center" vertical="center" wrapText="1"/>
    </xf>
    <xf numFmtId="165" fontId="38" fillId="0" borderId="31" xfId="0" applyNumberFormat="1" applyFont="1" applyBorder="1" applyAlignment="1">
      <alignment horizontal="center" vertical="center"/>
    </xf>
    <xf numFmtId="165" fontId="11" fillId="0" borderId="31" xfId="0" applyNumberFormat="1" applyFont="1" applyBorder="1" applyAlignment="1">
      <alignment horizontal="center" vertical="center"/>
    </xf>
    <xf numFmtId="0" fontId="42" fillId="0" borderId="10" xfId="0" applyNumberFormat="1" applyFont="1" applyFill="1" applyBorder="1" applyAlignment="1">
      <alignment horizontal="center" vertical="center" wrapText="1"/>
    </xf>
    <xf numFmtId="164" fontId="11" fillId="0" borderId="10" xfId="0" applyNumberFormat="1" applyFont="1" applyBorder="1" applyAlignment="1">
      <alignment horizontal="right"/>
    </xf>
    <xf numFmtId="165" fontId="11" fillId="0" borderId="10" xfId="49" applyNumberFormat="1" applyFont="1" applyBorder="1" applyAlignment="1">
      <alignment horizontal="right"/>
    </xf>
    <xf numFmtId="164" fontId="7" fillId="0" borderId="10" xfId="0" applyNumberFormat="1" applyFont="1" applyBorder="1" applyAlignment="1">
      <alignment horizontal="right"/>
    </xf>
    <xf numFmtId="165" fontId="7" fillId="0" borderId="10" xfId="49" applyNumberFormat="1" applyFont="1" applyBorder="1" applyAlignment="1">
      <alignment horizontal="right"/>
    </xf>
    <xf numFmtId="44" fontId="7" fillId="0" borderId="10" xfId="49" applyFont="1" applyBorder="1" applyAlignment="1">
      <alignment horizontal="right"/>
    </xf>
    <xf numFmtId="0" fontId="7" fillId="0" borderId="31" xfId="0" applyFont="1" applyBorder="1" applyAlignment="1">
      <alignment horizontal="center"/>
    </xf>
    <xf numFmtId="0" fontId="7" fillId="0" borderId="10" xfId="0" applyFont="1" applyFill="1" applyBorder="1" applyAlignment="1">
      <alignment horizontal="center" vertical="center"/>
    </xf>
    <xf numFmtId="0" fontId="7" fillId="0" borderId="0" xfId="0" applyFont="1" applyFill="1" applyBorder="1" applyAlignment="1">
      <alignment horizontal="center"/>
    </xf>
    <xf numFmtId="0" fontId="7" fillId="0" borderId="10" xfId="0" applyFont="1" applyFill="1" applyBorder="1" applyAlignment="1">
      <alignment horizontal="left" vertical="center" wrapText="1"/>
    </xf>
    <xf numFmtId="0" fontId="11" fillId="0" borderId="10" xfId="0" applyFont="1" applyBorder="1" applyAlignment="1">
      <alignment vertical="center"/>
    </xf>
    <xf numFmtId="0" fontId="11" fillId="0" borderId="10" xfId="0" applyFont="1" applyFill="1" applyBorder="1" applyAlignment="1">
      <alignment horizontal="left" vertical="center" wrapText="1"/>
    </xf>
    <xf numFmtId="164" fontId="11" fillId="0" borderId="10" xfId="0" applyNumberFormat="1" applyFont="1" applyFill="1" applyBorder="1" applyAlignment="1">
      <alignment horizontal="right" vertical="center"/>
    </xf>
    <xf numFmtId="0" fontId="7" fillId="34" borderId="10" xfId="0" applyFont="1" applyFill="1" applyBorder="1" applyAlignment="1">
      <alignment horizontal="right" vertical="center" wrapText="1"/>
    </xf>
    <xf numFmtId="164" fontId="7" fillId="34" borderId="10" xfId="0" applyNumberFormat="1" applyFont="1" applyFill="1" applyBorder="1" applyAlignment="1">
      <alignment horizontal="right" vertical="center"/>
    </xf>
    <xf numFmtId="164" fontId="7" fillId="34" borderId="10" xfId="0" applyNumberFormat="1" applyFont="1" applyFill="1" applyBorder="1" applyAlignment="1">
      <alignment vertical="center"/>
    </xf>
    <xf numFmtId="164" fontId="7" fillId="0" borderId="0" xfId="0" applyNumberFormat="1" applyFont="1" applyFill="1" applyBorder="1" applyAlignment="1">
      <alignment horizontal="right"/>
    </xf>
    <xf numFmtId="0" fontId="11" fillId="0" borderId="10" xfId="0" applyFont="1" applyFill="1" applyBorder="1" applyAlignment="1">
      <alignment vertical="center" wrapText="1"/>
    </xf>
    <xf numFmtId="16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0" fontId="7" fillId="0" borderId="10" xfId="0" applyFont="1" applyBorder="1" applyAlignment="1">
      <alignment horizontal="left" vertical="center" wrapText="1"/>
    </xf>
    <xf numFmtId="164" fontId="7" fillId="0" borderId="0" xfId="0" applyNumberFormat="1" applyFont="1" applyBorder="1" applyAlignment="1">
      <alignment horizontal="right"/>
    </xf>
    <xf numFmtId="164" fontId="11" fillId="0" borderId="0" xfId="0" applyNumberFormat="1" applyFont="1" applyBorder="1" applyAlignment="1">
      <alignment horizontal="right" wrapText="1"/>
    </xf>
    <xf numFmtId="165" fontId="11" fillId="0" borderId="0" xfId="0" applyNumberFormat="1" applyFont="1" applyBorder="1" applyAlignment="1">
      <alignment horizontal="right" wrapText="1"/>
    </xf>
    <xf numFmtId="0" fontId="13" fillId="36" borderId="31" xfId="0" applyFont="1" applyFill="1" applyBorder="1" applyAlignment="1">
      <alignment horizontal="center" wrapText="1"/>
    </xf>
    <xf numFmtId="164" fontId="12" fillId="0" borderId="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0" xfId="64" applyNumberFormat="1" applyFont="1" applyFill="1" applyBorder="1" applyAlignment="1">
      <alignment horizontal="center" vertical="center" wrapText="1"/>
      <protection/>
    </xf>
    <xf numFmtId="0" fontId="7" fillId="0" borderId="0" xfId="64" applyFont="1" applyFill="1" applyBorder="1" applyAlignment="1">
      <alignment horizontal="center" vertical="center" wrapText="1"/>
      <protection/>
    </xf>
    <xf numFmtId="164" fontId="7" fillId="0" borderId="0" xfId="64" applyNumberFormat="1" applyFont="1" applyBorder="1" applyAlignment="1">
      <alignment horizontal="center" vertical="center" wrapText="1"/>
      <protection/>
    </xf>
    <xf numFmtId="10" fontId="11" fillId="0" borderId="10" xfId="70" applyNumberFormat="1" applyFont="1" applyFill="1" applyBorder="1" applyAlignment="1">
      <alignment horizontal="right"/>
    </xf>
    <xf numFmtId="10" fontId="11" fillId="0" borderId="10" xfId="67" applyNumberFormat="1" applyFont="1" applyFill="1" applyBorder="1" applyAlignment="1">
      <alignment horizontal="right"/>
    </xf>
    <xf numFmtId="0" fontId="11" fillId="0" borderId="0" xfId="64" applyFont="1" applyBorder="1">
      <alignment/>
      <protection/>
    </xf>
    <xf numFmtId="10" fontId="11" fillId="0" borderId="0" xfId="70" applyNumberFormat="1" applyFont="1" applyFill="1" applyBorder="1" applyAlignment="1">
      <alignment horizontal="right"/>
    </xf>
    <xf numFmtId="10" fontId="7" fillId="0" borderId="10" xfId="0" applyNumberFormat="1" applyFont="1" applyBorder="1" applyAlignment="1">
      <alignment horizontal="right"/>
    </xf>
    <xf numFmtId="0" fontId="11" fillId="0" borderId="0" xfId="64" applyFont="1" applyBorder="1" applyAlignment="1">
      <alignment horizontal="center"/>
      <protection/>
    </xf>
    <xf numFmtId="10" fontId="7" fillId="0" borderId="0" xfId="64" applyNumberFormat="1" applyFont="1" applyBorder="1" applyAlignment="1">
      <alignment horizontal="right"/>
      <protection/>
    </xf>
    <xf numFmtId="0" fontId="15" fillId="0" borderId="0" xfId="63" applyFont="1" applyFill="1" applyBorder="1" applyAlignment="1">
      <alignment horizontal="left" vertical="center" wrapText="1"/>
      <protection/>
    </xf>
    <xf numFmtId="10" fontId="7" fillId="0" borderId="0" xfId="0" applyNumberFormat="1" applyFont="1" applyBorder="1" applyAlignment="1">
      <alignment horizontal="right"/>
    </xf>
    <xf numFmtId="165" fontId="7" fillId="0" borderId="12" xfId="0" applyNumberFormat="1" applyFont="1" applyBorder="1" applyAlignment="1">
      <alignment horizontal="center" vertical="center"/>
    </xf>
    <xf numFmtId="0" fontId="11" fillId="0" borderId="29" xfId="0" applyFont="1" applyBorder="1" applyAlignment="1">
      <alignment horizontal="right" vertical="center" wrapText="1"/>
    </xf>
    <xf numFmtId="165" fontId="7" fillId="0" borderId="20" xfId="0" applyNumberFormat="1" applyFont="1" applyBorder="1" applyAlignment="1">
      <alignment horizontal="center" vertical="center"/>
    </xf>
    <xf numFmtId="0" fontId="11" fillId="0" borderId="36" xfId="0" applyFont="1" applyBorder="1" applyAlignment="1">
      <alignment horizontal="right" vertical="center" wrapText="1"/>
    </xf>
    <xf numFmtId="0" fontId="7" fillId="0" borderId="30"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165" fontId="7" fillId="0" borderId="15" xfId="0" applyNumberFormat="1" applyFont="1" applyBorder="1" applyAlignment="1">
      <alignment horizontal="center" vertical="center" wrapText="1"/>
    </xf>
    <xf numFmtId="0" fontId="7" fillId="0" borderId="16" xfId="0" applyFont="1" applyBorder="1" applyAlignment="1">
      <alignment horizontal="center" vertical="center" wrapText="1"/>
    </xf>
    <xf numFmtId="164" fontId="7" fillId="0" borderId="11" xfId="0" applyNumberFormat="1" applyFont="1" applyBorder="1" applyAlignment="1">
      <alignment horizontal="center" vertical="center" wrapText="1"/>
    </xf>
    <xf numFmtId="0" fontId="7" fillId="0" borderId="38" xfId="0" applyFont="1" applyBorder="1" applyAlignment="1">
      <alignment horizontal="center" vertical="center" wrapText="1"/>
    </xf>
    <xf numFmtId="164" fontId="7" fillId="0" borderId="14"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4" fontId="11" fillId="0" borderId="11" xfId="0" applyNumberFormat="1" applyFont="1" applyBorder="1" applyAlignment="1">
      <alignment horizontal="right"/>
    </xf>
    <xf numFmtId="165" fontId="11" fillId="0" borderId="12" xfId="0" applyNumberFormat="1" applyFont="1" applyBorder="1" applyAlignment="1">
      <alignment/>
    </xf>
    <xf numFmtId="165" fontId="11" fillId="0" borderId="12" xfId="0" applyNumberFormat="1" applyFont="1" applyBorder="1" applyAlignment="1">
      <alignment horizontal="right"/>
    </xf>
    <xf numFmtId="165" fontId="11" fillId="0" borderId="27" xfId="0" applyNumberFormat="1" applyFont="1" applyBorder="1" applyAlignment="1">
      <alignment/>
    </xf>
    <xf numFmtId="0" fontId="7" fillId="0" borderId="24" xfId="0" applyFont="1" applyBorder="1" applyAlignment="1">
      <alignment horizontal="center"/>
    </xf>
    <xf numFmtId="164" fontId="7" fillId="0" borderId="18" xfId="0" applyNumberFormat="1" applyFont="1" applyBorder="1" applyAlignment="1">
      <alignment horizontal="right"/>
    </xf>
    <xf numFmtId="164" fontId="7" fillId="0" borderId="17" xfId="0" applyNumberFormat="1" applyFont="1" applyBorder="1" applyAlignment="1">
      <alignment horizontal="right"/>
    </xf>
    <xf numFmtId="165" fontId="7" fillId="0" borderId="13" xfId="0" applyNumberFormat="1" applyFont="1" applyBorder="1" applyAlignment="1">
      <alignment horizontal="right"/>
    </xf>
    <xf numFmtId="165" fontId="7" fillId="0" borderId="43" xfId="0" applyNumberFormat="1" applyFont="1" applyBorder="1" applyAlignment="1">
      <alignment horizontal="right"/>
    </xf>
    <xf numFmtId="0" fontId="11" fillId="0" borderId="0" xfId="0" applyFont="1" applyBorder="1" applyAlignment="1">
      <alignment horizontal="left"/>
    </xf>
    <xf numFmtId="0" fontId="13" fillId="35" borderId="24" xfId="0" applyFont="1" applyFill="1" applyBorder="1" applyAlignment="1">
      <alignment horizontal="center"/>
    </xf>
    <xf numFmtId="0" fontId="7" fillId="0" borderId="14" xfId="0" applyFont="1" applyBorder="1" applyAlignment="1">
      <alignment horizontal="center" vertical="center"/>
    </xf>
    <xf numFmtId="0" fontId="7" fillId="0" borderId="16" xfId="0" applyFont="1" applyBorder="1" applyAlignment="1">
      <alignment horizontal="center" wrapText="1"/>
    </xf>
    <xf numFmtId="0" fontId="11" fillId="0" borderId="0" xfId="0" applyFont="1" applyAlignment="1">
      <alignment wrapText="1"/>
    </xf>
    <xf numFmtId="0" fontId="11" fillId="0" borderId="19" xfId="0" applyFont="1" applyBorder="1" applyAlignment="1">
      <alignment/>
    </xf>
    <xf numFmtId="165" fontId="11" fillId="0" borderId="31" xfId="0" applyNumberFormat="1" applyFont="1" applyBorder="1" applyAlignment="1">
      <alignment/>
    </xf>
    <xf numFmtId="165" fontId="11" fillId="0" borderId="20" xfId="0" applyNumberFormat="1" applyFont="1" applyBorder="1" applyAlignment="1">
      <alignment/>
    </xf>
    <xf numFmtId="0" fontId="11" fillId="0" borderId="18" xfId="0" applyFont="1" applyFill="1" applyBorder="1" applyAlignment="1">
      <alignment/>
    </xf>
    <xf numFmtId="165" fontId="7" fillId="0" borderId="17" xfId="0" applyNumberFormat="1" applyFont="1" applyBorder="1" applyAlignment="1">
      <alignment/>
    </xf>
    <xf numFmtId="165" fontId="7" fillId="0" borderId="13" xfId="0" applyNumberFormat="1" applyFont="1" applyBorder="1" applyAlignment="1">
      <alignment/>
    </xf>
    <xf numFmtId="0" fontId="7" fillId="0" borderId="15" xfId="0" applyFont="1" applyBorder="1" applyAlignment="1">
      <alignment horizontal="center" vertical="center" wrapText="1"/>
    </xf>
    <xf numFmtId="0" fontId="11" fillId="0" borderId="10" xfId="0" applyFont="1" applyBorder="1" applyAlignment="1">
      <alignment horizontal="left"/>
    </xf>
    <xf numFmtId="0" fontId="7" fillId="42" borderId="10" xfId="0" applyFont="1" applyFill="1" applyBorder="1" applyAlignment="1">
      <alignment horizontal="center" vertical="center" wrapText="1"/>
    </xf>
    <xf numFmtId="165" fontId="11" fillId="42" borderId="10" xfId="0" applyNumberFormat="1" applyFont="1" applyFill="1" applyBorder="1" applyAlignment="1">
      <alignment horizontal="right"/>
    </xf>
    <xf numFmtId="0" fontId="13" fillId="42" borderId="24" xfId="0" applyFont="1" applyFill="1" applyBorder="1" applyAlignment="1">
      <alignment/>
    </xf>
    <xf numFmtId="0" fontId="13" fillId="17" borderId="10" xfId="0" applyFont="1" applyFill="1" applyBorder="1" applyAlignment="1">
      <alignment horizontal="center"/>
    </xf>
    <xf numFmtId="0" fontId="13" fillId="42" borderId="31" xfId="0" applyFont="1" applyFill="1" applyBorder="1" applyAlignment="1">
      <alignment/>
    </xf>
    <xf numFmtId="0" fontId="7" fillId="0" borderId="10" xfId="0" applyFont="1" applyFill="1" applyBorder="1" applyAlignment="1">
      <alignment horizontal="center" vertical="center" wrapText="1"/>
    </xf>
    <xf numFmtId="0" fontId="11" fillId="0" borderId="29" xfId="0" applyFont="1" applyBorder="1" applyAlignment="1">
      <alignment horizontal="right" vertical="center" wrapText="1"/>
    </xf>
    <xf numFmtId="0" fontId="7" fillId="4" borderId="10" xfId="0" applyFont="1" applyFill="1" applyBorder="1" applyAlignment="1">
      <alignment horizontal="center" vertical="center" wrapText="1"/>
    </xf>
    <xf numFmtId="192" fontId="11" fillId="4" borderId="10" xfId="42" applyNumberFormat="1" applyFont="1" applyFill="1" applyBorder="1" applyAlignment="1">
      <alignment vertical="center"/>
    </xf>
    <xf numFmtId="165" fontId="11" fillId="4" borderId="10" xfId="42" applyNumberFormat="1" applyFont="1" applyFill="1" applyBorder="1" applyAlignment="1">
      <alignment vertical="center"/>
    </xf>
    <xf numFmtId="192" fontId="7" fillId="4" borderId="39" xfId="0" applyNumberFormat="1" applyFont="1" applyFill="1" applyBorder="1" applyAlignment="1">
      <alignment vertical="center"/>
    </xf>
    <xf numFmtId="165" fontId="11" fillId="4" borderId="10" xfId="44" applyNumberFormat="1" applyFont="1" applyFill="1" applyBorder="1" applyAlignment="1">
      <alignment/>
    </xf>
    <xf numFmtId="165" fontId="11" fillId="4" borderId="10" xfId="44" applyNumberFormat="1" applyFont="1" applyFill="1" applyBorder="1" applyAlignment="1">
      <alignment horizontal="right"/>
    </xf>
    <xf numFmtId="174" fontId="11" fillId="4" borderId="10" xfId="44" applyNumberFormat="1" applyFont="1" applyFill="1" applyBorder="1" applyAlignment="1">
      <alignment/>
    </xf>
    <xf numFmtId="165" fontId="11" fillId="4" borderId="10" xfId="42" applyNumberFormat="1" applyFont="1" applyFill="1" applyBorder="1" applyAlignment="1">
      <alignment/>
    </xf>
    <xf numFmtId="165" fontId="11" fillId="4" borderId="10" xfId="47" applyNumberFormat="1" applyFont="1" applyFill="1" applyBorder="1" applyAlignment="1">
      <alignment vertical="center"/>
    </xf>
    <xf numFmtId="165" fontId="11" fillId="4" borderId="10" xfId="0" applyNumberFormat="1" applyFont="1" applyFill="1" applyBorder="1" applyAlignment="1">
      <alignment vertical="center"/>
    </xf>
    <xf numFmtId="192" fontId="7" fillId="4" borderId="10" xfId="0" applyNumberFormat="1" applyFont="1" applyFill="1" applyBorder="1" applyAlignment="1">
      <alignment vertical="center"/>
    </xf>
    <xf numFmtId="7" fontId="11" fillId="4" borderId="10" xfId="47" applyNumberFormat="1" applyFont="1" applyFill="1" applyBorder="1" applyAlignment="1">
      <alignment vertical="center"/>
    </xf>
    <xf numFmtId="7" fontId="7" fillId="4" borderId="10" xfId="47" applyNumberFormat="1" applyFont="1" applyFill="1" applyBorder="1" applyAlignment="1">
      <alignment vertical="center"/>
    </xf>
    <xf numFmtId="192" fontId="11" fillId="0" borderId="10" xfId="45" applyNumberFormat="1" applyFont="1" applyFill="1" applyBorder="1" applyAlignment="1">
      <alignment/>
    </xf>
    <xf numFmtId="192" fontId="11" fillId="0" borderId="39" xfId="45" applyNumberFormat="1" applyFont="1" applyFill="1" applyBorder="1" applyAlignment="1">
      <alignment/>
    </xf>
    <xf numFmtId="192" fontId="11" fillId="0" borderId="31" xfId="45" applyNumberFormat="1" applyFont="1" applyFill="1" applyBorder="1" applyAlignment="1">
      <alignment/>
    </xf>
    <xf numFmtId="10" fontId="11" fillId="0" borderId="10" xfId="68" applyNumberFormat="1" applyFont="1" applyFill="1" applyBorder="1" applyAlignment="1">
      <alignment horizontal="right"/>
    </xf>
    <xf numFmtId="10" fontId="11" fillId="0" borderId="10" xfId="69" applyNumberFormat="1" applyFont="1" applyFill="1" applyBorder="1" applyAlignment="1">
      <alignment horizontal="right"/>
    </xf>
    <xf numFmtId="0" fontId="7" fillId="0" borderId="0" xfId="0" applyFont="1" applyFill="1" applyBorder="1" applyAlignment="1">
      <alignment horizontal="center" vertical="center" wrapText="1"/>
    </xf>
    <xf numFmtId="164" fontId="7" fillId="0" borderId="0" xfId="0" applyNumberFormat="1" applyFont="1" applyBorder="1" applyAlignment="1">
      <alignment horizontal="center" vertical="center" wrapText="1"/>
    </xf>
    <xf numFmtId="10" fontId="11" fillId="0" borderId="0" xfId="67" applyNumberFormat="1" applyFont="1" applyFill="1" applyBorder="1" applyAlignment="1">
      <alignment horizontal="right"/>
    </xf>
    <xf numFmtId="192" fontId="11" fillId="0" borderId="0" xfId="44" applyNumberFormat="1" applyFont="1" applyFill="1" applyBorder="1" applyAlignment="1">
      <alignment horizontal="left"/>
    </xf>
    <xf numFmtId="165" fontId="7" fillId="0" borderId="0" xfId="0" applyNumberFormat="1" applyFont="1" applyBorder="1" applyAlignment="1">
      <alignment horizontal="center" wrapText="1"/>
    </xf>
    <xf numFmtId="0" fontId="62" fillId="0" borderId="0" xfId="0" applyFont="1" applyAlignment="1">
      <alignment vertical="center"/>
    </xf>
    <xf numFmtId="165" fontId="12" fillId="0" borderId="0" xfId="0" applyNumberFormat="1" applyFont="1" applyFill="1" applyAlignment="1">
      <alignment vertical="center"/>
    </xf>
    <xf numFmtId="0" fontId="7" fillId="6" borderId="10" xfId="0" applyNumberFormat="1" applyFont="1" applyFill="1" applyBorder="1" applyAlignment="1">
      <alignment horizontal="center" vertical="center" wrapText="1"/>
    </xf>
    <xf numFmtId="165" fontId="11" fillId="6" borderId="10" xfId="0" applyNumberFormat="1" applyFont="1" applyFill="1" applyBorder="1" applyAlignment="1">
      <alignment horizontal="right"/>
    </xf>
    <xf numFmtId="0" fontId="43" fillId="0" borderId="0" xfId="0" applyFont="1" applyFill="1" applyAlignment="1">
      <alignment/>
    </xf>
    <xf numFmtId="0" fontId="7" fillId="0" borderId="0" xfId="0" applyFont="1" applyBorder="1" applyAlignment="1">
      <alignment horizontal="left" vertical="center"/>
    </xf>
    <xf numFmtId="185" fontId="11" fillId="0" borderId="0" xfId="0" applyNumberFormat="1" applyFont="1" applyBorder="1" applyAlignment="1">
      <alignment horizontal="right"/>
    </xf>
    <xf numFmtId="171" fontId="11" fillId="0" borderId="0" xfId="0" applyNumberFormat="1" applyFont="1" applyBorder="1" applyAlignment="1">
      <alignment horizontal="center"/>
    </xf>
    <xf numFmtId="0" fontId="7" fillId="39" borderId="27" xfId="0" applyFont="1" applyFill="1" applyBorder="1" applyAlignment="1">
      <alignment horizontal="center" vertical="center"/>
    </xf>
    <xf numFmtId="0" fontId="7" fillId="39" borderId="44" xfId="0" applyFont="1" applyFill="1" applyBorder="1" applyAlignment="1">
      <alignment horizontal="center" vertical="center"/>
    </xf>
    <xf numFmtId="0" fontId="7" fillId="39" borderId="45" xfId="0" applyFont="1" applyFill="1" applyBorder="1" applyAlignment="1">
      <alignment horizontal="center" vertical="center"/>
    </xf>
    <xf numFmtId="0" fontId="7" fillId="37" borderId="27" xfId="0" applyFont="1" applyFill="1" applyBorder="1" applyAlignment="1">
      <alignment horizontal="center" vertical="center"/>
    </xf>
    <xf numFmtId="0" fontId="7" fillId="37" borderId="44" xfId="0" applyFont="1" applyFill="1" applyBorder="1" applyAlignment="1">
      <alignment horizontal="center" vertical="center"/>
    </xf>
    <xf numFmtId="0" fontId="7" fillId="37" borderId="45"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45" xfId="0" applyFont="1" applyFill="1" applyBorder="1" applyAlignment="1">
      <alignment horizontal="center" vertical="center"/>
    </xf>
    <xf numFmtId="192" fontId="7" fillId="4" borderId="10" xfId="44" applyNumberFormat="1" applyFont="1" applyFill="1" applyBorder="1" applyAlignment="1">
      <alignment horizontal="center" vertical="center"/>
    </xf>
    <xf numFmtId="0" fontId="7" fillId="4" borderId="10" xfId="0" applyFont="1" applyFill="1" applyBorder="1" applyAlignment="1">
      <alignment horizontal="center" vertical="center"/>
    </xf>
    <xf numFmtId="192" fontId="7" fillId="4" borderId="10" xfId="44" applyNumberFormat="1" applyFont="1" applyFill="1" applyBorder="1" applyAlignment="1">
      <alignment horizontal="center"/>
    </xf>
    <xf numFmtId="0" fontId="35" fillId="0" borderId="0" xfId="0" applyFont="1" applyBorder="1" applyAlignment="1">
      <alignment/>
    </xf>
    <xf numFmtId="0" fontId="7" fillId="37" borderId="10" xfId="0" applyFont="1" applyFill="1" applyBorder="1" applyAlignment="1">
      <alignment horizontal="center" vertical="center"/>
    </xf>
    <xf numFmtId="0" fontId="7" fillId="39" borderId="10" xfId="0" applyFont="1" applyFill="1" applyBorder="1" applyAlignment="1">
      <alignment horizontal="center" vertical="center"/>
    </xf>
    <xf numFmtId="0" fontId="15" fillId="0" borderId="46" xfId="0" applyFont="1" applyFill="1" applyBorder="1" applyAlignment="1">
      <alignment horizontal="left" vertical="top" wrapText="1"/>
    </xf>
    <xf numFmtId="0" fontId="15" fillId="0" borderId="0" xfId="0" applyFont="1" applyFill="1" applyBorder="1" applyAlignment="1">
      <alignment horizontal="left" vertical="top" wrapText="1"/>
    </xf>
    <xf numFmtId="192" fontId="7" fillId="37" borderId="10" xfId="44" applyNumberFormat="1" applyFont="1" applyFill="1" applyBorder="1" applyAlignment="1">
      <alignment horizontal="center"/>
    </xf>
    <xf numFmtId="192" fontId="7" fillId="39" borderId="10" xfId="44" applyNumberFormat="1" applyFont="1" applyFill="1" applyBorder="1" applyAlignment="1">
      <alignment horizontal="center"/>
    </xf>
    <xf numFmtId="192" fontId="7" fillId="39" borderId="10" xfId="44" applyNumberFormat="1" applyFont="1" applyFill="1" applyBorder="1" applyAlignment="1">
      <alignment horizontal="center" vertical="center"/>
    </xf>
    <xf numFmtId="192" fontId="7" fillId="37" borderId="10" xfId="44" applyNumberFormat="1" applyFont="1" applyFill="1" applyBorder="1" applyAlignment="1">
      <alignment horizontal="center" vertical="center"/>
    </xf>
    <xf numFmtId="0" fontId="15" fillId="0" borderId="46" xfId="0" applyFont="1" applyFill="1" applyBorder="1" applyAlignment="1">
      <alignment horizontal="left"/>
    </xf>
    <xf numFmtId="0" fontId="15" fillId="0" borderId="0" xfId="0" applyFont="1" applyFill="1" applyBorder="1" applyAlignment="1">
      <alignment horizontal="left"/>
    </xf>
    <xf numFmtId="192" fontId="7" fillId="39" borderId="10" xfId="44" applyNumberFormat="1" applyFont="1" applyFill="1" applyBorder="1" applyAlignment="1">
      <alignment horizontal="center" vertical="center" wrapText="1"/>
    </xf>
    <xf numFmtId="0" fontId="1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0" xfId="0" applyNumberFormat="1" applyFont="1" applyFill="1" applyBorder="1" applyAlignment="1">
      <alignment horizontal="left" wrapText="1"/>
    </xf>
    <xf numFmtId="0" fontId="13" fillId="34" borderId="31" xfId="0" applyFont="1" applyFill="1" applyBorder="1" applyAlignment="1">
      <alignment horizontal="center" vertical="center"/>
    </xf>
    <xf numFmtId="0" fontId="13" fillId="36" borderId="10" xfId="0" applyFont="1" applyFill="1" applyBorder="1" applyAlignment="1">
      <alignment horizontal="center"/>
    </xf>
    <xf numFmtId="0" fontId="13" fillId="43" borderId="27" xfId="0" applyFont="1" applyFill="1" applyBorder="1" applyAlignment="1">
      <alignment horizontal="center"/>
    </xf>
    <xf numFmtId="0" fontId="13" fillId="43" borderId="45" xfId="0" applyFont="1" applyFill="1" applyBorder="1" applyAlignment="1">
      <alignment horizontal="center"/>
    </xf>
    <xf numFmtId="0" fontId="13" fillId="35" borderId="27" xfId="0" applyFont="1" applyFill="1" applyBorder="1" applyAlignment="1">
      <alignment horizontal="center"/>
    </xf>
    <xf numFmtId="0" fontId="13" fillId="35" borderId="45" xfId="0" applyFont="1" applyFill="1" applyBorder="1" applyAlignment="1">
      <alignment horizontal="center"/>
    </xf>
    <xf numFmtId="0" fontId="13" fillId="44" borderId="10" xfId="0" applyFont="1" applyFill="1" applyBorder="1" applyAlignment="1">
      <alignment horizontal="center"/>
    </xf>
    <xf numFmtId="0" fontId="11" fillId="0" borderId="40" xfId="0" applyFont="1" applyFill="1" applyBorder="1" applyAlignment="1">
      <alignment horizontal="left"/>
    </xf>
    <xf numFmtId="0" fontId="17" fillId="0" borderId="10" xfId="0" applyFont="1" applyFill="1" applyBorder="1" applyAlignment="1">
      <alignment horizontal="left" vertical="center" wrapText="1"/>
    </xf>
    <xf numFmtId="0" fontId="11" fillId="0" borderId="0" xfId="0" applyFont="1" applyFill="1" applyBorder="1" applyAlignment="1">
      <alignment horizontal="center"/>
    </xf>
    <xf numFmtId="0" fontId="13" fillId="36" borderId="36" xfId="0" applyFont="1" applyFill="1" applyBorder="1" applyAlignment="1">
      <alignment horizontal="center" vertical="center" wrapText="1"/>
    </xf>
    <xf numFmtId="0" fontId="13" fillId="36" borderId="47" xfId="0" applyFont="1" applyFill="1" applyBorder="1" applyAlignment="1">
      <alignment horizontal="center" vertical="center" wrapText="1"/>
    </xf>
    <xf numFmtId="0" fontId="13" fillId="36" borderId="48" xfId="0" applyFont="1" applyFill="1" applyBorder="1" applyAlignment="1">
      <alignment horizontal="center" vertical="center" wrapText="1"/>
    </xf>
    <xf numFmtId="0" fontId="13" fillId="36" borderId="42" xfId="0" applyFont="1" applyFill="1" applyBorder="1" applyAlignment="1">
      <alignment horizontal="center" vertical="center" wrapText="1"/>
    </xf>
    <xf numFmtId="0" fontId="13" fillId="36" borderId="0" xfId="0" applyFont="1" applyFill="1" applyBorder="1" applyAlignment="1">
      <alignment horizontal="center" vertical="center" wrapText="1"/>
    </xf>
    <xf numFmtId="0" fontId="13" fillId="36" borderId="49" xfId="0" applyFont="1" applyFill="1" applyBorder="1" applyAlignment="1">
      <alignment horizontal="center" vertical="center" wrapText="1"/>
    </xf>
    <xf numFmtId="0" fontId="13" fillId="36" borderId="50" xfId="0" applyFont="1" applyFill="1" applyBorder="1" applyAlignment="1">
      <alignment horizontal="center" vertical="center" wrapText="1"/>
    </xf>
    <xf numFmtId="0" fontId="13" fillId="36" borderId="51" xfId="0" applyFont="1" applyFill="1" applyBorder="1" applyAlignment="1">
      <alignment horizontal="center" vertical="center" wrapText="1"/>
    </xf>
    <xf numFmtId="0" fontId="13" fillId="36" borderId="52" xfId="0" applyFont="1" applyFill="1" applyBorder="1" applyAlignment="1">
      <alignment horizontal="center" vertical="center" wrapText="1"/>
    </xf>
    <xf numFmtId="0" fontId="7" fillId="0" borderId="29" xfId="0" applyFont="1" applyFill="1" applyBorder="1" applyAlignment="1">
      <alignment horizontal="right"/>
    </xf>
    <xf numFmtId="0" fontId="7" fillId="0" borderId="53" xfId="0" applyFont="1" applyFill="1" applyBorder="1" applyAlignment="1">
      <alignment horizontal="right"/>
    </xf>
    <xf numFmtId="0" fontId="7" fillId="0" borderId="54" xfId="0" applyFont="1" applyFill="1" applyBorder="1" applyAlignment="1">
      <alignment horizontal="right"/>
    </xf>
    <xf numFmtId="0" fontId="7" fillId="0" borderId="14" xfId="0" applyFont="1" applyBorder="1" applyAlignment="1">
      <alignment horizontal="center"/>
    </xf>
    <xf numFmtId="0" fontId="7" fillId="0" borderId="16" xfId="0" applyFont="1" applyBorder="1" applyAlignment="1">
      <alignment horizontal="center"/>
    </xf>
    <xf numFmtId="165" fontId="7" fillId="0" borderId="29" xfId="0" applyNumberFormat="1" applyFont="1" applyBorder="1" applyAlignment="1">
      <alignment horizontal="center" vertical="top" wrapText="1"/>
    </xf>
    <xf numFmtId="165" fontId="7" fillId="0" borderId="54" xfId="0" applyNumberFormat="1" applyFont="1" applyBorder="1" applyAlignment="1">
      <alignment horizontal="center" vertical="top" wrapText="1"/>
    </xf>
    <xf numFmtId="165" fontId="7" fillId="0" borderId="29" xfId="0" applyNumberFormat="1" applyFont="1" applyBorder="1" applyAlignment="1">
      <alignment horizontal="center" vertical="center" wrapText="1"/>
    </xf>
    <xf numFmtId="165" fontId="7" fillId="0" borderId="54" xfId="0" applyNumberFormat="1" applyFont="1" applyBorder="1" applyAlignment="1">
      <alignment horizontal="center" vertical="center" wrapText="1"/>
    </xf>
    <xf numFmtId="165" fontId="7" fillId="0" borderId="53" xfId="0" applyNumberFormat="1" applyFont="1" applyBorder="1" applyAlignment="1">
      <alignment horizontal="center" vertical="center" wrapText="1"/>
    </xf>
    <xf numFmtId="0" fontId="11" fillId="0" borderId="29" xfId="0" applyFont="1" applyBorder="1" applyAlignment="1">
      <alignment horizontal="right" vertical="center"/>
    </xf>
    <xf numFmtId="0" fontId="11" fillId="0" borderId="53" xfId="0" applyFont="1" applyBorder="1" applyAlignment="1">
      <alignment horizontal="right" vertical="center"/>
    </xf>
    <xf numFmtId="0" fontId="11" fillId="0" borderId="55" xfId="0" applyFont="1" applyBorder="1" applyAlignment="1">
      <alignment horizontal="right" vertical="center"/>
    </xf>
    <xf numFmtId="0" fontId="15" fillId="0" borderId="4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7" fillId="0" borderId="2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8" fillId="34" borderId="56" xfId="0" applyFont="1" applyFill="1" applyBorder="1" applyAlignment="1">
      <alignment/>
    </xf>
    <xf numFmtId="0" fontId="13" fillId="17" borderId="37" xfId="0" applyFont="1" applyFill="1" applyBorder="1" applyAlignment="1">
      <alignment horizontal="center" vertical="center" wrapText="1"/>
    </xf>
    <xf numFmtId="0" fontId="13" fillId="17" borderId="42" xfId="0" applyFont="1" applyFill="1" applyBorder="1" applyAlignment="1">
      <alignment horizontal="center" vertical="center" wrapText="1"/>
    </xf>
    <xf numFmtId="0" fontId="13" fillId="17" borderId="50" xfId="0" applyFont="1" applyFill="1" applyBorder="1" applyAlignment="1">
      <alignment horizontal="center" vertical="center" wrapText="1"/>
    </xf>
    <xf numFmtId="165" fontId="7" fillId="0" borderId="10" xfId="0" applyNumberFormat="1" applyFont="1" applyBorder="1" applyAlignment="1">
      <alignment horizontal="center"/>
    </xf>
    <xf numFmtId="0" fontId="7" fillId="0" borderId="10" xfId="0" applyFont="1" applyFill="1" applyBorder="1" applyAlignment="1">
      <alignment horizontal="center" vertical="center" wrapText="1"/>
    </xf>
    <xf numFmtId="164" fontId="7" fillId="0" borderId="10" xfId="0" applyNumberFormat="1" applyFont="1" applyBorder="1" applyAlignment="1">
      <alignment horizontal="center"/>
    </xf>
    <xf numFmtId="0" fontId="7" fillId="0" borderId="3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13" fillId="34" borderId="10" xfId="0" applyFont="1" applyFill="1" applyBorder="1" applyAlignment="1">
      <alignment horizontal="center" vertical="center"/>
    </xf>
    <xf numFmtId="0" fontId="13" fillId="39" borderId="31" xfId="0" applyFont="1" applyFill="1" applyBorder="1" applyAlignment="1">
      <alignment horizontal="left"/>
    </xf>
    <xf numFmtId="0" fontId="13" fillId="37" borderId="31" xfId="0" applyFont="1" applyFill="1" applyBorder="1" applyAlignment="1">
      <alignment horizontal="left"/>
    </xf>
    <xf numFmtId="0" fontId="13" fillId="41" borderId="31" xfId="0" applyFont="1" applyFill="1" applyBorder="1" applyAlignment="1">
      <alignment/>
    </xf>
    <xf numFmtId="0" fontId="13" fillId="40" borderId="31" xfId="0" applyFont="1" applyFill="1" applyBorder="1" applyAlignment="1">
      <alignment/>
    </xf>
    <xf numFmtId="0" fontId="11" fillId="0" borderId="0" xfId="0" applyFont="1" applyFill="1" applyBorder="1" applyAlignment="1">
      <alignment horizontal="left" wrapText="1"/>
    </xf>
    <xf numFmtId="0" fontId="15" fillId="0" borderId="0" xfId="0" applyFont="1" applyBorder="1" applyAlignment="1">
      <alignment vertical="top" wrapText="1"/>
    </xf>
    <xf numFmtId="0" fontId="15" fillId="0" borderId="0" xfId="0" applyFont="1" applyFill="1" applyBorder="1" applyAlignment="1">
      <alignment/>
    </xf>
    <xf numFmtId="0" fontId="17" fillId="0" borderId="0" xfId="0" applyFont="1" applyFill="1" applyBorder="1" applyAlignment="1">
      <alignment horizontal="left" vertical="center" wrapText="1"/>
    </xf>
    <xf numFmtId="0" fontId="44" fillId="0" borderId="10" xfId="0" applyFont="1" applyBorder="1" applyAlignment="1">
      <alignment horizontal="center" vertical="center"/>
    </xf>
    <xf numFmtId="0" fontId="7" fillId="0" borderId="10" xfId="0" applyFont="1" applyFill="1" applyBorder="1" applyAlignment="1">
      <alignment horizontal="right"/>
    </xf>
    <xf numFmtId="0" fontId="13" fillId="39" borderId="10" xfId="0" applyFont="1" applyFill="1" applyBorder="1" applyAlignment="1">
      <alignment vertical="center" wrapText="1"/>
    </xf>
    <xf numFmtId="0" fontId="13" fillId="39" borderId="31" xfId="0" applyFont="1" applyFill="1" applyBorder="1" applyAlignment="1">
      <alignment vertical="center" wrapText="1"/>
    </xf>
    <xf numFmtId="0" fontId="13" fillId="34" borderId="10" xfId="0" applyFont="1" applyFill="1" applyBorder="1" applyAlignment="1">
      <alignment horizontal="center" vertical="center" wrapText="1"/>
    </xf>
    <xf numFmtId="0" fontId="18" fillId="34" borderId="27" xfId="0" applyFont="1" applyFill="1" applyBorder="1" applyAlignment="1">
      <alignment/>
    </xf>
    <xf numFmtId="0" fontId="15" fillId="0" borderId="4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3" xfId="63" applyFont="1" applyFill="1" applyBorder="1" applyAlignment="1">
      <alignment horizontal="left" vertical="center" wrapText="1"/>
      <protection/>
    </xf>
    <xf numFmtId="0" fontId="15" fillId="0" borderId="40" xfId="63" applyFont="1" applyFill="1" applyBorder="1" applyAlignment="1">
      <alignment horizontal="left" vertical="center" wrapText="1"/>
      <protection/>
    </xf>
    <xf numFmtId="0" fontId="13" fillId="43" borderId="37" xfId="0" applyFont="1" applyFill="1" applyBorder="1" applyAlignment="1">
      <alignment horizontal="center" vertical="center" wrapText="1"/>
    </xf>
    <xf numFmtId="0" fontId="13" fillId="43" borderId="42" xfId="0" applyFont="1" applyFill="1" applyBorder="1" applyAlignment="1">
      <alignment horizontal="center" vertical="center" wrapText="1"/>
    </xf>
    <xf numFmtId="0" fontId="13" fillId="43" borderId="50" xfId="0" applyFont="1" applyFill="1" applyBorder="1" applyAlignment="1">
      <alignment horizontal="center" vertical="center" wrapText="1"/>
    </xf>
    <xf numFmtId="165" fontId="7" fillId="0" borderId="29" xfId="0" applyNumberFormat="1" applyFont="1" applyBorder="1" applyAlignment="1">
      <alignment horizontal="center" vertical="center" wrapText="1"/>
    </xf>
    <xf numFmtId="165" fontId="7" fillId="0" borderId="53" xfId="0" applyNumberFormat="1" applyFont="1" applyBorder="1" applyAlignment="1">
      <alignment horizontal="center" vertical="center" wrapText="1"/>
    </xf>
    <xf numFmtId="165" fontId="7" fillId="0" borderId="54" xfId="0" applyNumberFormat="1" applyFont="1" applyBorder="1" applyAlignment="1">
      <alignment horizontal="center" vertical="center" wrapText="1"/>
    </xf>
    <xf numFmtId="165" fontId="7" fillId="0" borderId="29" xfId="0" applyNumberFormat="1" applyFont="1" applyBorder="1" applyAlignment="1">
      <alignment horizontal="center" vertical="top" wrapText="1"/>
    </xf>
    <xf numFmtId="165" fontId="7" fillId="0" borderId="54" xfId="0" applyNumberFormat="1" applyFont="1" applyBorder="1" applyAlignment="1">
      <alignment horizontal="center" vertical="top"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11" fillId="0" borderId="29" xfId="0" applyFont="1" applyBorder="1" applyAlignment="1">
      <alignment horizontal="right" vertical="center"/>
    </xf>
    <xf numFmtId="0" fontId="11" fillId="0" borderId="53" xfId="0" applyFont="1" applyBorder="1" applyAlignment="1">
      <alignment horizontal="right" vertical="center"/>
    </xf>
    <xf numFmtId="0" fontId="11" fillId="0" borderId="55" xfId="0" applyFont="1" applyBorder="1" applyAlignment="1">
      <alignment horizontal="right" vertical="center"/>
    </xf>
    <xf numFmtId="0" fontId="11" fillId="0" borderId="29" xfId="0" applyFont="1" applyBorder="1" applyAlignment="1">
      <alignment horizontal="right" vertical="center" wrapText="1"/>
    </xf>
    <xf numFmtId="0" fontId="11" fillId="0" borderId="53" xfId="0" applyFont="1" applyBorder="1" applyAlignment="1">
      <alignment horizontal="right" vertical="center" wrapText="1"/>
    </xf>
    <xf numFmtId="0" fontId="11" fillId="0" borderId="55" xfId="0" applyFont="1" applyBorder="1" applyAlignment="1">
      <alignment horizontal="right" vertical="center" wrapText="1"/>
    </xf>
    <xf numFmtId="0" fontId="15" fillId="0" borderId="33" xfId="0" applyFont="1" applyFill="1" applyBorder="1" applyAlignment="1">
      <alignment horizontal="left" vertical="center" wrapText="1"/>
    </xf>
    <xf numFmtId="0" fontId="15" fillId="0" borderId="40" xfId="0" applyFont="1" applyFill="1" applyBorder="1" applyAlignment="1">
      <alignment horizontal="left"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te" xfId="65"/>
    <cellStyle name="Output" xfId="66"/>
    <cellStyle name="Percent" xfId="67"/>
    <cellStyle name="Percent 2" xfId="68"/>
    <cellStyle name="Percent 2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27"/>
  <sheetViews>
    <sheetView tabSelected="1" zoomScalePageLayoutView="0" workbookViewId="0" topLeftCell="A1">
      <selection activeCell="A1" sqref="A1"/>
    </sheetView>
  </sheetViews>
  <sheetFormatPr defaultColWidth="9.140625" defaultRowHeight="12.75"/>
  <cols>
    <col min="1" max="19" width="16.7109375" style="0" customWidth="1"/>
    <col min="20" max="20" width="15.7109375" style="0" customWidth="1"/>
    <col min="21" max="21" width="16.7109375" style="0" customWidth="1"/>
  </cols>
  <sheetData>
    <row r="1" spans="1:20" ht="15" customHeight="1">
      <c r="A1" s="253" t="s">
        <v>382</v>
      </c>
      <c r="B1" s="254"/>
      <c r="C1" s="254"/>
      <c r="D1" s="254"/>
      <c r="E1" s="254"/>
      <c r="F1" s="254"/>
      <c r="G1" s="254"/>
      <c r="H1" s="254"/>
      <c r="I1" s="254"/>
      <c r="J1" s="254"/>
      <c r="K1" s="254"/>
      <c r="L1" s="254"/>
      <c r="M1" s="254"/>
      <c r="N1" s="254"/>
      <c r="O1" s="254"/>
      <c r="P1" s="254"/>
      <c r="Q1" s="254"/>
      <c r="R1" s="254"/>
      <c r="S1" s="254"/>
      <c r="T1" s="255"/>
    </row>
    <row r="2" spans="1:20" ht="15" customHeight="1">
      <c r="A2" s="254" t="s">
        <v>384</v>
      </c>
      <c r="B2" s="254"/>
      <c r="C2" s="254"/>
      <c r="D2" s="254"/>
      <c r="E2" s="254"/>
      <c r="F2" s="254"/>
      <c r="G2" s="254"/>
      <c r="H2" s="254"/>
      <c r="I2" s="254"/>
      <c r="J2" s="254"/>
      <c r="K2" s="254"/>
      <c r="L2" s="254"/>
      <c r="M2" s="254"/>
      <c r="N2" s="254"/>
      <c r="O2" s="254"/>
      <c r="P2" s="254"/>
      <c r="Q2" s="254"/>
      <c r="R2" s="254"/>
      <c r="S2" s="254"/>
      <c r="T2" s="255"/>
    </row>
    <row r="3" spans="1:20" ht="15" customHeight="1">
      <c r="A3" s="256" t="s">
        <v>24</v>
      </c>
      <c r="B3" s="257"/>
      <c r="C3" s="257"/>
      <c r="D3" s="257"/>
      <c r="E3" s="257"/>
      <c r="F3" s="257"/>
      <c r="G3" s="257"/>
      <c r="H3" s="257"/>
      <c r="I3" s="257"/>
      <c r="J3" s="257"/>
      <c r="K3" s="257"/>
      <c r="L3" s="257"/>
      <c r="M3" s="257"/>
      <c r="N3" s="257"/>
      <c r="O3" s="257"/>
      <c r="P3" s="257"/>
      <c r="Q3" s="257"/>
      <c r="R3" s="257"/>
      <c r="S3" s="257"/>
      <c r="T3" s="255"/>
    </row>
    <row r="4" spans="1:20" ht="15" customHeight="1">
      <c r="A4" s="258"/>
      <c r="B4" s="610" t="s">
        <v>149</v>
      </c>
      <c r="C4" s="611"/>
      <c r="D4" s="611"/>
      <c r="E4" s="611"/>
      <c r="F4" s="611"/>
      <c r="G4" s="612"/>
      <c r="H4" s="613" t="s">
        <v>295</v>
      </c>
      <c r="I4" s="614"/>
      <c r="J4" s="614"/>
      <c r="K4" s="614"/>
      <c r="L4" s="614"/>
      <c r="M4" s="615"/>
      <c r="N4" s="616" t="s">
        <v>359</v>
      </c>
      <c r="O4" s="617"/>
      <c r="P4" s="617"/>
      <c r="Q4" s="617"/>
      <c r="R4" s="617"/>
      <c r="S4" s="618"/>
      <c r="T4" s="255"/>
    </row>
    <row r="5" spans="1:20" ht="77.25" customHeight="1">
      <c r="A5" s="259" t="s">
        <v>7</v>
      </c>
      <c r="B5" s="260" t="s">
        <v>234</v>
      </c>
      <c r="C5" s="260" t="s">
        <v>235</v>
      </c>
      <c r="D5" s="260" t="s">
        <v>348</v>
      </c>
      <c r="E5" s="260" t="s">
        <v>349</v>
      </c>
      <c r="F5" s="260" t="s">
        <v>151</v>
      </c>
      <c r="G5" s="260" t="s">
        <v>350</v>
      </c>
      <c r="H5" s="261" t="s">
        <v>310</v>
      </c>
      <c r="I5" s="261" t="s">
        <v>311</v>
      </c>
      <c r="J5" s="261" t="s">
        <v>351</v>
      </c>
      <c r="K5" s="261" t="s">
        <v>349</v>
      </c>
      <c r="L5" s="261" t="s">
        <v>306</v>
      </c>
      <c r="M5" s="261" t="s">
        <v>236</v>
      </c>
      <c r="N5" s="579" t="s">
        <v>310</v>
      </c>
      <c r="O5" s="579" t="s">
        <v>311</v>
      </c>
      <c r="P5" s="579" t="s">
        <v>371</v>
      </c>
      <c r="Q5" s="579" t="s">
        <v>349</v>
      </c>
      <c r="R5" s="579" t="s">
        <v>306</v>
      </c>
      <c r="S5" s="579" t="s">
        <v>236</v>
      </c>
      <c r="T5" s="259" t="s">
        <v>7</v>
      </c>
    </row>
    <row r="6" spans="1:20" ht="15" customHeight="1">
      <c r="A6" s="262" t="s">
        <v>16</v>
      </c>
      <c r="B6" s="263">
        <f>Summary!B74</f>
        <v>3113.272525156919</v>
      </c>
      <c r="C6" s="264">
        <f>Summary!C74</f>
        <v>119.92389950467435</v>
      </c>
      <c r="D6" s="264">
        <f>Summary!D74</f>
        <v>27.69000445293052</v>
      </c>
      <c r="E6" s="264">
        <f>Summary!E74</f>
        <v>147.61390395760486</v>
      </c>
      <c r="F6" s="264">
        <f>Summary!F74</f>
        <v>0</v>
      </c>
      <c r="G6" s="264">
        <f>Summary!G74</f>
        <v>147.61390395760486</v>
      </c>
      <c r="H6" s="265">
        <f>Summary!H74</f>
        <v>2974.843512999722</v>
      </c>
      <c r="I6" s="266">
        <f>Summary!I74</f>
        <v>120.71110133742307</v>
      </c>
      <c r="J6" s="266">
        <f>Summary!J74</f>
        <v>28.42148686184427</v>
      </c>
      <c r="K6" s="266">
        <f>Summary!K74</f>
        <v>149.13258819926733</v>
      </c>
      <c r="L6" s="266">
        <f>Summary!L74</f>
        <v>0</v>
      </c>
      <c r="M6" s="266">
        <f>Summary!M74</f>
        <v>149.13258819926733</v>
      </c>
      <c r="N6" s="580">
        <f>Summary!N74</f>
        <v>2820.7546909865755</v>
      </c>
      <c r="O6" s="581">
        <f>Summary!O74</f>
        <v>122.33080934061316</v>
      </c>
      <c r="P6" s="581">
        <f>Summary!P74</f>
        <v>29.04666221147064</v>
      </c>
      <c r="Q6" s="581">
        <f>Summary!Q74</f>
        <v>151.3774715520838</v>
      </c>
      <c r="R6" s="581">
        <f>Summary!R74</f>
        <v>0</v>
      </c>
      <c r="S6" s="581">
        <f>Summary!S74</f>
        <v>151.3774715520838</v>
      </c>
      <c r="T6" s="267" t="s">
        <v>16</v>
      </c>
    </row>
    <row r="7" spans="1:20" ht="15" customHeight="1">
      <c r="A7" s="262" t="s">
        <v>55</v>
      </c>
      <c r="B7" s="263">
        <f>Summary!B75</f>
        <v>12798.867957732304</v>
      </c>
      <c r="C7" s="264">
        <f>Summary!C75</f>
        <v>119.81030111063517</v>
      </c>
      <c r="D7" s="264">
        <f>Summary!D75</f>
        <v>27.69000445293052</v>
      </c>
      <c r="E7" s="264">
        <f>Summary!E75</f>
        <v>147.5003055635657</v>
      </c>
      <c r="F7" s="264">
        <f>Summary!F75</f>
        <v>0</v>
      </c>
      <c r="G7" s="264">
        <f>Summary!G75</f>
        <v>147.5003055635657</v>
      </c>
      <c r="H7" s="265">
        <f>Summary!H75</f>
        <v>12607.200380453687</v>
      </c>
      <c r="I7" s="266">
        <f>Summary!I75</f>
        <v>120.59375719349583</v>
      </c>
      <c r="J7" s="266">
        <f>Summary!J75</f>
        <v>28.42148686184427</v>
      </c>
      <c r="K7" s="266">
        <f>Summary!K75</f>
        <v>149.0152440553401</v>
      </c>
      <c r="L7" s="266">
        <f>Summary!L75</f>
        <v>0</v>
      </c>
      <c r="M7" s="266">
        <f>Summary!M75</f>
        <v>149.0152440553401</v>
      </c>
      <c r="N7" s="580">
        <f>Summary!N75</f>
        <v>12242.974757918559</v>
      </c>
      <c r="O7" s="581">
        <f>Summary!O75</f>
        <v>122.21125395143612</v>
      </c>
      <c r="P7" s="581">
        <f>Summary!P75</f>
        <v>29.04666221147064</v>
      </c>
      <c r="Q7" s="581">
        <f>Summary!Q75</f>
        <v>151.25791616290675</v>
      </c>
      <c r="R7" s="581">
        <f>Summary!R75</f>
        <v>0</v>
      </c>
      <c r="S7" s="581">
        <f>Summary!S75</f>
        <v>151.25791616290675</v>
      </c>
      <c r="T7" s="267" t="s">
        <v>55</v>
      </c>
    </row>
    <row r="8" spans="1:20" ht="15" customHeight="1">
      <c r="A8" s="262" t="s">
        <v>19</v>
      </c>
      <c r="B8" s="263">
        <f>Summary!B76</f>
        <v>10008.888143604483</v>
      </c>
      <c r="C8" s="264">
        <f>Summary!C76</f>
        <v>119.81030111063517</v>
      </c>
      <c r="D8" s="264">
        <f>Summary!D76</f>
        <v>27.69000445293052</v>
      </c>
      <c r="E8" s="264">
        <f>Summary!E76</f>
        <v>147.5003055635657</v>
      </c>
      <c r="F8" s="264">
        <f>Summary!F76</f>
        <v>0</v>
      </c>
      <c r="G8" s="264">
        <f>Summary!G76</f>
        <v>147.5003055635657</v>
      </c>
      <c r="H8" s="265">
        <f>Summary!H76</f>
        <v>9795.18708435402</v>
      </c>
      <c r="I8" s="266">
        <f>Summary!I76</f>
        <v>120.59375719349583</v>
      </c>
      <c r="J8" s="266">
        <f>Summary!J76</f>
        <v>28.42148686184427</v>
      </c>
      <c r="K8" s="266">
        <f>Summary!K76</f>
        <v>149.0152440553401</v>
      </c>
      <c r="L8" s="266">
        <f>Summary!L76</f>
        <v>0</v>
      </c>
      <c r="M8" s="266">
        <f>Summary!M76</f>
        <v>149.0152440553401</v>
      </c>
      <c r="N8" s="580">
        <f>Summary!N76</f>
        <v>10029.166684317071</v>
      </c>
      <c r="O8" s="581">
        <f>Summary!O76</f>
        <v>122.21125395143612</v>
      </c>
      <c r="P8" s="581">
        <f>Summary!P76</f>
        <v>29.04666221147064</v>
      </c>
      <c r="Q8" s="581">
        <f>Summary!Q76</f>
        <v>151.25791616290675</v>
      </c>
      <c r="R8" s="581">
        <f>Summary!R76</f>
        <v>0</v>
      </c>
      <c r="S8" s="581">
        <f>Summary!S76</f>
        <v>151.25791616290675</v>
      </c>
      <c r="T8" s="267" t="s">
        <v>19</v>
      </c>
    </row>
    <row r="9" spans="1:20" ht="15" customHeight="1">
      <c r="A9" s="262" t="s">
        <v>49</v>
      </c>
      <c r="B9" s="263">
        <f>Summary!B77</f>
        <v>14811.252526046535</v>
      </c>
      <c r="C9" s="264">
        <f>Summary!C77</f>
        <v>119.81030111063517</v>
      </c>
      <c r="D9" s="264">
        <f>Summary!D77</f>
        <v>27.69000445293052</v>
      </c>
      <c r="E9" s="264">
        <f>Summary!E77</f>
        <v>147.5003055635657</v>
      </c>
      <c r="F9" s="264">
        <f>Summary!F77</f>
        <v>0</v>
      </c>
      <c r="G9" s="264">
        <f>Summary!G77</f>
        <v>147.5003055635657</v>
      </c>
      <c r="H9" s="265">
        <f>Summary!H77</f>
        <v>14649.389110589247</v>
      </c>
      <c r="I9" s="266">
        <f>Summary!I77</f>
        <v>120.59375719349583</v>
      </c>
      <c r="J9" s="266">
        <f>Summary!J77</f>
        <v>28.42148686184427</v>
      </c>
      <c r="K9" s="266">
        <f>Summary!K77</f>
        <v>149.0152440553401</v>
      </c>
      <c r="L9" s="266">
        <f>Summary!L77</f>
        <v>0</v>
      </c>
      <c r="M9" s="266">
        <f>Summary!M77</f>
        <v>149.0152440553401</v>
      </c>
      <c r="N9" s="580">
        <f>Summary!N77</f>
        <v>14395.203817047668</v>
      </c>
      <c r="O9" s="581">
        <f>Summary!O77</f>
        <v>122.21125395143612</v>
      </c>
      <c r="P9" s="581">
        <f>Summary!P77</f>
        <v>29.04666221147064</v>
      </c>
      <c r="Q9" s="581">
        <f>Summary!Q77</f>
        <v>151.25791616290675</v>
      </c>
      <c r="R9" s="581">
        <f>Summary!R77</f>
        <v>0</v>
      </c>
      <c r="S9" s="581">
        <f>Summary!S77</f>
        <v>151.25791616290675</v>
      </c>
      <c r="T9" s="267" t="s">
        <v>49</v>
      </c>
    </row>
    <row r="10" spans="1:20" ht="15" customHeight="1">
      <c r="A10" s="262" t="s">
        <v>11</v>
      </c>
      <c r="B10" s="263">
        <f>Summary!B78</f>
        <v>8209.98267361381</v>
      </c>
      <c r="C10" s="264">
        <f>Summary!C78</f>
        <v>119.92389950467435</v>
      </c>
      <c r="D10" s="264">
        <f>Summary!D78</f>
        <v>27.69000445293052</v>
      </c>
      <c r="E10" s="264">
        <f>Summary!E78</f>
        <v>147.61390395760486</v>
      </c>
      <c r="F10" s="264">
        <f>Summary!F78</f>
        <v>0</v>
      </c>
      <c r="G10" s="264">
        <f>Summary!G78</f>
        <v>147.61390395760486</v>
      </c>
      <c r="H10" s="265">
        <f>Summary!H78</f>
        <v>7967.111882312114</v>
      </c>
      <c r="I10" s="266">
        <f>Summary!I78</f>
        <v>120.71110133742307</v>
      </c>
      <c r="J10" s="266">
        <f>Summary!J78</f>
        <v>28.42148686184427</v>
      </c>
      <c r="K10" s="266">
        <f>Summary!K78</f>
        <v>149.13258819926733</v>
      </c>
      <c r="L10" s="266">
        <f>Summary!L78</f>
        <v>0</v>
      </c>
      <c r="M10" s="266">
        <f>Summary!M78</f>
        <v>149.13258819926733</v>
      </c>
      <c r="N10" s="580">
        <f>Summary!N78</f>
        <v>7752.559600808843</v>
      </c>
      <c r="O10" s="581">
        <f>Summary!O78</f>
        <v>122.33080934061316</v>
      </c>
      <c r="P10" s="581">
        <f>Summary!P78</f>
        <v>29.04666221147064</v>
      </c>
      <c r="Q10" s="581">
        <f>Summary!Q78</f>
        <v>151.3774715520838</v>
      </c>
      <c r="R10" s="581">
        <f>Summary!R78</f>
        <v>0</v>
      </c>
      <c r="S10" s="581">
        <f>Summary!S78</f>
        <v>151.3774715520838</v>
      </c>
      <c r="T10" s="267" t="s">
        <v>11</v>
      </c>
    </row>
    <row r="11" spans="1:20" ht="15" customHeight="1">
      <c r="A11" s="262" t="s">
        <v>381</v>
      </c>
      <c r="B11" s="263">
        <f>Summary!B79</f>
        <v>26115.82457357292</v>
      </c>
      <c r="C11" s="264">
        <f>Summary!C79</f>
        <v>119.81030111063517</v>
      </c>
      <c r="D11" s="264">
        <f>Summary!D79</f>
        <v>27.69000445293052</v>
      </c>
      <c r="E11" s="264">
        <f>Summary!E79</f>
        <v>147.5003055635657</v>
      </c>
      <c r="F11" s="264">
        <f>Summary!F79</f>
        <v>0</v>
      </c>
      <c r="G11" s="264">
        <f>Summary!G79</f>
        <v>147.5003055635657</v>
      </c>
      <c r="H11" s="265">
        <f>Summary!H79</f>
        <v>25385.735320086413</v>
      </c>
      <c r="I11" s="266">
        <f>Summary!I79</f>
        <v>120.59375719349583</v>
      </c>
      <c r="J11" s="266">
        <f>Summary!J79</f>
        <v>28.42148686184427</v>
      </c>
      <c r="K11" s="266">
        <f>Summary!K79</f>
        <v>149.0152440553401</v>
      </c>
      <c r="L11" s="266">
        <f>Summary!L79</f>
        <v>0</v>
      </c>
      <c r="M11" s="266">
        <f>Summary!M79</f>
        <v>149.0152440553401</v>
      </c>
      <c r="N11" s="580">
        <f>Summary!N79</f>
        <v>24365.3256484031</v>
      </c>
      <c r="O11" s="581">
        <f>Summary!O79</f>
        <v>122.21125395143612</v>
      </c>
      <c r="P11" s="581">
        <f>Summary!P79</f>
        <v>29.04666221147064</v>
      </c>
      <c r="Q11" s="581">
        <f>Summary!Q79</f>
        <v>151.25791616290675</v>
      </c>
      <c r="R11" s="581">
        <f>Summary!R79</f>
        <v>0</v>
      </c>
      <c r="S11" s="581">
        <f>Summary!S79</f>
        <v>151.25791616290675</v>
      </c>
      <c r="T11" s="267" t="s">
        <v>381</v>
      </c>
    </row>
    <row r="12" spans="1:20" ht="15" customHeight="1">
      <c r="A12" s="262" t="s">
        <v>21</v>
      </c>
      <c r="B12" s="263">
        <f>Summary!B80</f>
        <v>3965.743147499886</v>
      </c>
      <c r="C12" s="264">
        <f>Summary!C80</f>
        <v>119.81030111063517</v>
      </c>
      <c r="D12" s="264">
        <f>Summary!D80</f>
        <v>27.69000445293052</v>
      </c>
      <c r="E12" s="264">
        <f>Summary!E80</f>
        <v>147.5003055635657</v>
      </c>
      <c r="F12" s="264">
        <f>Summary!F80</f>
        <v>0</v>
      </c>
      <c r="G12" s="264">
        <f>Summary!G80</f>
        <v>147.5003055635657</v>
      </c>
      <c r="H12" s="265">
        <f>Summary!H80</f>
        <v>3933.5884536810645</v>
      </c>
      <c r="I12" s="266">
        <f>Summary!I80</f>
        <v>120.59375719349583</v>
      </c>
      <c r="J12" s="266">
        <f>Summary!J80</f>
        <v>28.42148686184427</v>
      </c>
      <c r="K12" s="266">
        <f>Summary!K80</f>
        <v>149.0152440553401</v>
      </c>
      <c r="L12" s="266">
        <f>Summary!L80</f>
        <v>0</v>
      </c>
      <c r="M12" s="266">
        <f>Summary!M80</f>
        <v>149.0152440553401</v>
      </c>
      <c r="N12" s="580">
        <f>Summary!N80</f>
        <v>3781.059595144259</v>
      </c>
      <c r="O12" s="581">
        <f>Summary!O80</f>
        <v>122.21125395143612</v>
      </c>
      <c r="P12" s="581">
        <f>Summary!P80</f>
        <v>29.04666221147064</v>
      </c>
      <c r="Q12" s="581">
        <f>Summary!Q80</f>
        <v>151.25791616290675</v>
      </c>
      <c r="R12" s="581">
        <f>Summary!R80</f>
        <v>0</v>
      </c>
      <c r="S12" s="581">
        <f>Summary!S80</f>
        <v>151.25791616290675</v>
      </c>
      <c r="T12" s="267" t="s">
        <v>21</v>
      </c>
    </row>
    <row r="13" spans="1:20" ht="15" customHeight="1">
      <c r="A13" s="262" t="s">
        <v>62</v>
      </c>
      <c r="B13" s="263">
        <f>Summary!B81</f>
        <v>5241.711205676533</v>
      </c>
      <c r="C13" s="264">
        <f>Summary!C81</f>
        <v>119.81030111063517</v>
      </c>
      <c r="D13" s="264">
        <f>Summary!D81</f>
        <v>27.69000445293052</v>
      </c>
      <c r="E13" s="264">
        <f>Summary!E81</f>
        <v>147.5003055635657</v>
      </c>
      <c r="F13" s="264">
        <f>Summary!F81</f>
        <v>0</v>
      </c>
      <c r="G13" s="264">
        <f>Summary!G81</f>
        <v>147.5003055635657</v>
      </c>
      <c r="H13" s="265">
        <f>Summary!H81</f>
        <v>5136.392550085434</v>
      </c>
      <c r="I13" s="266">
        <f>Summary!I81</f>
        <v>120.59375719349583</v>
      </c>
      <c r="J13" s="266">
        <f>Summary!J81</f>
        <v>28.42148686184427</v>
      </c>
      <c r="K13" s="266">
        <f>Summary!K81</f>
        <v>149.0152440553401</v>
      </c>
      <c r="L13" s="266">
        <f>Summary!L81</f>
        <v>0</v>
      </c>
      <c r="M13" s="266">
        <f>Summary!M81</f>
        <v>149.0152440553401</v>
      </c>
      <c r="N13" s="580">
        <f>Summary!N81</f>
        <v>5108.714808238884</v>
      </c>
      <c r="O13" s="581">
        <f>Summary!O81</f>
        <v>122.21125395143612</v>
      </c>
      <c r="P13" s="581">
        <f>Summary!P81</f>
        <v>29.04666221147064</v>
      </c>
      <c r="Q13" s="581">
        <f>Summary!Q81</f>
        <v>151.25791616290675</v>
      </c>
      <c r="R13" s="581">
        <f>Summary!R81</f>
        <v>0</v>
      </c>
      <c r="S13" s="581">
        <f>Summary!S81</f>
        <v>151.25791616290675</v>
      </c>
      <c r="T13" s="267" t="s">
        <v>62</v>
      </c>
    </row>
    <row r="14" spans="1:20" ht="15" customHeight="1">
      <c r="A14" s="262" t="s">
        <v>48</v>
      </c>
      <c r="B14" s="263">
        <f>Summary!B82</f>
        <v>3369.1269217698155</v>
      </c>
      <c r="C14" s="264">
        <f>Summary!C82</f>
        <v>119.81030111063517</v>
      </c>
      <c r="D14" s="264">
        <f>Summary!D82</f>
        <v>27.69000445293052</v>
      </c>
      <c r="E14" s="264">
        <f>Summary!E82</f>
        <v>147.5003055635657</v>
      </c>
      <c r="F14" s="264">
        <f>Summary!F82</f>
        <v>0</v>
      </c>
      <c r="G14" s="264">
        <f>Summary!G82</f>
        <v>147.5003055635657</v>
      </c>
      <c r="H14" s="265">
        <f>Summary!H82</f>
        <v>3284.6083497893605</v>
      </c>
      <c r="I14" s="266">
        <f>Summary!I82</f>
        <v>120.59375719349583</v>
      </c>
      <c r="J14" s="266">
        <f>Summary!J82</f>
        <v>28.42148686184427</v>
      </c>
      <c r="K14" s="266">
        <f>Summary!K82</f>
        <v>149.0152440553401</v>
      </c>
      <c r="L14" s="266">
        <f>Summary!L82</f>
        <v>0</v>
      </c>
      <c r="M14" s="266">
        <f>Summary!M82</f>
        <v>149.0152440553401</v>
      </c>
      <c r="N14" s="580">
        <f>Summary!N82</f>
        <v>3226.833211573333</v>
      </c>
      <c r="O14" s="581">
        <f>Summary!O82</f>
        <v>122.21125395143612</v>
      </c>
      <c r="P14" s="581">
        <f>Summary!P82</f>
        <v>29.04666221147064</v>
      </c>
      <c r="Q14" s="581">
        <f>Summary!Q82</f>
        <v>151.25791616290675</v>
      </c>
      <c r="R14" s="581">
        <f>Summary!R82</f>
        <v>0</v>
      </c>
      <c r="S14" s="581">
        <f>Summary!S82</f>
        <v>151.25791616290675</v>
      </c>
      <c r="T14" s="267" t="s">
        <v>48</v>
      </c>
    </row>
    <row r="15" spans="1:20" ht="15" customHeight="1">
      <c r="A15" s="262" t="s">
        <v>32</v>
      </c>
      <c r="B15" s="263">
        <f>Summary!B83</f>
        <v>23749.174920997037</v>
      </c>
      <c r="C15" s="264">
        <f>Summary!C83</f>
        <v>119.81030111063517</v>
      </c>
      <c r="D15" s="264">
        <f>Summary!D83</f>
        <v>27.69000445293052</v>
      </c>
      <c r="E15" s="264">
        <f>Summary!E83</f>
        <v>147.5003055635657</v>
      </c>
      <c r="F15" s="264">
        <f>Summary!F83</f>
        <v>0</v>
      </c>
      <c r="G15" s="264">
        <f>Summary!G83</f>
        <v>147.5003055635657</v>
      </c>
      <c r="H15" s="265">
        <f>Summary!H83</f>
        <v>22944.2699482933</v>
      </c>
      <c r="I15" s="266">
        <f>Summary!I83</f>
        <v>120.59375719349583</v>
      </c>
      <c r="J15" s="266">
        <f>Summary!J83</f>
        <v>28.42148686184427</v>
      </c>
      <c r="K15" s="266">
        <f>Summary!K83</f>
        <v>149.0152440553401</v>
      </c>
      <c r="L15" s="266">
        <f>Summary!L83</f>
        <v>0</v>
      </c>
      <c r="M15" s="266">
        <f>Summary!M83</f>
        <v>149.0152440553401</v>
      </c>
      <c r="N15" s="580">
        <f>Summary!N83</f>
        <v>22334.474361078985</v>
      </c>
      <c r="O15" s="581">
        <f>Summary!O83</f>
        <v>122.21125395143612</v>
      </c>
      <c r="P15" s="581">
        <f>Summary!P83</f>
        <v>29.04666221147064</v>
      </c>
      <c r="Q15" s="581">
        <f>Summary!Q83</f>
        <v>151.25791616290675</v>
      </c>
      <c r="R15" s="581">
        <f>Summary!R83</f>
        <v>0</v>
      </c>
      <c r="S15" s="581">
        <f>Summary!S83</f>
        <v>151.25791616290675</v>
      </c>
      <c r="T15" s="267" t="s">
        <v>32</v>
      </c>
    </row>
    <row r="16" spans="1:20" ht="15" customHeight="1">
      <c r="A16" s="262" t="s">
        <v>17</v>
      </c>
      <c r="B16" s="263">
        <f>Summary!B84</f>
        <v>4736.702634638746</v>
      </c>
      <c r="C16" s="264">
        <f>Summary!C84</f>
        <v>119.92389950467435</v>
      </c>
      <c r="D16" s="264">
        <f>Summary!D84</f>
        <v>27.69000445293052</v>
      </c>
      <c r="E16" s="264">
        <f>Summary!E84</f>
        <v>147.61390395760486</v>
      </c>
      <c r="F16" s="264">
        <f>Summary!F84</f>
        <v>0</v>
      </c>
      <c r="G16" s="264">
        <f>Summary!G84</f>
        <v>147.61390395760486</v>
      </c>
      <c r="H16" s="265">
        <f>Summary!H84</f>
        <v>4686.057593250512</v>
      </c>
      <c r="I16" s="266">
        <f>Summary!I84</f>
        <v>120.71110133742307</v>
      </c>
      <c r="J16" s="266">
        <f>Summary!J84</f>
        <v>28.42148686184427</v>
      </c>
      <c r="K16" s="266">
        <f>Summary!K84</f>
        <v>149.13258819926733</v>
      </c>
      <c r="L16" s="266">
        <f>Summary!L84</f>
        <v>0</v>
      </c>
      <c r="M16" s="266">
        <f>Summary!M84</f>
        <v>149.13258819926733</v>
      </c>
      <c r="N16" s="580">
        <f>Summary!N84</f>
        <v>4476.480218318749</v>
      </c>
      <c r="O16" s="581">
        <f>Summary!O84</f>
        <v>122.33080934061316</v>
      </c>
      <c r="P16" s="581">
        <f>Summary!P84</f>
        <v>29.04666221147064</v>
      </c>
      <c r="Q16" s="581">
        <f>Summary!Q84</f>
        <v>151.3774715520838</v>
      </c>
      <c r="R16" s="581">
        <f>Summary!R84</f>
        <v>0</v>
      </c>
      <c r="S16" s="581">
        <f>Summary!S84</f>
        <v>151.3774715520838</v>
      </c>
      <c r="T16" s="267" t="s">
        <v>17</v>
      </c>
    </row>
    <row r="17" spans="1:20" ht="15" customHeight="1">
      <c r="A17" s="262" t="s">
        <v>159</v>
      </c>
      <c r="B17" s="263">
        <f>Summary!B85</f>
        <v>2405.3455855396014</v>
      </c>
      <c r="C17" s="264">
        <f>Summary!C85</f>
        <v>119.81030111063517</v>
      </c>
      <c r="D17" s="264">
        <f>Summary!D85</f>
        <v>27.69000445293052</v>
      </c>
      <c r="E17" s="264">
        <f>Summary!E85</f>
        <v>147.5003055635657</v>
      </c>
      <c r="F17" s="264">
        <f>Summary!F85</f>
        <v>0</v>
      </c>
      <c r="G17" s="264">
        <f>Summary!G85</f>
        <v>147.5003055635657</v>
      </c>
      <c r="H17" s="265">
        <f>Summary!H85</f>
        <v>2517.0224440713105</v>
      </c>
      <c r="I17" s="266">
        <f>Summary!I85</f>
        <v>120.59375719349583</v>
      </c>
      <c r="J17" s="266">
        <f>Summary!J85</f>
        <v>28.42148686184427</v>
      </c>
      <c r="K17" s="266">
        <f>Summary!K85</f>
        <v>149.0152440553401</v>
      </c>
      <c r="L17" s="266">
        <f>Summary!L85</f>
        <v>0</v>
      </c>
      <c r="M17" s="266">
        <f>Summary!M85</f>
        <v>149.0152440553401</v>
      </c>
      <c r="N17" s="580">
        <f>Summary!N85</f>
        <v>2410.627135424294</v>
      </c>
      <c r="O17" s="581">
        <f>Summary!O85</f>
        <v>122.21125395143612</v>
      </c>
      <c r="P17" s="581">
        <f>Summary!P85</f>
        <v>29.04666221147064</v>
      </c>
      <c r="Q17" s="581">
        <f>Summary!Q85</f>
        <v>151.25791616290675</v>
      </c>
      <c r="R17" s="581">
        <f>Summary!R85</f>
        <v>0</v>
      </c>
      <c r="S17" s="581">
        <f>Summary!S85</f>
        <v>151.25791616290675</v>
      </c>
      <c r="T17" s="267" t="s">
        <v>159</v>
      </c>
    </row>
    <row r="18" spans="1:20" ht="15" customHeight="1">
      <c r="A18" s="262" t="s">
        <v>12</v>
      </c>
      <c r="B18" s="263">
        <f>Summary!B86</f>
        <v>7210.339168263425</v>
      </c>
      <c r="C18" s="264">
        <f>Summary!C86</f>
        <v>119.92389950467435</v>
      </c>
      <c r="D18" s="264">
        <f>Summary!D86</f>
        <v>27.69000445293052</v>
      </c>
      <c r="E18" s="264">
        <f>Summary!E86</f>
        <v>147.61390395760486</v>
      </c>
      <c r="F18" s="264">
        <f>Summary!F86</f>
        <v>0</v>
      </c>
      <c r="G18" s="264">
        <f>Summary!G86</f>
        <v>147.61390395760486</v>
      </c>
      <c r="H18" s="265">
        <f>Summary!H86</f>
        <v>7024.441639985411</v>
      </c>
      <c r="I18" s="266">
        <f>Summary!I86</f>
        <v>120.71110133742307</v>
      </c>
      <c r="J18" s="266">
        <f>Summary!J86</f>
        <v>28.42148686184427</v>
      </c>
      <c r="K18" s="266">
        <f>Summary!K86</f>
        <v>149.13258819926733</v>
      </c>
      <c r="L18" s="266">
        <f>Summary!L86</f>
        <v>0</v>
      </c>
      <c r="M18" s="266">
        <f>Summary!M86</f>
        <v>149.13258819926733</v>
      </c>
      <c r="N18" s="580">
        <f>Summary!N86</f>
        <v>6719.653093352197</v>
      </c>
      <c r="O18" s="581">
        <f>Summary!O86</f>
        <v>122.33080934061316</v>
      </c>
      <c r="P18" s="581">
        <f>Summary!P86</f>
        <v>29.04666221147064</v>
      </c>
      <c r="Q18" s="581">
        <f>Summary!Q86</f>
        <v>151.3774715520838</v>
      </c>
      <c r="R18" s="581">
        <f>Summary!R86</f>
        <v>0</v>
      </c>
      <c r="S18" s="581">
        <f>Summary!S86</f>
        <v>151.3774715520838</v>
      </c>
      <c r="T18" s="267" t="s">
        <v>12</v>
      </c>
    </row>
    <row r="19" spans="1:20" ht="15" customHeight="1">
      <c r="A19" s="262" t="s">
        <v>13</v>
      </c>
      <c r="B19" s="263">
        <f>Summary!B87</f>
        <v>3465.3553452746646</v>
      </c>
      <c r="C19" s="264">
        <f>Summary!C87</f>
        <v>119.92389950467435</v>
      </c>
      <c r="D19" s="264">
        <f>Summary!D87</f>
        <v>27.69000445293052</v>
      </c>
      <c r="E19" s="264">
        <f>Summary!E87</f>
        <v>147.61390395760486</v>
      </c>
      <c r="F19" s="264">
        <f>Summary!F87</f>
        <v>0</v>
      </c>
      <c r="G19" s="264">
        <f>Summary!G87</f>
        <v>147.61390395760486</v>
      </c>
      <c r="H19" s="265">
        <f>Summary!H87</f>
        <v>3320.952227276978</v>
      </c>
      <c r="I19" s="266">
        <f>Summary!I87</f>
        <v>120.71110133742307</v>
      </c>
      <c r="J19" s="266">
        <f>Summary!J87</f>
        <v>28.42148686184427</v>
      </c>
      <c r="K19" s="266">
        <f>Summary!K87</f>
        <v>149.13258819926733</v>
      </c>
      <c r="L19" s="266">
        <f>Summary!L87</f>
        <v>0</v>
      </c>
      <c r="M19" s="266">
        <f>Summary!M87</f>
        <v>149.13258819926733</v>
      </c>
      <c r="N19" s="580">
        <f>Summary!N87</f>
        <v>3296.4246624486236</v>
      </c>
      <c r="O19" s="581">
        <f>Summary!O87</f>
        <v>122.33080934061316</v>
      </c>
      <c r="P19" s="581">
        <f>Summary!P87</f>
        <v>29.04666221147064</v>
      </c>
      <c r="Q19" s="581">
        <f>Summary!Q87</f>
        <v>151.3774715520838</v>
      </c>
      <c r="R19" s="581">
        <f>Summary!R87</f>
        <v>0</v>
      </c>
      <c r="S19" s="581">
        <f>Summary!S87</f>
        <v>151.3774715520838</v>
      </c>
      <c r="T19" s="267" t="s">
        <v>13</v>
      </c>
    </row>
    <row r="20" spans="1:20" ht="15" customHeight="1">
      <c r="A20" s="262" t="s">
        <v>9</v>
      </c>
      <c r="B20" s="263">
        <f>Summary!B88</f>
        <v>10054.17210760676</v>
      </c>
      <c r="C20" s="264">
        <f>Summary!C88</f>
        <v>119.92389950467435</v>
      </c>
      <c r="D20" s="264">
        <f>Summary!D88</f>
        <v>27.69000445293052</v>
      </c>
      <c r="E20" s="264">
        <f>Summary!E88</f>
        <v>147.61390395760486</v>
      </c>
      <c r="F20" s="264">
        <f>Summary!F88</f>
        <v>0</v>
      </c>
      <c r="G20" s="264">
        <f>Summary!G88</f>
        <v>147.61390395760486</v>
      </c>
      <c r="H20" s="265">
        <f>Summary!H88</f>
        <v>9695.933459096252</v>
      </c>
      <c r="I20" s="266">
        <f>Summary!I88</f>
        <v>120.71110133742307</v>
      </c>
      <c r="J20" s="266">
        <f>Summary!J88</f>
        <v>28.42148686184427</v>
      </c>
      <c r="K20" s="266">
        <f>Summary!K88</f>
        <v>149.13258819926733</v>
      </c>
      <c r="L20" s="266">
        <f>Summary!L88</f>
        <v>0</v>
      </c>
      <c r="M20" s="266">
        <f>Summary!M88</f>
        <v>149.13258819926733</v>
      </c>
      <c r="N20" s="580">
        <f>Summary!N88</f>
        <v>9651.313531246924</v>
      </c>
      <c r="O20" s="581">
        <f>Summary!O88</f>
        <v>122.33080934061316</v>
      </c>
      <c r="P20" s="581">
        <f>Summary!P88</f>
        <v>29.04666221147064</v>
      </c>
      <c r="Q20" s="581">
        <f>Summary!Q88</f>
        <v>151.3774715520838</v>
      </c>
      <c r="R20" s="581">
        <f>Summary!R88</f>
        <v>0</v>
      </c>
      <c r="S20" s="581">
        <f>Summary!S88</f>
        <v>151.3774715520838</v>
      </c>
      <c r="T20" s="267" t="s">
        <v>9</v>
      </c>
    </row>
    <row r="21" spans="1:20" ht="15" customHeight="1">
      <c r="A21" s="262" t="s">
        <v>14</v>
      </c>
      <c r="B21" s="263">
        <f>Summary!B89</f>
        <v>3424.599777672611</v>
      </c>
      <c r="C21" s="264">
        <f>Summary!C89</f>
        <v>119.92389950467435</v>
      </c>
      <c r="D21" s="264">
        <f>Summary!D89</f>
        <v>27.69000445293052</v>
      </c>
      <c r="E21" s="264">
        <f>Summary!E89</f>
        <v>147.61390395760486</v>
      </c>
      <c r="F21" s="264">
        <f>Summary!F89</f>
        <v>0</v>
      </c>
      <c r="G21" s="264">
        <f>Summary!G89</f>
        <v>147.61390395760486</v>
      </c>
      <c r="H21" s="265">
        <f>Summary!H89</f>
        <v>3284.5655972255167</v>
      </c>
      <c r="I21" s="266">
        <f>Summary!I89</f>
        <v>120.71110133742307</v>
      </c>
      <c r="J21" s="266">
        <f>Summary!J89</f>
        <v>28.42148686184427</v>
      </c>
      <c r="K21" s="266">
        <f>Summary!K89</f>
        <v>149.13258819926733</v>
      </c>
      <c r="L21" s="266">
        <f>Summary!L89</f>
        <v>0</v>
      </c>
      <c r="M21" s="266">
        <f>Summary!M89</f>
        <v>149.13258819926733</v>
      </c>
      <c r="N21" s="580">
        <f>Summary!N89</f>
        <v>3202.6289960023983</v>
      </c>
      <c r="O21" s="581">
        <f>Summary!O89</f>
        <v>122.33080934061316</v>
      </c>
      <c r="P21" s="581">
        <f>Summary!P89</f>
        <v>29.04666221147064</v>
      </c>
      <c r="Q21" s="581">
        <f>Summary!Q89</f>
        <v>151.3774715520838</v>
      </c>
      <c r="R21" s="581">
        <f>Summary!R89</f>
        <v>0</v>
      </c>
      <c r="S21" s="581">
        <f>Summary!S89</f>
        <v>151.3774715520838</v>
      </c>
      <c r="T21" s="267" t="s">
        <v>14</v>
      </c>
    </row>
    <row r="22" spans="1:20" ht="15" customHeight="1">
      <c r="A22" s="262" t="s">
        <v>15</v>
      </c>
      <c r="B22" s="263">
        <f>Summary!B90</f>
        <v>7617.8948442839655</v>
      </c>
      <c r="C22" s="264">
        <f>Summary!C90</f>
        <v>119.92389950467435</v>
      </c>
      <c r="D22" s="264">
        <f>Summary!D90</f>
        <v>27.69000445293052</v>
      </c>
      <c r="E22" s="264">
        <f>Summary!E90</f>
        <v>147.61390395760486</v>
      </c>
      <c r="F22" s="264">
        <f>Summary!F90</f>
        <v>0</v>
      </c>
      <c r="G22" s="264">
        <f>Summary!G90</f>
        <v>147.61390395760486</v>
      </c>
      <c r="H22" s="265">
        <f>Summary!H90</f>
        <v>7343.807093497027</v>
      </c>
      <c r="I22" s="266">
        <f>Summary!I90</f>
        <v>120.71110133742307</v>
      </c>
      <c r="J22" s="266">
        <f>Summary!J90</f>
        <v>28.42148686184427</v>
      </c>
      <c r="K22" s="266">
        <f>Summary!K90</f>
        <v>149.13258819926733</v>
      </c>
      <c r="L22" s="266">
        <f>Summary!L90</f>
        <v>0</v>
      </c>
      <c r="M22" s="266">
        <f>Summary!M90</f>
        <v>149.13258819926733</v>
      </c>
      <c r="N22" s="580">
        <f>Summary!N90</f>
        <v>7308.654830404778</v>
      </c>
      <c r="O22" s="581">
        <f>Summary!O90</f>
        <v>122.33080934061316</v>
      </c>
      <c r="P22" s="581">
        <f>Summary!P90</f>
        <v>29.04666221147064</v>
      </c>
      <c r="Q22" s="581">
        <f>Summary!Q90</f>
        <v>151.3774715520838</v>
      </c>
      <c r="R22" s="581">
        <f>Summary!R90</f>
        <v>0</v>
      </c>
      <c r="S22" s="581">
        <f>Summary!S90</f>
        <v>151.3774715520838</v>
      </c>
      <c r="T22" s="267" t="s">
        <v>15</v>
      </c>
    </row>
    <row r="23" spans="1:20" ht="15" customHeight="1">
      <c r="A23" s="262" t="s">
        <v>10</v>
      </c>
      <c r="B23" s="263">
        <f>Summary!B91</f>
        <v>8509.98893512893</v>
      </c>
      <c r="C23" s="264">
        <f>Summary!C91</f>
        <v>118.17930264172026</v>
      </c>
      <c r="D23" s="264">
        <f>Summary!D91</f>
        <v>27.69000445293052</v>
      </c>
      <c r="E23" s="264">
        <f>Summary!E91</f>
        <v>145.86930709465076</v>
      </c>
      <c r="F23" s="264">
        <f>Summary!F91</f>
        <v>0</v>
      </c>
      <c r="G23" s="264">
        <f>Summary!G91</f>
        <v>145.86930709465076</v>
      </c>
      <c r="H23" s="265">
        <f>Summary!H91</f>
        <v>8227.66471470988</v>
      </c>
      <c r="I23" s="266">
        <f>Summary!I91</f>
        <v>118.9066403494277</v>
      </c>
      <c r="J23" s="266">
        <f>Summary!J91</f>
        <v>28.42148686184427</v>
      </c>
      <c r="K23" s="266">
        <f>Summary!K91</f>
        <v>147.32812721127198</v>
      </c>
      <c r="L23" s="266">
        <f>Summary!L91</f>
        <v>0</v>
      </c>
      <c r="M23" s="266">
        <f>Summary!M91</f>
        <v>147.32812721127198</v>
      </c>
      <c r="N23" s="580">
        <f>Summary!N91</f>
        <v>8266.122841885903</v>
      </c>
      <c r="O23" s="581">
        <f>Summary!O91</f>
        <v>120.53474360532427</v>
      </c>
      <c r="P23" s="581">
        <f>Summary!P91</f>
        <v>29.04666221147064</v>
      </c>
      <c r="Q23" s="581">
        <f>Summary!Q91</f>
        <v>149.5814058167949</v>
      </c>
      <c r="R23" s="581">
        <f>Summary!R91</f>
        <v>0</v>
      </c>
      <c r="S23" s="581">
        <f>Summary!S91</f>
        <v>149.5814058167949</v>
      </c>
      <c r="T23" s="267" t="s">
        <v>10</v>
      </c>
    </row>
    <row r="24" spans="1:20" ht="15" customHeight="1">
      <c r="A24" s="262" t="s">
        <v>8</v>
      </c>
      <c r="B24" s="263">
        <f>Summary!B92</f>
        <v>11853.077577597434</v>
      </c>
      <c r="C24" s="264">
        <f>Summary!C92</f>
        <v>214.92389950467435</v>
      </c>
      <c r="D24" s="264">
        <f>Summary!D92</f>
        <v>27.69000445293052</v>
      </c>
      <c r="E24" s="264">
        <f>Summary!E92</f>
        <v>242.61390395760486</v>
      </c>
      <c r="F24" s="264">
        <f>Summary!F92</f>
        <v>39.71532733003149</v>
      </c>
      <c r="G24" s="264">
        <f>Summary!G92</f>
        <v>202.89857662757336</v>
      </c>
      <c r="H24" s="265">
        <f>Summary!H92</f>
        <v>11480.620335310241</v>
      </c>
      <c r="I24" s="266">
        <f>Summary!I92</f>
        <v>215.66355083732503</v>
      </c>
      <c r="J24" s="266">
        <f>Summary!J92</f>
        <v>28.42148686184427</v>
      </c>
      <c r="K24" s="266">
        <f>Summary!K92</f>
        <v>244.0850376991693</v>
      </c>
      <c r="L24" s="266">
        <f>Summary!L92</f>
        <v>38.30841595943766</v>
      </c>
      <c r="M24" s="266">
        <f>Summary!M92</f>
        <v>205.77662173973164</v>
      </c>
      <c r="N24" s="580">
        <f>Summary!N92</f>
        <v>11295.937098013199</v>
      </c>
      <c r="O24" s="581">
        <f>Summary!O92</f>
        <v>216.76667889107964</v>
      </c>
      <c r="P24" s="581">
        <f>Summary!P92</f>
        <v>29.04666221147064</v>
      </c>
      <c r="Q24" s="581">
        <f>Summary!Q92</f>
        <v>245.81334110255028</v>
      </c>
      <c r="R24" s="581">
        <f>Summary!R92</f>
        <v>39.50304014979985</v>
      </c>
      <c r="S24" s="581">
        <f>Summary!S92</f>
        <v>206.31030095275042</v>
      </c>
      <c r="T24" s="267" t="s">
        <v>8</v>
      </c>
    </row>
    <row r="25" spans="1:20" ht="15" customHeight="1">
      <c r="A25" s="262" t="s">
        <v>18</v>
      </c>
      <c r="B25" s="263">
        <f>Summary!B93</f>
        <v>467.55692832356635</v>
      </c>
      <c r="C25" s="264">
        <f>Summary!C93</f>
        <v>119.92389950467435</v>
      </c>
      <c r="D25" s="264">
        <f>Summary!D93</f>
        <v>27.69000445293052</v>
      </c>
      <c r="E25" s="264">
        <f>Summary!E93</f>
        <v>147.61390395760486</v>
      </c>
      <c r="F25" s="264">
        <f>Summary!F93</f>
        <v>0</v>
      </c>
      <c r="G25" s="264">
        <f>Summary!G93</f>
        <v>147.61390395760486</v>
      </c>
      <c r="H25" s="265">
        <f>Summary!H93</f>
        <v>465.1503029324666</v>
      </c>
      <c r="I25" s="266">
        <f>Summary!I93</f>
        <v>120.71110133742307</v>
      </c>
      <c r="J25" s="266">
        <f>Summary!J93</f>
        <v>28.42148686184427</v>
      </c>
      <c r="K25" s="266">
        <f>Summary!K93</f>
        <v>149.13258819926733</v>
      </c>
      <c r="L25" s="266">
        <f>Summary!L93</f>
        <v>0</v>
      </c>
      <c r="M25" s="266">
        <f>Summary!M93</f>
        <v>149.13258819926733</v>
      </c>
      <c r="N25" s="580">
        <f>Summary!N93</f>
        <v>451.19691738562506</v>
      </c>
      <c r="O25" s="581">
        <f>Summary!O93</f>
        <v>122.33080934061316</v>
      </c>
      <c r="P25" s="581">
        <f>Summary!P93</f>
        <v>29.04666221147064</v>
      </c>
      <c r="Q25" s="581">
        <f>Summary!Q93</f>
        <v>151.3774715520838</v>
      </c>
      <c r="R25" s="581">
        <f>Summary!R93</f>
        <v>0</v>
      </c>
      <c r="S25" s="581">
        <f>Summary!S93</f>
        <v>151.3774715520838</v>
      </c>
      <c r="T25" s="267" t="s">
        <v>18</v>
      </c>
    </row>
    <row r="26" spans="1:20" ht="15" customHeight="1">
      <c r="A26" s="268"/>
      <c r="B26" s="269">
        <f>SUM(B6:B25)</f>
        <v>171128.87749999994</v>
      </c>
      <c r="C26" s="270"/>
      <c r="D26" s="270"/>
      <c r="E26" s="270"/>
      <c r="F26" s="270"/>
      <c r="G26" s="270"/>
      <c r="H26" s="271">
        <f>SUM(H6:H25)</f>
        <v>166724.5419999999</v>
      </c>
      <c r="I26" s="270"/>
      <c r="J26" s="270"/>
      <c r="K26" s="270"/>
      <c r="L26" s="270"/>
      <c r="M26" s="270"/>
      <c r="N26" s="582">
        <f>SUM(N6:N25)</f>
        <v>163136.1065</v>
      </c>
      <c r="O26" s="270"/>
      <c r="P26" s="270"/>
      <c r="Q26" s="270"/>
      <c r="R26" s="270"/>
      <c r="S26" s="270"/>
      <c r="T26" s="255"/>
    </row>
    <row r="27" spans="1:20" ht="13.5">
      <c r="A27" s="272" t="s">
        <v>152</v>
      </c>
      <c r="B27" s="255"/>
      <c r="C27" s="255"/>
      <c r="D27" s="255"/>
      <c r="E27" s="255"/>
      <c r="F27" s="255"/>
      <c r="G27" s="255"/>
      <c r="H27" s="255"/>
      <c r="I27" s="255"/>
      <c r="J27" s="255"/>
      <c r="K27" s="255"/>
      <c r="L27" s="255"/>
      <c r="M27" s="255"/>
      <c r="N27" s="255"/>
      <c r="O27" s="255"/>
      <c r="P27" s="255"/>
      <c r="Q27" s="255"/>
      <c r="R27" s="255"/>
      <c r="S27" s="255"/>
      <c r="T27" s="255"/>
    </row>
  </sheetData>
  <sheetProtection/>
  <mergeCells count="3">
    <mergeCell ref="B4:G4"/>
    <mergeCell ref="H4:M4"/>
    <mergeCell ref="N4:S4"/>
  </mergeCells>
  <printOptions/>
  <pageMargins left="0.45" right="0.45" top="0.5" bottom="0.5" header="0.3" footer="0.3"/>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AB47"/>
  <sheetViews>
    <sheetView zoomScalePageLayoutView="0" workbookViewId="0" topLeftCell="A1">
      <selection activeCell="A1" sqref="A1"/>
    </sheetView>
  </sheetViews>
  <sheetFormatPr defaultColWidth="9.140625" defaultRowHeight="12.75"/>
  <cols>
    <col min="1" max="34" width="16.7109375" style="0" customWidth="1"/>
  </cols>
  <sheetData>
    <row r="1" spans="1:28" ht="18">
      <c r="A1" s="371" t="s">
        <v>325</v>
      </c>
      <c r="B1" s="255"/>
      <c r="C1" s="255"/>
      <c r="D1" s="255"/>
      <c r="E1" s="255"/>
      <c r="F1" s="486" t="s">
        <v>24</v>
      </c>
      <c r="G1" s="255"/>
      <c r="H1" s="255"/>
      <c r="I1" s="255"/>
      <c r="J1" s="255"/>
      <c r="K1" s="255"/>
      <c r="L1" s="255"/>
      <c r="M1" s="255"/>
      <c r="N1" s="255"/>
      <c r="O1" s="255"/>
      <c r="P1" s="255"/>
      <c r="Q1" s="255"/>
      <c r="R1" s="255"/>
      <c r="S1" s="255"/>
      <c r="T1" s="255"/>
      <c r="U1" s="255"/>
      <c r="V1" s="255"/>
      <c r="W1" s="255"/>
      <c r="X1" s="255"/>
      <c r="Y1" s="255"/>
      <c r="Z1" s="255"/>
      <c r="AA1" s="255"/>
      <c r="AB1" s="255"/>
    </row>
    <row r="2" spans="1:28" ht="18">
      <c r="A2" s="307" t="s">
        <v>24</v>
      </c>
      <c r="B2" s="255"/>
      <c r="C2" s="255" t="s">
        <v>24</v>
      </c>
      <c r="D2" s="282" t="s">
        <v>24</v>
      </c>
      <c r="E2" s="487" t="s">
        <v>24</v>
      </c>
      <c r="F2" s="255"/>
      <c r="G2" s="255"/>
      <c r="H2" s="255"/>
      <c r="I2" s="255"/>
      <c r="J2" s="255"/>
      <c r="K2" s="255"/>
      <c r="L2" s="255"/>
      <c r="M2" s="255"/>
      <c r="N2" s="255"/>
      <c r="O2" s="255"/>
      <c r="P2" s="255"/>
      <c r="Q2" s="255"/>
      <c r="R2" s="255"/>
      <c r="S2" s="255"/>
      <c r="T2" s="255"/>
      <c r="U2" s="255"/>
      <c r="V2" s="255"/>
      <c r="W2" s="255"/>
      <c r="X2" s="255"/>
      <c r="Y2" s="255"/>
      <c r="Z2" s="255"/>
      <c r="AA2" s="255"/>
      <c r="AB2" s="255"/>
    </row>
    <row r="3" spans="1:28" ht="18">
      <c r="A3" s="576" t="s">
        <v>77</v>
      </c>
      <c r="B3" s="307"/>
      <c r="C3" s="488" t="s">
        <v>24</v>
      </c>
      <c r="D3" s="307"/>
      <c r="E3" s="319" t="s">
        <v>24</v>
      </c>
      <c r="F3" s="319"/>
      <c r="G3" s="255"/>
      <c r="H3" s="255"/>
      <c r="I3" s="255" t="s">
        <v>24</v>
      </c>
      <c r="J3" s="255"/>
      <c r="K3" s="439"/>
      <c r="L3" s="439"/>
      <c r="M3" s="255"/>
      <c r="N3" s="255"/>
      <c r="O3" s="255"/>
      <c r="P3" s="255"/>
      <c r="Q3" s="255"/>
      <c r="R3" s="255"/>
      <c r="S3" s="255"/>
      <c r="T3" s="255"/>
      <c r="U3" s="255"/>
      <c r="V3" s="255"/>
      <c r="W3" s="255"/>
      <c r="X3" s="255"/>
      <c r="Y3" s="439"/>
      <c r="Z3" s="255"/>
      <c r="AA3" s="255"/>
      <c r="AB3" s="255"/>
    </row>
    <row r="4" spans="1:28" ht="99.75" customHeight="1">
      <c r="A4" s="374" t="s">
        <v>3</v>
      </c>
      <c r="B4" s="373" t="s">
        <v>260</v>
      </c>
      <c r="C4" s="373" t="s">
        <v>276</v>
      </c>
      <c r="D4" s="373" t="s">
        <v>277</v>
      </c>
      <c r="E4" s="373" t="s">
        <v>278</v>
      </c>
      <c r="F4" s="374" t="s">
        <v>80</v>
      </c>
      <c r="G4" s="374" t="s">
        <v>279</v>
      </c>
      <c r="H4" s="374" t="s">
        <v>88</v>
      </c>
      <c r="I4" s="374" t="s">
        <v>280</v>
      </c>
      <c r="J4" s="374" t="s">
        <v>341</v>
      </c>
      <c r="K4" s="385"/>
      <c r="L4" s="255"/>
      <c r="M4" s="255"/>
      <c r="N4" s="385"/>
      <c r="O4" s="385"/>
      <c r="P4" s="385"/>
      <c r="Q4" s="385"/>
      <c r="R4" s="385"/>
      <c r="S4" s="385"/>
      <c r="T4" s="385"/>
      <c r="U4" s="385"/>
      <c r="V4" s="385"/>
      <c r="W4" s="385"/>
      <c r="X4" s="385"/>
      <c r="Y4" s="255"/>
      <c r="Z4" s="255"/>
      <c r="AA4" s="255"/>
      <c r="AB4" s="255"/>
    </row>
    <row r="5" spans="1:28" ht="13.5">
      <c r="A5" s="471" t="s">
        <v>29</v>
      </c>
      <c r="B5" s="489">
        <f>'1st IA Load Pricing Results'!B16</f>
        <v>66471.14835859611</v>
      </c>
      <c r="C5" s="469">
        <f>'BRA Resource Clearing Results'!E29-'1stIA Resource Clearing Results'!M31</f>
        <v>66322.4</v>
      </c>
      <c r="D5" s="353">
        <f>'1st IA Load Pricing Results'!H55+'1st IA Load Pricing Results'!H57+D6+D7+D14</f>
        <v>1324.1333885672707</v>
      </c>
      <c r="E5" s="490">
        <f>MAX(0,B5-C5-D5)</f>
        <v>0</v>
      </c>
      <c r="F5" s="491">
        <v>0</v>
      </c>
      <c r="G5" s="353">
        <f aca="true" t="shared" si="0" ref="G5:G14">E5-F5</f>
        <v>0</v>
      </c>
      <c r="H5" s="353">
        <f>'1st IA ICTRs'!C20</f>
        <v>0</v>
      </c>
      <c r="I5" s="353">
        <f>'1st IA ICTRs'!C12+'1st IA ICTRs'!C18</f>
        <v>0</v>
      </c>
      <c r="J5" s="353">
        <f aca="true" t="shared" si="1" ref="J5:J14">G5-H5-I5</f>
        <v>0</v>
      </c>
      <c r="K5" s="492" t="s">
        <v>24</v>
      </c>
      <c r="L5" s="255"/>
      <c r="M5" s="255"/>
      <c r="N5" s="335"/>
      <c r="O5" s="335"/>
      <c r="P5" s="335"/>
      <c r="Q5" s="335"/>
      <c r="R5" s="335"/>
      <c r="S5" s="335"/>
      <c r="T5" s="335"/>
      <c r="U5" s="335"/>
      <c r="V5" s="335"/>
      <c r="W5" s="335"/>
      <c r="X5" s="335"/>
      <c r="Y5" s="255"/>
      <c r="Z5" s="255"/>
      <c r="AA5" s="255"/>
      <c r="AB5" s="255"/>
    </row>
    <row r="6" spans="1:28" ht="13.5">
      <c r="A6" s="471" t="s">
        <v>39</v>
      </c>
      <c r="B6" s="489">
        <f>'1st IA Load Pricing Results'!B17</f>
        <v>36327.0468435746</v>
      </c>
      <c r="C6" s="469">
        <f>'BRA Resource Clearing Results'!E30-'1stIA Resource Clearing Results'!M32</f>
        <v>32098.800000000003</v>
      </c>
      <c r="D6" s="353">
        <f>'1st IA Load Pricing Results'!H42+'1st IA Load Pricing Results'!H54+'1st IA Load Pricing Results'!H56+'1st IA Load Pricing Results'!H61+D8+D9</f>
        <v>721.919156481409</v>
      </c>
      <c r="E6" s="490">
        <f>B6-C6-D6</f>
        <v>3506.3276870931886</v>
      </c>
      <c r="F6" s="491">
        <v>0</v>
      </c>
      <c r="G6" s="493">
        <f t="shared" si="0"/>
        <v>3506.3276870931886</v>
      </c>
      <c r="H6" s="353">
        <v>0</v>
      </c>
      <c r="I6" s="353">
        <f>'1st IA ICTRs'!D12</f>
        <v>898</v>
      </c>
      <c r="J6" s="493">
        <f t="shared" si="1"/>
        <v>2608.3276870931886</v>
      </c>
      <c r="K6" s="492" t="s">
        <v>24</v>
      </c>
      <c r="L6" s="255"/>
      <c r="M6" s="255"/>
      <c r="N6" s="335" t="s">
        <v>24</v>
      </c>
      <c r="O6" s="335"/>
      <c r="P6" s="335"/>
      <c r="Q6" s="335"/>
      <c r="R6" s="335"/>
      <c r="S6" s="335"/>
      <c r="T6" s="335"/>
      <c r="U6" s="335"/>
      <c r="V6" s="335"/>
      <c r="W6" s="335"/>
      <c r="X6" s="335"/>
      <c r="Y6" s="255"/>
      <c r="Z6" s="255"/>
      <c r="AA6" s="255"/>
      <c r="AB6" s="255"/>
    </row>
    <row r="7" spans="1:28" ht="13.5">
      <c r="A7" s="471" t="s">
        <v>5</v>
      </c>
      <c r="B7" s="489">
        <f>'1st IA Load Pricing Results'!B18</f>
        <v>15310.918975809142</v>
      </c>
      <c r="C7" s="469">
        <f>'BRA Resource Clearing Results'!E31-'1stIA Resource Clearing Results'!M33</f>
        <v>11160.300000000001</v>
      </c>
      <c r="D7" s="353">
        <f>D10+D13</f>
        <v>305.23336640053765</v>
      </c>
      <c r="E7" s="490">
        <f>B7-C7-D7</f>
        <v>3845.3856094086027</v>
      </c>
      <c r="F7" s="491">
        <v>0</v>
      </c>
      <c r="G7" s="493">
        <f t="shared" si="0"/>
        <v>3845.3856094086027</v>
      </c>
      <c r="H7" s="353">
        <v>0</v>
      </c>
      <c r="I7" s="353">
        <f>'1st IA ICTRs'!E14</f>
        <v>237</v>
      </c>
      <c r="J7" s="493">
        <f t="shared" si="1"/>
        <v>3608.3856094086027</v>
      </c>
      <c r="K7" s="492" t="s">
        <v>24</v>
      </c>
      <c r="L7" s="255"/>
      <c r="M7" s="255"/>
      <c r="N7" s="335"/>
      <c r="O7" s="335"/>
      <c r="P7" s="335"/>
      <c r="Q7" s="335"/>
      <c r="R7" s="335"/>
      <c r="S7" s="335"/>
      <c r="T7" s="335"/>
      <c r="U7" s="335"/>
      <c r="V7" s="335"/>
      <c r="W7" s="335"/>
      <c r="X7" s="335"/>
      <c r="Y7" s="255"/>
      <c r="Z7" s="255"/>
      <c r="AA7" s="255"/>
      <c r="AB7" s="255"/>
    </row>
    <row r="8" spans="1:28" ht="13.5">
      <c r="A8" s="471" t="s">
        <v>46</v>
      </c>
      <c r="B8" s="489">
        <f>'1st IA Load Pricing Results'!K60</f>
        <v>11480.620335310241</v>
      </c>
      <c r="C8" s="469">
        <f>'1st IA Load Pricing Results'!C30</f>
        <v>6118.799999999999</v>
      </c>
      <c r="D8" s="353">
        <f>'1st IA Load Pricing Results'!H60</f>
        <v>228.581170603936</v>
      </c>
      <c r="E8" s="494">
        <f>B8-C8-D8-2.00100156447461</f>
        <v>5131.238163141831</v>
      </c>
      <c r="F8" s="491">
        <v>0</v>
      </c>
      <c r="G8" s="493">
        <f t="shared" si="0"/>
        <v>5131.238163141831</v>
      </c>
      <c r="H8" s="353">
        <v>0</v>
      </c>
      <c r="I8" s="353">
        <f>('1st IA ICTRs'!C96+'1st IA ICTRs'!C97)/L19</f>
        <v>499.3999999999999</v>
      </c>
      <c r="J8" s="493">
        <f t="shared" si="1"/>
        <v>4631.8381631418315</v>
      </c>
      <c r="K8" s="492" t="s">
        <v>24</v>
      </c>
      <c r="L8" s="255"/>
      <c r="M8" s="255"/>
      <c r="N8" s="335"/>
      <c r="O8" s="335"/>
      <c r="P8" s="335"/>
      <c r="Q8" s="335"/>
      <c r="R8" s="335"/>
      <c r="S8" s="335"/>
      <c r="T8" s="335"/>
      <c r="U8" s="335"/>
      <c r="V8" s="335"/>
      <c r="W8" s="335"/>
      <c r="X8" s="335"/>
      <c r="Y8" s="255"/>
      <c r="Z8" s="255"/>
      <c r="AA8" s="255"/>
      <c r="AB8" s="255"/>
    </row>
    <row r="9" spans="1:28" ht="13.5">
      <c r="A9" s="471" t="s">
        <v>44</v>
      </c>
      <c r="B9" s="489">
        <f>'1st IA Load Pricing Results'!K52</f>
        <v>4686.057593250512</v>
      </c>
      <c r="C9" s="469">
        <f>'1st IA Load Pricing Results'!C33</f>
        <v>5614.5999999999985</v>
      </c>
      <c r="D9" s="353">
        <f>'1st IA Load Pricing Results'!H52</f>
        <v>91.34514019167797</v>
      </c>
      <c r="E9" s="490">
        <f>MAX(0,B9-C9-D9)</f>
        <v>0</v>
      </c>
      <c r="F9" s="491">
        <v>0</v>
      </c>
      <c r="G9" s="394">
        <f t="shared" si="0"/>
        <v>0</v>
      </c>
      <c r="H9" s="353">
        <f>'1st IA ICTRs'!I23</f>
        <v>0</v>
      </c>
      <c r="I9" s="353">
        <v>0</v>
      </c>
      <c r="J9" s="394">
        <f t="shared" si="1"/>
        <v>0</v>
      </c>
      <c r="K9" s="492" t="s">
        <v>24</v>
      </c>
      <c r="L9" s="255"/>
      <c r="M9" s="255"/>
      <c r="N9" s="335"/>
      <c r="O9" s="335"/>
      <c r="P9" s="335"/>
      <c r="Q9" s="335"/>
      <c r="R9" s="335"/>
      <c r="S9" s="335"/>
      <c r="T9" s="335"/>
      <c r="U9" s="335"/>
      <c r="V9" s="335"/>
      <c r="W9" s="335"/>
      <c r="X9" s="335"/>
      <c r="Y9" s="255"/>
      <c r="Z9" s="255"/>
      <c r="AA9" s="255"/>
      <c r="AB9" s="255"/>
    </row>
    <row r="10" spans="1:28" ht="13.5">
      <c r="A10" s="471" t="s">
        <v>15</v>
      </c>
      <c r="B10" s="489">
        <f>'1st IA Load Pricing Results'!B19</f>
        <v>7343.807093497027</v>
      </c>
      <c r="C10" s="469">
        <f>'BRA Resource Clearing Results'!E35-'1stIA Resource Clearing Results'!M37</f>
        <v>5881.8</v>
      </c>
      <c r="D10" s="353">
        <f>'1st IA Load Pricing Results'!H58</f>
        <v>146.90761193828897</v>
      </c>
      <c r="E10" s="490">
        <f>B10-C10-D10</f>
        <v>1315.0994815587383</v>
      </c>
      <c r="F10" s="491">
        <v>0</v>
      </c>
      <c r="G10" s="353">
        <f t="shared" si="0"/>
        <v>1315.0994815587383</v>
      </c>
      <c r="H10" s="353">
        <v>0</v>
      </c>
      <c r="I10" s="353">
        <v>0</v>
      </c>
      <c r="J10" s="493">
        <f t="shared" si="1"/>
        <v>1315.0994815587383</v>
      </c>
      <c r="K10" s="492" t="s">
        <v>24</v>
      </c>
      <c r="L10" s="255"/>
      <c r="M10" s="255"/>
      <c r="N10" s="335"/>
      <c r="O10" s="335"/>
      <c r="P10" s="335"/>
      <c r="Q10" s="335"/>
      <c r="R10" s="335"/>
      <c r="S10" s="335"/>
      <c r="T10" s="335"/>
      <c r="U10" s="335"/>
      <c r="V10" s="335"/>
      <c r="W10" s="335"/>
      <c r="X10" s="335"/>
      <c r="Y10" s="255"/>
      <c r="Z10" s="255"/>
      <c r="AA10" s="255"/>
      <c r="AB10" s="255"/>
    </row>
    <row r="11" spans="1:28" ht="13.5">
      <c r="A11" s="471" t="s">
        <v>49</v>
      </c>
      <c r="B11" s="489">
        <f>'1st IA Load Pricing Results'!K45</f>
        <v>14649.389110589247</v>
      </c>
      <c r="C11" s="469">
        <f>'1st IA Load Pricing Results'!C36</f>
        <v>8513.400000000001</v>
      </c>
      <c r="D11" s="353">
        <f>'1st IA Load Pricing Results'!H45</f>
        <v>285.62821919878655</v>
      </c>
      <c r="E11" s="494">
        <f>B11-C11-D11</f>
        <v>5850.360891390459</v>
      </c>
      <c r="F11" s="491">
        <v>0</v>
      </c>
      <c r="G11" s="353">
        <f t="shared" si="0"/>
        <v>5850.360891390459</v>
      </c>
      <c r="H11" s="353">
        <v>0</v>
      </c>
      <c r="I11" s="353">
        <v>0</v>
      </c>
      <c r="J11" s="493">
        <f t="shared" si="1"/>
        <v>5850.360891390459</v>
      </c>
      <c r="K11" s="492" t="s">
        <v>24</v>
      </c>
      <c r="L11" s="255"/>
      <c r="M11" s="255"/>
      <c r="N11" s="335"/>
      <c r="O11" s="335"/>
      <c r="P11" s="335"/>
      <c r="Q11" s="335"/>
      <c r="R11" s="335"/>
      <c r="S11" s="335"/>
      <c r="T11" s="335"/>
      <c r="U11" s="335"/>
      <c r="V11" s="335"/>
      <c r="W11" s="335"/>
      <c r="X11" s="335"/>
      <c r="Y11" s="255"/>
      <c r="Z11" s="255"/>
      <c r="AA11" s="255"/>
      <c r="AB11" s="255"/>
    </row>
    <row r="12" spans="1:28" ht="13.5">
      <c r="A12" s="471" t="s">
        <v>20</v>
      </c>
      <c r="B12" s="489">
        <f>'1st IA Load Pricing Results'!B20</f>
        <v>25385.735320086413</v>
      </c>
      <c r="C12" s="469">
        <f>'BRA Resource Clearing Results'!E38-'1stIA Resource Clearing Results'!M40</f>
        <v>22330.600000000006</v>
      </c>
      <c r="D12" s="353">
        <f>'1st IA Load Pricing Results'!H47</f>
        <v>503.63171195276567</v>
      </c>
      <c r="E12" s="490">
        <f>B12-C12-D12</f>
        <v>2551.503608133641</v>
      </c>
      <c r="F12" s="491">
        <v>0</v>
      </c>
      <c r="G12" s="353">
        <f t="shared" si="0"/>
        <v>2551.503608133641</v>
      </c>
      <c r="H12" s="353">
        <v>0</v>
      </c>
      <c r="I12" s="353">
        <v>0</v>
      </c>
      <c r="J12" s="493">
        <f t="shared" si="1"/>
        <v>2551.503608133641</v>
      </c>
      <c r="K12" s="492" t="s">
        <v>24</v>
      </c>
      <c r="L12" s="255"/>
      <c r="M12" s="255"/>
      <c r="N12" s="335"/>
      <c r="O12" s="335"/>
      <c r="P12" s="335"/>
      <c r="Q12" s="335"/>
      <c r="R12" s="335"/>
      <c r="S12" s="335"/>
      <c r="T12" s="335"/>
      <c r="U12" s="335"/>
      <c r="V12" s="335"/>
      <c r="W12" s="335"/>
      <c r="X12" s="335"/>
      <c r="Y12" s="255"/>
      <c r="Z12" s="255"/>
      <c r="AA12" s="255"/>
      <c r="AB12" s="255"/>
    </row>
    <row r="13" spans="1:28" ht="13.5">
      <c r="A13" s="471" t="s">
        <v>11</v>
      </c>
      <c r="B13" s="489">
        <f>'1st IA Load Pricing Results'!B21</f>
        <v>7967.111882312114</v>
      </c>
      <c r="C13" s="469">
        <f>'BRA Resource Clearing Results'!E39-'1stIA Resource Clearing Results'!M41</f>
        <v>3299.2</v>
      </c>
      <c r="D13" s="353">
        <f>'1st IA Load Pricing Results'!H46</f>
        <v>158.3257544622487</v>
      </c>
      <c r="E13" s="494">
        <f>B13-C13-D13</f>
        <v>4509.586127849866</v>
      </c>
      <c r="F13" s="491">
        <v>0</v>
      </c>
      <c r="G13" s="353">
        <f t="shared" si="0"/>
        <v>4509.586127849866</v>
      </c>
      <c r="H13" s="353">
        <v>0</v>
      </c>
      <c r="I13" s="353">
        <f>'1st IA ICTRs'!K12+'1st IA ICTRs'!K18</f>
        <v>306</v>
      </c>
      <c r="J13" s="493">
        <f t="shared" si="1"/>
        <v>4203.586127849866</v>
      </c>
      <c r="K13" s="492" t="s">
        <v>24</v>
      </c>
      <c r="L13" s="255"/>
      <c r="M13" s="255"/>
      <c r="N13" s="335"/>
      <c r="O13" s="335"/>
      <c r="P13" s="335"/>
      <c r="Q13" s="335"/>
      <c r="R13" s="335"/>
      <c r="S13" s="335"/>
      <c r="T13" s="335"/>
      <c r="U13" s="335"/>
      <c r="V13" s="335"/>
      <c r="W13" s="335"/>
      <c r="X13" s="335"/>
      <c r="Y13" s="255"/>
      <c r="Z13" s="255"/>
      <c r="AA13" s="255"/>
      <c r="AB13" s="255"/>
    </row>
    <row r="14" spans="1:28" ht="13.5">
      <c r="A14" s="471" t="s">
        <v>10</v>
      </c>
      <c r="B14" s="489">
        <f>'1st IA Load Pricing Results'!B22</f>
        <v>8227.66471470988</v>
      </c>
      <c r="C14" s="469">
        <f>'BRA Resource Clearing Results'!E40-'1stIA Resource Clearing Results'!M42</f>
        <v>8994.199999999999</v>
      </c>
      <c r="D14" s="353">
        <f>'1st IA Load Pricing Results'!H59</f>
        <v>164.11123776788796</v>
      </c>
      <c r="E14" s="490">
        <f>MAX(0,B14-C14-D14)</f>
        <v>0</v>
      </c>
      <c r="F14" s="491">
        <v>0</v>
      </c>
      <c r="G14" s="353">
        <f t="shared" si="0"/>
        <v>0</v>
      </c>
      <c r="H14" s="353">
        <v>0</v>
      </c>
      <c r="I14" s="353">
        <v>0</v>
      </c>
      <c r="J14" s="394">
        <f t="shared" si="1"/>
        <v>0</v>
      </c>
      <c r="K14" s="492" t="s">
        <v>24</v>
      </c>
      <c r="L14" s="255"/>
      <c r="M14" s="255"/>
      <c r="N14" s="335"/>
      <c r="O14" s="335"/>
      <c r="P14" s="335"/>
      <c r="Q14" s="335"/>
      <c r="R14" s="335"/>
      <c r="S14" s="335"/>
      <c r="T14" s="335"/>
      <c r="U14" s="335"/>
      <c r="V14" s="335"/>
      <c r="W14" s="335"/>
      <c r="X14" s="335"/>
      <c r="Y14" s="255"/>
      <c r="Z14" s="255"/>
      <c r="AA14" s="255"/>
      <c r="AB14" s="255"/>
    </row>
    <row r="15" spans="1:28" ht="13.5">
      <c r="A15" s="255" t="s">
        <v>281</v>
      </c>
      <c r="B15" s="318"/>
      <c r="C15" s="318"/>
      <c r="D15" s="361"/>
      <c r="E15" s="336"/>
      <c r="F15" s="361"/>
      <c r="G15" s="362"/>
      <c r="H15" s="413"/>
      <c r="I15" s="362"/>
      <c r="J15" s="342"/>
      <c r="K15" s="397"/>
      <c r="L15" s="255"/>
      <c r="M15" s="255"/>
      <c r="N15" s="335"/>
      <c r="O15" s="335"/>
      <c r="P15" s="335"/>
      <c r="Q15" s="335"/>
      <c r="R15" s="335"/>
      <c r="S15" s="335"/>
      <c r="T15" s="335"/>
      <c r="U15" s="335"/>
      <c r="V15" s="335"/>
      <c r="W15" s="335"/>
      <c r="X15" s="335"/>
      <c r="Y15" s="255"/>
      <c r="Z15" s="255"/>
      <c r="AA15" s="255"/>
      <c r="AB15" s="255"/>
    </row>
    <row r="16" spans="1:28" ht="13.5">
      <c r="A16" s="288"/>
      <c r="B16" s="318"/>
      <c r="C16" s="318"/>
      <c r="D16" s="361"/>
      <c r="E16" s="318"/>
      <c r="F16" s="361"/>
      <c r="G16" s="362"/>
      <c r="H16" s="413"/>
      <c r="I16" s="362"/>
      <c r="J16" s="342"/>
      <c r="K16" s="397"/>
      <c r="L16" s="255"/>
      <c r="M16" s="255"/>
      <c r="N16" s="335"/>
      <c r="O16" s="335"/>
      <c r="P16" s="335"/>
      <c r="Q16" s="335"/>
      <c r="R16" s="335"/>
      <c r="S16" s="335"/>
      <c r="T16" s="335"/>
      <c r="U16" s="335"/>
      <c r="V16" s="335"/>
      <c r="W16" s="335"/>
      <c r="X16" s="335"/>
      <c r="Y16" s="255"/>
      <c r="Z16" s="255"/>
      <c r="AA16" s="255"/>
      <c r="AB16" s="255"/>
    </row>
    <row r="17" spans="1:28" ht="14.25">
      <c r="A17" s="695" t="s">
        <v>106</v>
      </c>
      <c r="B17" s="695"/>
      <c r="C17" s="695"/>
      <c r="D17" s="695"/>
      <c r="E17" s="495"/>
      <c r="F17" s="308"/>
      <c r="G17" s="308"/>
      <c r="H17" s="308"/>
      <c r="I17" s="308"/>
      <c r="J17" s="308"/>
      <c r="K17" s="308"/>
      <c r="L17" s="308"/>
      <c r="M17" s="308"/>
      <c r="N17" s="308"/>
      <c r="O17" s="308"/>
      <c r="P17" s="308"/>
      <c r="Q17" s="308"/>
      <c r="R17" s="308"/>
      <c r="S17" s="308"/>
      <c r="T17" s="308"/>
      <c r="U17" s="308"/>
      <c r="V17" s="308"/>
      <c r="W17" s="308"/>
      <c r="X17" s="308"/>
      <c r="Y17" s="308"/>
      <c r="Z17" s="255"/>
      <c r="AA17" s="255"/>
      <c r="AB17" s="255"/>
    </row>
    <row r="18" spans="1:28" ht="14.25">
      <c r="A18" s="695"/>
      <c r="B18" s="695"/>
      <c r="C18" s="695"/>
      <c r="D18" s="695"/>
      <c r="E18" s="693" t="s">
        <v>29</v>
      </c>
      <c r="F18" s="693"/>
      <c r="G18" s="693" t="s">
        <v>39</v>
      </c>
      <c r="H18" s="693"/>
      <c r="I18" s="693" t="s">
        <v>5</v>
      </c>
      <c r="J18" s="693"/>
      <c r="K18" s="693" t="s">
        <v>46</v>
      </c>
      <c r="L18" s="693"/>
      <c r="M18" s="693" t="s">
        <v>44</v>
      </c>
      <c r="N18" s="693"/>
      <c r="O18" s="693" t="s">
        <v>15</v>
      </c>
      <c r="P18" s="693"/>
      <c r="Q18" s="693" t="s">
        <v>158</v>
      </c>
      <c r="R18" s="693"/>
      <c r="S18" s="693" t="s">
        <v>20</v>
      </c>
      <c r="T18" s="693"/>
      <c r="U18" s="693" t="s">
        <v>11</v>
      </c>
      <c r="V18" s="693"/>
      <c r="W18" s="693" t="s">
        <v>10</v>
      </c>
      <c r="X18" s="693"/>
      <c r="Y18" s="308"/>
      <c r="Z18" s="308"/>
      <c r="AA18" s="308"/>
      <c r="AB18" s="255"/>
    </row>
    <row r="19" spans="1:28" ht="49.5" customHeight="1">
      <c r="A19" s="696"/>
      <c r="B19" s="696"/>
      <c r="C19" s="696"/>
      <c r="D19" s="696"/>
      <c r="E19" s="496" t="s">
        <v>282</v>
      </c>
      <c r="F19" s="497">
        <f>'1st IA Load Pricing Results'!D16</f>
        <v>0</v>
      </c>
      <c r="G19" s="496" t="s">
        <v>282</v>
      </c>
      <c r="H19" s="497">
        <f>'1st IA Load Pricing Results'!D17-'1st IA Load Pricing Results'!D16</f>
        <v>0</v>
      </c>
      <c r="I19" s="496" t="s">
        <v>282</v>
      </c>
      <c r="J19" s="498">
        <f>'1st IA Load Pricing Results'!D18-'1st IA Load Pricing Results'!D16</f>
        <v>0</v>
      </c>
      <c r="K19" s="496" t="s">
        <v>282</v>
      </c>
      <c r="L19" s="497">
        <f>'1st IA Load Pricing Results'!D30</f>
        <v>94.95244949990195</v>
      </c>
      <c r="M19" s="496" t="s">
        <v>282</v>
      </c>
      <c r="N19" s="497">
        <f>'1st IA Load Pricing Results'!D33</f>
        <v>0</v>
      </c>
      <c r="O19" s="496" t="s">
        <v>282</v>
      </c>
      <c r="P19" s="498">
        <f>'1st IA Load Pricing Results'!D19-'1st IA Load Pricing Results'!D18</f>
        <v>0</v>
      </c>
      <c r="Q19" s="496" t="s">
        <v>282</v>
      </c>
      <c r="R19" s="498">
        <f>'1st IA Load Pricing Results'!D36</f>
        <v>0</v>
      </c>
      <c r="S19" s="496" t="s">
        <v>282</v>
      </c>
      <c r="T19" s="498">
        <f>'1st IA Load Pricing Results'!D20</f>
        <v>0</v>
      </c>
      <c r="U19" s="496" t="s">
        <v>282</v>
      </c>
      <c r="V19" s="498">
        <f>'1st IA Load Pricing Results'!D21-'1st IA Load Pricing Results'!D18</f>
        <v>0</v>
      </c>
      <c r="W19" s="496" t="s">
        <v>282</v>
      </c>
      <c r="X19" s="498">
        <f>'1st IA Load Pricing Results'!D22-'1st IA Load Pricing Results'!D16</f>
        <v>0</v>
      </c>
      <c r="Y19" s="308"/>
      <c r="Z19" s="308"/>
      <c r="AA19" s="308"/>
      <c r="AB19" s="255"/>
    </row>
    <row r="20" spans="1:28" ht="69.75" customHeight="1">
      <c r="A20" s="499" t="s">
        <v>7</v>
      </c>
      <c r="B20" s="461" t="s">
        <v>28</v>
      </c>
      <c r="C20" s="461" t="s">
        <v>27</v>
      </c>
      <c r="D20" s="461" t="s">
        <v>34</v>
      </c>
      <c r="E20" s="461" t="s">
        <v>342</v>
      </c>
      <c r="F20" s="461" t="s">
        <v>343</v>
      </c>
      <c r="G20" s="461" t="s">
        <v>342</v>
      </c>
      <c r="H20" s="461" t="s">
        <v>343</v>
      </c>
      <c r="I20" s="461" t="s">
        <v>342</v>
      </c>
      <c r="J20" s="461" t="s">
        <v>343</v>
      </c>
      <c r="K20" s="461" t="s">
        <v>342</v>
      </c>
      <c r="L20" s="461" t="s">
        <v>343</v>
      </c>
      <c r="M20" s="461" t="s">
        <v>342</v>
      </c>
      <c r="N20" s="461" t="s">
        <v>343</v>
      </c>
      <c r="O20" s="461" t="s">
        <v>342</v>
      </c>
      <c r="P20" s="461" t="s">
        <v>343</v>
      </c>
      <c r="Q20" s="461" t="s">
        <v>342</v>
      </c>
      <c r="R20" s="461" t="s">
        <v>343</v>
      </c>
      <c r="S20" s="461" t="s">
        <v>342</v>
      </c>
      <c r="T20" s="461" t="s">
        <v>343</v>
      </c>
      <c r="U20" s="461" t="s">
        <v>342</v>
      </c>
      <c r="V20" s="461" t="s">
        <v>343</v>
      </c>
      <c r="W20" s="461" t="s">
        <v>342</v>
      </c>
      <c r="X20" s="461" t="s">
        <v>343</v>
      </c>
      <c r="Y20" s="461" t="s">
        <v>283</v>
      </c>
      <c r="Z20" s="461" t="s">
        <v>344</v>
      </c>
      <c r="AA20" s="461" t="s">
        <v>284</v>
      </c>
      <c r="AB20" s="461" t="s">
        <v>285</v>
      </c>
    </row>
    <row r="21" spans="1:28" ht="13.5">
      <c r="A21" s="333" t="s">
        <v>16</v>
      </c>
      <c r="B21" s="464" t="s">
        <v>29</v>
      </c>
      <c r="C21" s="464" t="s">
        <v>39</v>
      </c>
      <c r="D21" s="464"/>
      <c r="E21" s="500">
        <f>IF(B21="MAAC",$J$5*'1st IA Load Pricing Results'!K42/'1st IA Load Pricing Results'!$B$16,0)</f>
        <v>0</v>
      </c>
      <c r="F21" s="501">
        <f>E21*$F$19</f>
        <v>0</v>
      </c>
      <c r="G21" s="500">
        <f>IF(C21="EMAAC",$J$6*'1st IA Load Pricing Results'!K42/'1st IA Load Pricing Results'!$B$17,0)</f>
        <v>213.59750857642837</v>
      </c>
      <c r="H21" s="501">
        <f aca="true" t="shared" si="2" ref="H21:H40">G21*$H$19</f>
        <v>0</v>
      </c>
      <c r="I21" s="500">
        <f>IF(C21="SWMAAC",$J$7*'1st IA Load Pricing Results'!K42/'1st IA Load Pricing Results'!$B$18,0)</f>
        <v>0</v>
      </c>
      <c r="J21" s="501">
        <f>I21*$J$19</f>
        <v>0</v>
      </c>
      <c r="K21" s="500">
        <f>IF(D21="PS",$J$8*'1st IA Load Pricing Results'!K42/'1st IA Load Pricing Results'!$K$60,0)</f>
        <v>0</v>
      </c>
      <c r="L21" s="501">
        <f>K21*$L$19</f>
        <v>0</v>
      </c>
      <c r="M21" s="500">
        <f>IF(D21="DPL",$J$9*'1st IA Load Pricing Results'!K42/'1st IA Load Pricing Results'!$K$52,0)</f>
        <v>0</v>
      </c>
      <c r="N21" s="501">
        <f>M21*$N$19</f>
        <v>0</v>
      </c>
      <c r="O21" s="500">
        <f>IF(D21="PEPCO",$J$10*'1st IA Load Pricing Results'!K42/'1st IA Load Pricing Results'!$K$58,0)</f>
        <v>0</v>
      </c>
      <c r="P21" s="501">
        <f>O21*$P$19</f>
        <v>0</v>
      </c>
      <c r="Q21" s="500">
        <f>IF(D21="ATSI",$J$11*'1st IA Load Pricing Results'!K42/'1st IA Load Pricing Results'!$K$45,0)</f>
        <v>0</v>
      </c>
      <c r="R21" s="501">
        <f>Q21*$R$19</f>
        <v>0</v>
      </c>
      <c r="S21" s="500">
        <f>IF(D21="COMED",$J$12*'1st IA Load Pricing Results'!K42/'1st IA Load Pricing Results'!$K$47,0)</f>
        <v>0</v>
      </c>
      <c r="T21" s="501">
        <f aca="true" t="shared" si="3" ref="T21:T32">S21*$P$19</f>
        <v>0</v>
      </c>
      <c r="U21" s="500">
        <f>IF(D21="BGE",$J$13*'1st IA Load Pricing Results'!K42/'1st IA Load Pricing Results'!$K$46,0)</f>
        <v>0</v>
      </c>
      <c r="V21" s="501">
        <f aca="true" t="shared" si="4" ref="V21:V40">U21*$P$19</f>
        <v>0</v>
      </c>
      <c r="W21" s="500">
        <f>IF(D21="PL",$J$14*'1st IA Load Pricing Results'!K42/'1st IA Load Pricing Results'!$K$59,0)</f>
        <v>0</v>
      </c>
      <c r="X21" s="501">
        <f aca="true" t="shared" si="5" ref="X21:X32">W21*$P$19</f>
        <v>0</v>
      </c>
      <c r="Y21" s="353">
        <f>MAX(E21,G21,I21,K21,M21,O21,Q21,S21,U21,W21)</f>
        <v>213.59750857642837</v>
      </c>
      <c r="Z21" s="328">
        <f>F21+H21+J21+L21+N21+P21+R21+T21+V21+X21</f>
        <v>0</v>
      </c>
      <c r="AA21" s="328">
        <f>Z21/'1st IA Load Pricing Results'!K42</f>
        <v>0</v>
      </c>
      <c r="AB21" s="328">
        <f>IF(Y21=0,0,Z21/Y21)</f>
        <v>0</v>
      </c>
    </row>
    <row r="22" spans="1:28" ht="13.5">
      <c r="A22" s="333" t="s">
        <v>31</v>
      </c>
      <c r="B22" s="464"/>
      <c r="C22" s="464"/>
      <c r="D22" s="464"/>
      <c r="E22" s="500">
        <f>IF(B22="MAAC",$J$5*'1st IA Load Pricing Results'!K43/'1st IA Load Pricing Results'!$B$16,0)</f>
        <v>0</v>
      </c>
      <c r="F22" s="501">
        <f aca="true" t="shared" si="6" ref="F22:F40">E22*$F$19</f>
        <v>0</v>
      </c>
      <c r="G22" s="500">
        <f>IF(C22="EMAAC",$J$6*'1st IA Load Pricing Results'!K43/'1st IA Load Pricing Results'!$B$17,0)</f>
        <v>0</v>
      </c>
      <c r="H22" s="501">
        <f>G22*$H$19</f>
        <v>0</v>
      </c>
      <c r="I22" s="500">
        <f>IF(C22="SWMAAC",$J$7*'1st IA Load Pricing Results'!K43/'1st IA Load Pricing Results'!$B$18,0)</f>
        <v>0</v>
      </c>
      <c r="J22" s="501">
        <f>I22*$J$19</f>
        <v>0</v>
      </c>
      <c r="K22" s="500">
        <f>IF(D22="PS",$J$8*'1st IA Load Pricing Results'!K43/'1st IA Load Pricing Results'!$K$60,0)</f>
        <v>0</v>
      </c>
      <c r="L22" s="501">
        <f>K22*$L$19</f>
        <v>0</v>
      </c>
      <c r="M22" s="500">
        <f>IF(D22="DPL",$J$9*'1st IA Load Pricing Results'!K43/'1st IA Load Pricing Results'!$K$52,0)</f>
        <v>0</v>
      </c>
      <c r="N22" s="501">
        <f aca="true" t="shared" si="7" ref="N22:N40">M22*$N$19</f>
        <v>0</v>
      </c>
      <c r="O22" s="500">
        <f>IF(D22="PEPCO",$J$10*'1st IA Load Pricing Results'!K43/'1st IA Load Pricing Results'!$K$58,0)</f>
        <v>0</v>
      </c>
      <c r="P22" s="501">
        <f>O22*$P$19</f>
        <v>0</v>
      </c>
      <c r="Q22" s="500">
        <f>IF(D22="ATSI",$J$11*'1st IA Load Pricing Results'!K43/'1st IA Load Pricing Results'!$K$45,0)</f>
        <v>0</v>
      </c>
      <c r="R22" s="501">
        <f>Q22*$R$19</f>
        <v>0</v>
      </c>
      <c r="S22" s="500">
        <f>IF(D22="COMED",$J$12*'1st IA Load Pricing Results'!K43/'1st IA Load Pricing Results'!$K$47,0)</f>
        <v>0</v>
      </c>
      <c r="T22" s="501">
        <f t="shared" si="3"/>
        <v>0</v>
      </c>
      <c r="U22" s="500">
        <f>IF(D22="BGE",$J$13*'1st IA Load Pricing Results'!K43/'1st IA Load Pricing Results'!$K$46,0)</f>
        <v>0</v>
      </c>
      <c r="V22" s="501">
        <f t="shared" si="4"/>
        <v>0</v>
      </c>
      <c r="W22" s="500">
        <f>IF(D22="PL",$J$14*'1st IA Load Pricing Results'!K43/'1st IA Load Pricing Results'!$K$59,0)</f>
        <v>0</v>
      </c>
      <c r="X22" s="501">
        <f t="shared" si="5"/>
        <v>0</v>
      </c>
      <c r="Y22" s="353">
        <f aca="true" t="shared" si="8" ref="Y22:Y40">MAX(E22,G22,I22,K22,M22,O22,Q22,S22,U22,W22)</f>
        <v>0</v>
      </c>
      <c r="Z22" s="328">
        <f aca="true" t="shared" si="9" ref="Z22:Z40">F22+H22+J22+L22+N22+P22+R22+T22+V22+X22</f>
        <v>0</v>
      </c>
      <c r="AA22" s="328">
        <f>Z22/'1st IA Load Pricing Results'!K43</f>
        <v>0</v>
      </c>
      <c r="AB22" s="328">
        <f aca="true" t="shared" si="10" ref="AB22:AB38">IF(Y22=0,0,Z22/Y22)</f>
        <v>0</v>
      </c>
    </row>
    <row r="23" spans="1:28" ht="13.5">
      <c r="A23" s="333" t="s">
        <v>19</v>
      </c>
      <c r="B23" s="464" t="s">
        <v>24</v>
      </c>
      <c r="C23" s="464"/>
      <c r="D23" s="464"/>
      <c r="E23" s="500">
        <f>IF(B23="MAAC",$J$5*'1st IA Load Pricing Results'!K44/'1st IA Load Pricing Results'!$B$16,0)</f>
        <v>0</v>
      </c>
      <c r="F23" s="501">
        <f t="shared" si="6"/>
        <v>0</v>
      </c>
      <c r="G23" s="500">
        <f>IF(C23="EMAAC",$J$6*'1st IA Load Pricing Results'!K44/'1st IA Load Pricing Results'!$B$17,0)</f>
        <v>0</v>
      </c>
      <c r="H23" s="501">
        <f t="shared" si="2"/>
        <v>0</v>
      </c>
      <c r="I23" s="500">
        <f>IF(C23="SWMAAC",$J$7*'1st IA Load Pricing Results'!K44/'1st IA Load Pricing Results'!$B$18,0)</f>
        <v>0</v>
      </c>
      <c r="J23" s="501">
        <f>I23*$J$19</f>
        <v>0</v>
      </c>
      <c r="K23" s="500">
        <f>IF(D23="PS",$J$8*'1st IA Load Pricing Results'!K44/'1st IA Load Pricing Results'!$K$60,0)</f>
        <v>0</v>
      </c>
      <c r="L23" s="501">
        <f>K23*$L$19</f>
        <v>0</v>
      </c>
      <c r="M23" s="500">
        <f>IF(D23="DPL",$J$9*'1st IA Load Pricing Results'!K44/'1st IA Load Pricing Results'!$K$52,0)</f>
        <v>0</v>
      </c>
      <c r="N23" s="501">
        <f t="shared" si="7"/>
        <v>0</v>
      </c>
      <c r="O23" s="500">
        <f>IF(D23="PEPCO",$J$10*'1st IA Load Pricing Results'!K44/'1st IA Load Pricing Results'!$K$58,0)</f>
        <v>0</v>
      </c>
      <c r="P23" s="501">
        <f aca="true" t="shared" si="11" ref="P23:P36">O23*$P$19</f>
        <v>0</v>
      </c>
      <c r="Q23" s="500">
        <f>IF(D23="ATSI",$J$11*'1st IA Load Pricing Results'!K44/'1st IA Load Pricing Results'!$K$45,0)</f>
        <v>0</v>
      </c>
      <c r="R23" s="501">
        <f aca="true" t="shared" si="12" ref="R23:R40">Q23*$R$19</f>
        <v>0</v>
      </c>
      <c r="S23" s="500">
        <f>IF(D23="COMED",$J$12*'1st IA Load Pricing Results'!K44/'1st IA Load Pricing Results'!$K$47,0)</f>
        <v>0</v>
      </c>
      <c r="T23" s="501">
        <f t="shared" si="3"/>
        <v>0</v>
      </c>
      <c r="U23" s="500">
        <f>IF(D23="BGE",$J$13*'1st IA Load Pricing Results'!K44/'1st IA Load Pricing Results'!$K$46,0)</f>
        <v>0</v>
      </c>
      <c r="V23" s="501">
        <f t="shared" si="4"/>
        <v>0</v>
      </c>
      <c r="W23" s="500">
        <f>IF(D23="PL",$J$14*'1st IA Load Pricing Results'!K44/'1st IA Load Pricing Results'!$K$59,0)</f>
        <v>0</v>
      </c>
      <c r="X23" s="501">
        <f t="shared" si="5"/>
        <v>0</v>
      </c>
      <c r="Y23" s="353">
        <f t="shared" si="8"/>
        <v>0</v>
      </c>
      <c r="Z23" s="328">
        <f t="shared" si="9"/>
        <v>0</v>
      </c>
      <c r="AA23" s="328">
        <f>Z23/'1st IA Load Pricing Results'!K44</f>
        <v>0</v>
      </c>
      <c r="AB23" s="328">
        <f>IF(Y23=0,0,Z23/Y23)</f>
        <v>0</v>
      </c>
    </row>
    <row r="24" spans="1:28" ht="13.5">
      <c r="A24" s="333" t="s">
        <v>49</v>
      </c>
      <c r="B24" s="464"/>
      <c r="C24" s="464"/>
      <c r="D24" s="464" t="s">
        <v>49</v>
      </c>
      <c r="E24" s="500">
        <f>IF(B24="MAAC",$J$5*'1st IA Load Pricing Results'!K45/'1st IA Load Pricing Results'!$B$16,0)</f>
        <v>0</v>
      </c>
      <c r="F24" s="501">
        <f>E24*$F$19</f>
        <v>0</v>
      </c>
      <c r="G24" s="500">
        <f>IF(C24="EMAAC",$J$6*'1st IA Load Pricing Results'!K45/'1st IA Load Pricing Results'!$B$17,0)</f>
        <v>0</v>
      </c>
      <c r="H24" s="501">
        <f t="shared" si="2"/>
        <v>0</v>
      </c>
      <c r="I24" s="500">
        <f>IF(C24="SWMAAC",$J$7*'1st IA Load Pricing Results'!K45/'1st IA Load Pricing Results'!$B$18,0)</f>
        <v>0</v>
      </c>
      <c r="J24" s="501">
        <f>I24*$J$19</f>
        <v>0</v>
      </c>
      <c r="K24" s="500">
        <f>IF(D24="PS",$J$8*'1st IA Load Pricing Results'!K45/'1st IA Load Pricing Results'!$K$60,0)</f>
        <v>0</v>
      </c>
      <c r="L24" s="501">
        <f aca="true" t="shared" si="13" ref="L24:L38">K24*$L$19</f>
        <v>0</v>
      </c>
      <c r="M24" s="500">
        <f>IF(D24="DPL",$J$9*'1st IA Load Pricing Results'!K45/'1st IA Load Pricing Results'!$K$52,0)</f>
        <v>0</v>
      </c>
      <c r="N24" s="501">
        <f t="shared" si="7"/>
        <v>0</v>
      </c>
      <c r="O24" s="500">
        <f>IF(D24="PEPCO",$J$10*'1st IA Load Pricing Results'!K45/'1st IA Load Pricing Results'!$K$58,0)</f>
        <v>0</v>
      </c>
      <c r="P24" s="501">
        <f t="shared" si="11"/>
        <v>0</v>
      </c>
      <c r="Q24" s="500">
        <f>IF(D24="ATSI",$J$11*'1st IA Load Pricing Results'!K45/'1st IA Load Pricing Results'!$K$45,0)</f>
        <v>5850.360891390459</v>
      </c>
      <c r="R24" s="501">
        <f>Q24*$R$19</f>
        <v>0</v>
      </c>
      <c r="S24" s="500">
        <f>IF(D24="COMED",$J$12*'1st IA Load Pricing Results'!K45/'1st IA Load Pricing Results'!$K$47,0)</f>
        <v>0</v>
      </c>
      <c r="T24" s="501">
        <f t="shared" si="3"/>
        <v>0</v>
      </c>
      <c r="U24" s="500">
        <f>IF(D24="BGE",$J$13*'1st IA Load Pricing Results'!K45/'1st IA Load Pricing Results'!$K$46,0)</f>
        <v>0</v>
      </c>
      <c r="V24" s="501">
        <f t="shared" si="4"/>
        <v>0</v>
      </c>
      <c r="W24" s="500">
        <f>IF(D24="PL",$J$14*'1st IA Load Pricing Results'!K45/'1st IA Load Pricing Results'!$K$59,0)</f>
        <v>0</v>
      </c>
      <c r="X24" s="501">
        <f t="shared" si="5"/>
        <v>0</v>
      </c>
      <c r="Y24" s="353">
        <f t="shared" si="8"/>
        <v>5850.360891390459</v>
      </c>
      <c r="Z24" s="328">
        <f t="shared" si="9"/>
        <v>0</v>
      </c>
      <c r="AA24" s="328">
        <f>Z24/'1st IA Load Pricing Results'!K45</f>
        <v>0</v>
      </c>
      <c r="AB24" s="328">
        <f>IF(Y24=0,0,Z24/Y24)</f>
        <v>0</v>
      </c>
    </row>
    <row r="25" spans="1:28" ht="13.5">
      <c r="A25" s="333" t="s">
        <v>11</v>
      </c>
      <c r="B25" s="464" t="s">
        <v>29</v>
      </c>
      <c r="C25" s="464" t="s">
        <v>5</v>
      </c>
      <c r="D25" s="464" t="s">
        <v>11</v>
      </c>
      <c r="E25" s="500">
        <f>IF(B25="MAAC",$J$5*'1st IA Load Pricing Results'!K46/'1st IA Load Pricing Results'!$B$16,0)</f>
        <v>0</v>
      </c>
      <c r="F25" s="501">
        <f t="shared" si="6"/>
        <v>0</v>
      </c>
      <c r="G25" s="500">
        <f>IF(C25="EMAAC",$J$6*'1st IA Load Pricing Results'!K46/'1st IA Load Pricing Results'!$B$17,0)</f>
        <v>0</v>
      </c>
      <c r="H25" s="501">
        <f t="shared" si="2"/>
        <v>0</v>
      </c>
      <c r="I25" s="500">
        <f>IF(C25="SWMAAC",$J$7*'1st IA Load Pricing Results'!K46/'1st IA Load Pricing Results'!$B$18,0)</f>
        <v>1877.6411729501717</v>
      </c>
      <c r="J25" s="501">
        <f>I25*$J$19</f>
        <v>0</v>
      </c>
      <c r="K25" s="500">
        <f>IF(D25="PS",$J$8*'1st IA Load Pricing Results'!K46/'1st IA Load Pricing Results'!$K$60,0)</f>
        <v>0</v>
      </c>
      <c r="L25" s="501">
        <f t="shared" si="13"/>
        <v>0</v>
      </c>
      <c r="M25" s="500">
        <f>IF(D25="DPL",$J$9*'1st IA Load Pricing Results'!K46/'1st IA Load Pricing Results'!$K$52,0)</f>
        <v>0</v>
      </c>
      <c r="N25" s="501">
        <f t="shared" si="7"/>
        <v>0</v>
      </c>
      <c r="O25" s="500">
        <f>IF(D25="PEPCO",$J$10*'1st IA Load Pricing Results'!K46/'1st IA Load Pricing Results'!$K$58,0)</f>
        <v>0</v>
      </c>
      <c r="P25" s="501">
        <f>O25*$P$19</f>
        <v>0</v>
      </c>
      <c r="Q25" s="500">
        <f>IF(D25="ATSI",$J$11*'1st IA Load Pricing Results'!K46/'1st IA Load Pricing Results'!$K$45,0)</f>
        <v>0</v>
      </c>
      <c r="R25" s="501">
        <f t="shared" si="12"/>
        <v>0</v>
      </c>
      <c r="S25" s="500">
        <f>IF(D25="COMED",$J$12*'1st IA Load Pricing Results'!K46/'1st IA Load Pricing Results'!$K$47,0)</f>
        <v>0</v>
      </c>
      <c r="T25" s="501">
        <f t="shared" si="3"/>
        <v>0</v>
      </c>
      <c r="U25" s="500">
        <f>IF(D25="BGE",$J$13*'1st IA Load Pricing Results'!K46/'1st IA Load Pricing Results'!$K$46,0)</f>
        <v>4203.586127849866</v>
      </c>
      <c r="V25" s="501">
        <f t="shared" si="4"/>
        <v>0</v>
      </c>
      <c r="W25" s="500">
        <f>IF(D25="PL",$J$14*'1st IA Load Pricing Results'!K46/'1st IA Load Pricing Results'!$K$59,0)</f>
        <v>0</v>
      </c>
      <c r="X25" s="501">
        <f t="shared" si="5"/>
        <v>0</v>
      </c>
      <c r="Y25" s="353">
        <f t="shared" si="8"/>
        <v>4203.586127849866</v>
      </c>
      <c r="Z25" s="328">
        <f t="shared" si="9"/>
        <v>0</v>
      </c>
      <c r="AA25" s="328">
        <f>Z25/'1st IA Load Pricing Results'!K46</f>
        <v>0</v>
      </c>
      <c r="AB25" s="334">
        <f t="shared" si="10"/>
        <v>0</v>
      </c>
    </row>
    <row r="26" spans="1:28" ht="13.5">
      <c r="A26" s="333" t="s">
        <v>20</v>
      </c>
      <c r="B26" s="464"/>
      <c r="C26" s="464"/>
      <c r="D26" s="464" t="s">
        <v>20</v>
      </c>
      <c r="E26" s="500">
        <f>IF(B26="MAAC",$J$5*'1st IA Load Pricing Results'!K47/'1st IA Load Pricing Results'!$B$16,0)</f>
        <v>0</v>
      </c>
      <c r="F26" s="501">
        <f t="shared" si="6"/>
        <v>0</v>
      </c>
      <c r="G26" s="500">
        <f>IF(C26="EMAAC",$J$6*'1st IA Load Pricing Results'!K47/'1st IA Load Pricing Results'!$B$17,0)</f>
        <v>0</v>
      </c>
      <c r="H26" s="501">
        <f t="shared" si="2"/>
        <v>0</v>
      </c>
      <c r="I26" s="500">
        <f>IF(C26="SWMAAC",$J$7*'1st IA Load Pricing Results'!K47/'1st IA Load Pricing Results'!$B$18,0)</f>
        <v>0</v>
      </c>
      <c r="J26" s="501">
        <f aca="true" t="shared" si="14" ref="J26:J39">I26*$J$19</f>
        <v>0</v>
      </c>
      <c r="K26" s="500">
        <f>IF(D26="PS",$J$8*'1st IA Load Pricing Results'!K47/'1st IA Load Pricing Results'!$K$60,0)</f>
        <v>0</v>
      </c>
      <c r="L26" s="501">
        <f t="shared" si="13"/>
        <v>0</v>
      </c>
      <c r="M26" s="500">
        <f>IF(D26="DPL",$J$9*'1st IA Load Pricing Results'!K47/'1st IA Load Pricing Results'!$K$52,0)</f>
        <v>0</v>
      </c>
      <c r="N26" s="501">
        <f t="shared" si="7"/>
        <v>0</v>
      </c>
      <c r="O26" s="500">
        <f>IF(D26="PEPCO",$J$10*'1st IA Load Pricing Results'!K47/'1st IA Load Pricing Results'!$K$58,0)</f>
        <v>0</v>
      </c>
      <c r="P26" s="501">
        <f t="shared" si="11"/>
        <v>0</v>
      </c>
      <c r="Q26" s="500">
        <f>IF(D26="ATSI",$J$11*'1st IA Load Pricing Results'!K47/'1st IA Load Pricing Results'!$K$45,0)</f>
        <v>0</v>
      </c>
      <c r="R26" s="501">
        <f t="shared" si="12"/>
        <v>0</v>
      </c>
      <c r="S26" s="500">
        <f>IF(D26="COMED",$J$12*'1st IA Load Pricing Results'!K47/'1st IA Load Pricing Results'!$K$47,0)</f>
        <v>2551.503608133641</v>
      </c>
      <c r="T26" s="501">
        <f t="shared" si="3"/>
        <v>0</v>
      </c>
      <c r="U26" s="500">
        <f>IF(D26="BGE",$J$13*'1st IA Load Pricing Results'!K47/'1st IA Load Pricing Results'!$K$46,0)</f>
        <v>0</v>
      </c>
      <c r="V26" s="501">
        <f t="shared" si="4"/>
        <v>0</v>
      </c>
      <c r="W26" s="500">
        <f>IF(D26="PL",$J$14*'1st IA Load Pricing Results'!K47/'1st IA Load Pricing Results'!$K$59,0)</f>
        <v>0</v>
      </c>
      <c r="X26" s="501">
        <f t="shared" si="5"/>
        <v>0</v>
      </c>
      <c r="Y26" s="353">
        <f t="shared" si="8"/>
        <v>2551.503608133641</v>
      </c>
      <c r="Z26" s="328">
        <f t="shared" si="9"/>
        <v>0</v>
      </c>
      <c r="AA26" s="328">
        <f>Z26/'1st IA Load Pricing Results'!K47</f>
        <v>0</v>
      </c>
      <c r="AB26" s="328">
        <f t="shared" si="10"/>
        <v>0</v>
      </c>
    </row>
    <row r="27" spans="1:28" ht="13.5">
      <c r="A27" s="333" t="s">
        <v>21</v>
      </c>
      <c r="B27" s="464"/>
      <c r="C27" s="464"/>
      <c r="D27" s="464"/>
      <c r="E27" s="500">
        <f>IF(B27="MAAC",$J$5*'1st IA Load Pricing Results'!K48/'1st IA Load Pricing Results'!$B$16,0)</f>
        <v>0</v>
      </c>
      <c r="F27" s="501">
        <f t="shared" si="6"/>
        <v>0</v>
      </c>
      <c r="G27" s="500">
        <f>IF(C27="EMAAC",$J$6*'1st IA Load Pricing Results'!K48/'1st IA Load Pricing Results'!$B$17,0)</f>
        <v>0</v>
      </c>
      <c r="H27" s="501">
        <f t="shared" si="2"/>
        <v>0</v>
      </c>
      <c r="I27" s="500">
        <f>IF(C27="SWMAAC",$J$7*'1st IA Load Pricing Results'!K48/'1st IA Load Pricing Results'!$B$18,0)</f>
        <v>0</v>
      </c>
      <c r="J27" s="501">
        <f>I27*$J$19</f>
        <v>0</v>
      </c>
      <c r="K27" s="500">
        <f>IF(D27="PS",$J$8*'1st IA Load Pricing Results'!K48/'1st IA Load Pricing Results'!$K$60,0)</f>
        <v>0</v>
      </c>
      <c r="L27" s="501">
        <f t="shared" si="13"/>
        <v>0</v>
      </c>
      <c r="M27" s="500">
        <f>IF(D27="DPL",$J$9*'1st IA Load Pricing Results'!K48/'1st IA Load Pricing Results'!$K$52,0)</f>
        <v>0</v>
      </c>
      <c r="N27" s="501">
        <f t="shared" si="7"/>
        <v>0</v>
      </c>
      <c r="O27" s="500">
        <f>IF(D27="PEPCO",$J$10*'1st IA Load Pricing Results'!K48/'1st IA Load Pricing Results'!$K$58,0)</f>
        <v>0</v>
      </c>
      <c r="P27" s="501">
        <f t="shared" si="11"/>
        <v>0</v>
      </c>
      <c r="Q27" s="500">
        <f>IF(D27="ATSI",$J$11*'1st IA Load Pricing Results'!K48/'1st IA Load Pricing Results'!$K$45,0)</f>
        <v>0</v>
      </c>
      <c r="R27" s="501">
        <f t="shared" si="12"/>
        <v>0</v>
      </c>
      <c r="S27" s="500">
        <f>IF(D27="COMED",$J$12*'1st IA Load Pricing Results'!K48/'1st IA Load Pricing Results'!$K$47,0)</f>
        <v>0</v>
      </c>
      <c r="T27" s="501">
        <f t="shared" si="3"/>
        <v>0</v>
      </c>
      <c r="U27" s="500">
        <f>IF(D27="BGE",$J$13*'1st IA Load Pricing Results'!K48/'1st IA Load Pricing Results'!$K$46,0)</f>
        <v>0</v>
      </c>
      <c r="V27" s="501">
        <f t="shared" si="4"/>
        <v>0</v>
      </c>
      <c r="W27" s="500">
        <f>IF(D27="PL",$J$14*'1st IA Load Pricing Results'!K48/'1st IA Load Pricing Results'!$K$59,0)</f>
        <v>0</v>
      </c>
      <c r="X27" s="501">
        <f t="shared" si="5"/>
        <v>0</v>
      </c>
      <c r="Y27" s="353">
        <f t="shared" si="8"/>
        <v>0</v>
      </c>
      <c r="Z27" s="328">
        <f t="shared" si="9"/>
        <v>0</v>
      </c>
      <c r="AA27" s="328">
        <f>Z27/'1st IA Load Pricing Results'!K48</f>
        <v>0</v>
      </c>
      <c r="AB27" s="328">
        <f t="shared" si="10"/>
        <v>0</v>
      </c>
    </row>
    <row r="28" spans="1:28" ht="13.5">
      <c r="A28" s="333" t="s">
        <v>63</v>
      </c>
      <c r="B28" s="464"/>
      <c r="C28" s="464"/>
      <c r="D28" s="464"/>
      <c r="E28" s="500">
        <f>IF(B28="MAAC",$J$5*'1st IA Load Pricing Results'!K49/'1st IA Load Pricing Results'!$B$16,0)</f>
        <v>0</v>
      </c>
      <c r="F28" s="501">
        <f>E28*$F$19</f>
        <v>0</v>
      </c>
      <c r="G28" s="500">
        <f>IF(C28="EMAAC",$J$6*'1st IA Load Pricing Results'!K49/'1st IA Load Pricing Results'!$B$17,0)</f>
        <v>0</v>
      </c>
      <c r="H28" s="501">
        <f t="shared" si="2"/>
        <v>0</v>
      </c>
      <c r="I28" s="500">
        <f>IF(C28="SWMAAC",$J$7*'1st IA Load Pricing Results'!K49/'1st IA Load Pricing Results'!$B$18,0)</f>
        <v>0</v>
      </c>
      <c r="J28" s="501">
        <f>I28*$J$19</f>
        <v>0</v>
      </c>
      <c r="K28" s="500">
        <f>IF(D28="PS",$J$8*'1st IA Load Pricing Results'!K49/'1st IA Load Pricing Results'!$K$60,0)</f>
        <v>0</v>
      </c>
      <c r="L28" s="501">
        <f t="shared" si="13"/>
        <v>0</v>
      </c>
      <c r="M28" s="500">
        <f>IF(D28="DPL",$J$9*'1st IA Load Pricing Results'!K49/'1st IA Load Pricing Results'!$K$52,0)</f>
        <v>0</v>
      </c>
      <c r="N28" s="501">
        <f t="shared" si="7"/>
        <v>0</v>
      </c>
      <c r="O28" s="500">
        <f>IF(D28="PEPCO",$J$10*'1st IA Load Pricing Results'!K49/'1st IA Load Pricing Results'!$K$58,0)</f>
        <v>0</v>
      </c>
      <c r="P28" s="501">
        <f t="shared" si="11"/>
        <v>0</v>
      </c>
      <c r="Q28" s="500">
        <f>IF(D28="ATSI",$J$11*'1st IA Load Pricing Results'!K49/'1st IA Load Pricing Results'!$K$45,0)</f>
        <v>0</v>
      </c>
      <c r="R28" s="501">
        <f t="shared" si="12"/>
        <v>0</v>
      </c>
      <c r="S28" s="500">
        <f>IF(D28="COMED",$J$12*'1st IA Load Pricing Results'!K49/'1st IA Load Pricing Results'!$K$47,0)</f>
        <v>0</v>
      </c>
      <c r="T28" s="501">
        <f t="shared" si="3"/>
        <v>0</v>
      </c>
      <c r="U28" s="500">
        <f>IF(D28="BGE",$J$13*'1st IA Load Pricing Results'!K49/'1st IA Load Pricing Results'!$K$46,0)</f>
        <v>0</v>
      </c>
      <c r="V28" s="501">
        <f t="shared" si="4"/>
        <v>0</v>
      </c>
      <c r="W28" s="500">
        <f>IF(D28="PL",$J$14*'1st IA Load Pricing Results'!K49/'1st IA Load Pricing Results'!$K$59,0)</f>
        <v>0</v>
      </c>
      <c r="X28" s="501">
        <f t="shared" si="5"/>
        <v>0</v>
      </c>
      <c r="Y28" s="353">
        <f t="shared" si="8"/>
        <v>0</v>
      </c>
      <c r="Z28" s="328">
        <f t="shared" si="9"/>
        <v>0</v>
      </c>
      <c r="AA28" s="328">
        <f>Z28/'1st IA Load Pricing Results'!K49</f>
        <v>0</v>
      </c>
      <c r="AB28" s="328">
        <f>IF(Y28=0,0,Z28/Y28)</f>
        <v>0</v>
      </c>
    </row>
    <row r="29" spans="1:28" ht="13.5">
      <c r="A29" s="333" t="s">
        <v>48</v>
      </c>
      <c r="B29" s="464"/>
      <c r="C29" s="464"/>
      <c r="D29" s="464"/>
      <c r="E29" s="500">
        <f>IF(B29="MAAC",$J$5*'1st IA Load Pricing Results'!K50/'1st IA Load Pricing Results'!$B$16,0)</f>
        <v>0</v>
      </c>
      <c r="F29" s="501">
        <f>E29*$F$19</f>
        <v>0</v>
      </c>
      <c r="G29" s="500">
        <f>IF(C29="EMAAC",$J$6*'1st IA Load Pricing Results'!K50/'1st IA Load Pricing Results'!$B$17,0)</f>
        <v>0</v>
      </c>
      <c r="H29" s="501">
        <f t="shared" si="2"/>
        <v>0</v>
      </c>
      <c r="I29" s="500">
        <f>IF(C29="SWMAAC",$J$7*'1st IA Load Pricing Results'!K50/'1st IA Load Pricing Results'!$B$18,0)</f>
        <v>0</v>
      </c>
      <c r="J29" s="501">
        <f>I29*$J$19</f>
        <v>0</v>
      </c>
      <c r="K29" s="500">
        <f>IF(D29="PS",$J$8*'1st IA Load Pricing Results'!K50/'1st IA Load Pricing Results'!$K$60,0)</f>
        <v>0</v>
      </c>
      <c r="L29" s="501">
        <f t="shared" si="13"/>
        <v>0</v>
      </c>
      <c r="M29" s="500">
        <f>IF(D29="DPL",$J$9*'1st IA Load Pricing Results'!K50/'1st IA Load Pricing Results'!$K$52,0)</f>
        <v>0</v>
      </c>
      <c r="N29" s="501">
        <f t="shared" si="7"/>
        <v>0</v>
      </c>
      <c r="O29" s="500">
        <f>IF(D29="PEPCO",$J$10*'1st IA Load Pricing Results'!K50/'1st IA Load Pricing Results'!$K$58,0)</f>
        <v>0</v>
      </c>
      <c r="P29" s="501">
        <f t="shared" si="11"/>
        <v>0</v>
      </c>
      <c r="Q29" s="500">
        <f>IF(D29="ATSI",$J$11*'1st IA Load Pricing Results'!K50/'1st IA Load Pricing Results'!$K$45,0)</f>
        <v>0</v>
      </c>
      <c r="R29" s="501">
        <f t="shared" si="12"/>
        <v>0</v>
      </c>
      <c r="S29" s="500">
        <f>IF(D29="COMED",$J$12*'1st IA Load Pricing Results'!K50/'1st IA Load Pricing Results'!$K$47,0)</f>
        <v>0</v>
      </c>
      <c r="T29" s="501">
        <f t="shared" si="3"/>
        <v>0</v>
      </c>
      <c r="U29" s="500">
        <f>IF(D29="BGE",$J$13*'1st IA Load Pricing Results'!K50/'1st IA Load Pricing Results'!$K$46,0)</f>
        <v>0</v>
      </c>
      <c r="V29" s="501">
        <f t="shared" si="4"/>
        <v>0</v>
      </c>
      <c r="W29" s="500">
        <f>IF(D29="PL",$J$14*'1st IA Load Pricing Results'!K50/'1st IA Load Pricing Results'!$K$59,0)</f>
        <v>0</v>
      </c>
      <c r="X29" s="501">
        <f t="shared" si="5"/>
        <v>0</v>
      </c>
      <c r="Y29" s="353">
        <f t="shared" si="8"/>
        <v>0</v>
      </c>
      <c r="Z29" s="328">
        <f t="shared" si="9"/>
        <v>0</v>
      </c>
      <c r="AA29" s="328">
        <f>Z29/'1st IA Load Pricing Results'!K50</f>
        <v>0</v>
      </c>
      <c r="AB29" s="328">
        <f t="shared" si="10"/>
        <v>0</v>
      </c>
    </row>
    <row r="30" spans="1:28" ht="13.5">
      <c r="A30" s="333" t="s">
        <v>32</v>
      </c>
      <c r="B30" s="464"/>
      <c r="C30" s="464"/>
      <c r="D30" s="464"/>
      <c r="E30" s="500">
        <f>IF(B30="MAAC",$J$5*'1st IA Load Pricing Results'!K51/'1st IA Load Pricing Results'!$B$16,0)</f>
        <v>0</v>
      </c>
      <c r="F30" s="501">
        <f t="shared" si="6"/>
        <v>0</v>
      </c>
      <c r="G30" s="500">
        <f>IF(C30="EMAAC",$J$6*'1st IA Load Pricing Results'!K51/'1st IA Load Pricing Results'!$B$17,0)</f>
        <v>0</v>
      </c>
      <c r="H30" s="501">
        <f t="shared" si="2"/>
        <v>0</v>
      </c>
      <c r="I30" s="500">
        <f>IF(C30="SWMAAC",$J$7*'1st IA Load Pricing Results'!K51/'1st IA Load Pricing Results'!$B$18,0)</f>
        <v>0</v>
      </c>
      <c r="J30" s="501">
        <f>I30*$J$19</f>
        <v>0</v>
      </c>
      <c r="K30" s="500">
        <f>IF(D30="PS",$J$8*'1st IA Load Pricing Results'!K51/'1st IA Load Pricing Results'!$K$60,0)</f>
        <v>0</v>
      </c>
      <c r="L30" s="501">
        <f t="shared" si="13"/>
        <v>0</v>
      </c>
      <c r="M30" s="500">
        <f>IF(D30="DPL",$J$9*'1st IA Load Pricing Results'!K51/'1st IA Load Pricing Results'!$K$52,0)</f>
        <v>0</v>
      </c>
      <c r="N30" s="501">
        <f t="shared" si="7"/>
        <v>0</v>
      </c>
      <c r="O30" s="500">
        <f>IF(D30="PEPCO",$J$10*'1st IA Load Pricing Results'!K51/'1st IA Load Pricing Results'!$K$58,0)</f>
        <v>0</v>
      </c>
      <c r="P30" s="501">
        <f t="shared" si="11"/>
        <v>0</v>
      </c>
      <c r="Q30" s="500">
        <f>IF(D30="ATSI",$J$11*'1st IA Load Pricing Results'!K51/'1st IA Load Pricing Results'!$K$45,0)</f>
        <v>0</v>
      </c>
      <c r="R30" s="501">
        <f t="shared" si="12"/>
        <v>0</v>
      </c>
      <c r="S30" s="500">
        <f>IF(D30="COMED",$J$12*'1st IA Load Pricing Results'!K51/'1st IA Load Pricing Results'!$K$47,0)</f>
        <v>0</v>
      </c>
      <c r="T30" s="501">
        <f t="shared" si="3"/>
        <v>0</v>
      </c>
      <c r="U30" s="500">
        <f>IF(D30="BGE",$J$13*'1st IA Load Pricing Results'!K51/'1st IA Load Pricing Results'!$K$46,0)</f>
        <v>0</v>
      </c>
      <c r="V30" s="501">
        <f t="shared" si="4"/>
        <v>0</v>
      </c>
      <c r="W30" s="500">
        <f>IF(D30="PL",$J$14*'1st IA Load Pricing Results'!K51/'1st IA Load Pricing Results'!$K$59,0)</f>
        <v>0</v>
      </c>
      <c r="X30" s="501">
        <f t="shared" si="5"/>
        <v>0</v>
      </c>
      <c r="Y30" s="353">
        <f t="shared" si="8"/>
        <v>0</v>
      </c>
      <c r="Z30" s="328">
        <f t="shared" si="9"/>
        <v>0</v>
      </c>
      <c r="AA30" s="328">
        <f>Z30/'1st IA Load Pricing Results'!K51</f>
        <v>0</v>
      </c>
      <c r="AB30" s="328">
        <f t="shared" si="10"/>
        <v>0</v>
      </c>
    </row>
    <row r="31" spans="1:28" ht="13.5">
      <c r="A31" s="333" t="s">
        <v>17</v>
      </c>
      <c r="B31" s="464" t="s">
        <v>29</v>
      </c>
      <c r="C31" s="464" t="s">
        <v>39</v>
      </c>
      <c r="D31" s="464" t="s">
        <v>17</v>
      </c>
      <c r="E31" s="500">
        <f>IF(B31="MAAC",$J$5*'1st IA Load Pricing Results'!K52/'1st IA Load Pricing Results'!$B$16,0)</f>
        <v>0</v>
      </c>
      <c r="F31" s="501">
        <f t="shared" si="6"/>
        <v>0</v>
      </c>
      <c r="G31" s="500">
        <f>IF(C31="EMAAC",$J$6*'1st IA Load Pricing Results'!K52/'1st IA Load Pricing Results'!$B$17,0)</f>
        <v>336.4648333903999</v>
      </c>
      <c r="H31" s="501">
        <f t="shared" si="2"/>
        <v>0</v>
      </c>
      <c r="I31" s="500">
        <f>IF(C31="SWMAAC",$J$7*'1st IA Load Pricing Results'!K52/'1st IA Load Pricing Results'!$B$18,0)</f>
        <v>0</v>
      </c>
      <c r="J31" s="501">
        <f t="shared" si="14"/>
        <v>0</v>
      </c>
      <c r="K31" s="500">
        <f>IF(D31="PS",$J$8*'1st IA Load Pricing Results'!K52/'1st IA Load Pricing Results'!$K$60,0)</f>
        <v>0</v>
      </c>
      <c r="L31" s="501">
        <f t="shared" si="13"/>
        <v>0</v>
      </c>
      <c r="M31" s="500">
        <f>IF(D31="DPL",$J$9*'1st IA Load Pricing Results'!K52/'1st IA Load Pricing Results'!$K$52,0)</f>
        <v>0</v>
      </c>
      <c r="N31" s="501">
        <f t="shared" si="7"/>
        <v>0</v>
      </c>
      <c r="O31" s="500">
        <f>IF(D31="PEPCO",$J$10*'1st IA Load Pricing Results'!K52/'1st IA Load Pricing Results'!$K$58,0)</f>
        <v>0</v>
      </c>
      <c r="P31" s="501">
        <f t="shared" si="11"/>
        <v>0</v>
      </c>
      <c r="Q31" s="500">
        <f>IF(D31="ATSI",$J$11*'1st IA Load Pricing Results'!K52/'1st IA Load Pricing Results'!$K$45,0)</f>
        <v>0</v>
      </c>
      <c r="R31" s="501">
        <f t="shared" si="12"/>
        <v>0</v>
      </c>
      <c r="S31" s="500">
        <f>IF(D31="COMED",$J$12*'1st IA Load Pricing Results'!K52/'1st IA Load Pricing Results'!$K$47,0)</f>
        <v>0</v>
      </c>
      <c r="T31" s="501">
        <f t="shared" si="3"/>
        <v>0</v>
      </c>
      <c r="U31" s="500">
        <f>IF(D31="BGE",$J$13*'1st IA Load Pricing Results'!K52/'1st IA Load Pricing Results'!$K$46,0)</f>
        <v>0</v>
      </c>
      <c r="V31" s="501">
        <f t="shared" si="4"/>
        <v>0</v>
      </c>
      <c r="W31" s="500">
        <f>IF(D31="PL",$J$14*'1st IA Load Pricing Results'!K52/'1st IA Load Pricing Results'!$K$59,0)</f>
        <v>0</v>
      </c>
      <c r="X31" s="501">
        <f t="shared" si="5"/>
        <v>0</v>
      </c>
      <c r="Y31" s="353">
        <f t="shared" si="8"/>
        <v>336.4648333903999</v>
      </c>
      <c r="Z31" s="328">
        <f t="shared" si="9"/>
        <v>0</v>
      </c>
      <c r="AA31" s="328">
        <f>Z31/'1st IA Load Pricing Results'!K52</f>
        <v>0</v>
      </c>
      <c r="AB31" s="328">
        <f t="shared" si="10"/>
        <v>0</v>
      </c>
    </row>
    <row r="32" spans="1:28" ht="13.5">
      <c r="A32" s="333" t="s">
        <v>160</v>
      </c>
      <c r="B32" s="464"/>
      <c r="C32" s="464"/>
      <c r="D32" s="464"/>
      <c r="E32" s="500">
        <f>IF(B32="MAAC",$J$5*'1st IA Load Pricing Results'!K53/'1st IA Load Pricing Results'!$B$16,0)</f>
        <v>0</v>
      </c>
      <c r="F32" s="501">
        <f>E32*$F$19</f>
        <v>0</v>
      </c>
      <c r="G32" s="500">
        <f>IF(C32="EMAAC",$J$6*'1st IA Load Pricing Results'!K53/'1st IA Load Pricing Results'!$B$17,0)</f>
        <v>0</v>
      </c>
      <c r="H32" s="501">
        <f t="shared" si="2"/>
        <v>0</v>
      </c>
      <c r="I32" s="500">
        <f>IF(C32="SWMAAC",$J$7*'1st IA Load Pricing Results'!K53/'1st IA Load Pricing Results'!$B$18,0)</f>
        <v>0</v>
      </c>
      <c r="J32" s="501">
        <f>I32*$J$19</f>
        <v>0</v>
      </c>
      <c r="K32" s="500">
        <f>IF(D32="PS",$J$8*'1st IA Load Pricing Results'!K53/'1st IA Load Pricing Results'!$K$60,0)</f>
        <v>0</v>
      </c>
      <c r="L32" s="501">
        <f>K32*$L$19</f>
        <v>0</v>
      </c>
      <c r="M32" s="500">
        <f>IF(D32="DPL",$J$9*'1st IA Load Pricing Results'!K53/'1st IA Load Pricing Results'!$K$52,0)</f>
        <v>0</v>
      </c>
      <c r="N32" s="501">
        <f t="shared" si="7"/>
        <v>0</v>
      </c>
      <c r="O32" s="500">
        <f>IF(D32="PEPCO",$J$10*'1st IA Load Pricing Results'!K53/'1st IA Load Pricing Results'!$K$58,0)</f>
        <v>0</v>
      </c>
      <c r="P32" s="501">
        <f>O32*$P$19</f>
        <v>0</v>
      </c>
      <c r="Q32" s="500">
        <f>IF(D32="ATSI",$J$11*'1st IA Load Pricing Results'!K53/'1st IA Load Pricing Results'!$K$45,0)</f>
        <v>0</v>
      </c>
      <c r="R32" s="501">
        <f>Q32*$R$19</f>
        <v>0</v>
      </c>
      <c r="S32" s="500">
        <f>IF(D32="COMED",$J$12*'1st IA Load Pricing Results'!K53/'1st IA Load Pricing Results'!$K$47,0)</f>
        <v>0</v>
      </c>
      <c r="T32" s="501">
        <f t="shared" si="3"/>
        <v>0</v>
      </c>
      <c r="U32" s="500">
        <f>IF(D32="BGE",$J$13*'1st IA Load Pricing Results'!K53/'1st IA Load Pricing Results'!$K$46,0)</f>
        <v>0</v>
      </c>
      <c r="V32" s="501">
        <f t="shared" si="4"/>
        <v>0</v>
      </c>
      <c r="W32" s="500">
        <f>IF(D32="PL",$J$14*'1st IA Load Pricing Results'!K53/'1st IA Load Pricing Results'!$K$59,0)</f>
        <v>0</v>
      </c>
      <c r="X32" s="501">
        <f t="shared" si="5"/>
        <v>0</v>
      </c>
      <c r="Y32" s="353">
        <f t="shared" si="8"/>
        <v>0</v>
      </c>
      <c r="Z32" s="328">
        <f t="shared" si="9"/>
        <v>0</v>
      </c>
      <c r="AA32" s="328">
        <f>Z32/'1st IA Load Pricing Results'!K53</f>
        <v>0</v>
      </c>
      <c r="AB32" s="328">
        <f>IF(Y32=0,0,Z32/Y32)</f>
        <v>0</v>
      </c>
    </row>
    <row r="33" spans="1:28" ht="13.5">
      <c r="A33" s="333" t="s">
        <v>12</v>
      </c>
      <c r="B33" s="464" t="s">
        <v>29</v>
      </c>
      <c r="C33" s="464" t="s">
        <v>39</v>
      </c>
      <c r="D33" s="464"/>
      <c r="E33" s="500">
        <f>IF(B33="MAAC",$J$5*'1st IA Load Pricing Results'!K54/'1st IA Load Pricing Results'!$B$16,0)</f>
        <v>0</v>
      </c>
      <c r="F33" s="501">
        <f t="shared" si="6"/>
        <v>0</v>
      </c>
      <c r="G33" s="500">
        <f>IF(C33="EMAAC",$J$6*'1st IA Load Pricing Results'!K54/'1st IA Load Pricing Results'!$B$17,0)</f>
        <v>504.36375119727</v>
      </c>
      <c r="H33" s="501">
        <f t="shared" si="2"/>
        <v>0</v>
      </c>
      <c r="I33" s="500">
        <f>IF(C33="SWMAAC",$J$7*'1st IA Load Pricing Results'!K54/'1st IA Load Pricing Results'!$B$18,0)</f>
        <v>0</v>
      </c>
      <c r="J33" s="501">
        <f t="shared" si="14"/>
        <v>0</v>
      </c>
      <c r="K33" s="500">
        <f>IF(D33="PS",$J$8*'1st IA Load Pricing Results'!K54/'1st IA Load Pricing Results'!$K$60,0)</f>
        <v>0</v>
      </c>
      <c r="L33" s="501">
        <f t="shared" si="13"/>
        <v>0</v>
      </c>
      <c r="M33" s="500">
        <f>IF(D33="DPL",$J$9*'1st IA Load Pricing Results'!K54/'1st IA Load Pricing Results'!$K$52,0)</f>
        <v>0</v>
      </c>
      <c r="N33" s="501">
        <f t="shared" si="7"/>
        <v>0</v>
      </c>
      <c r="O33" s="500">
        <f>IF(D33="PEPCO",$J$10*'1st IA Load Pricing Results'!K54/'1st IA Load Pricing Results'!$K$58,0)</f>
        <v>0</v>
      </c>
      <c r="P33" s="501">
        <f t="shared" si="11"/>
        <v>0</v>
      </c>
      <c r="Q33" s="500">
        <f>IF(D33="ATSI",$J$11*'1st IA Load Pricing Results'!K54/'1st IA Load Pricing Results'!$K$45,0)</f>
        <v>0</v>
      </c>
      <c r="R33" s="501">
        <f t="shared" si="12"/>
        <v>0</v>
      </c>
      <c r="S33" s="500">
        <f>IF(D33="COMED",$J$12*'1st IA Load Pricing Results'!K54/'1st IA Load Pricing Results'!$K$47,0)</f>
        <v>0</v>
      </c>
      <c r="T33" s="501">
        <f aca="true" t="shared" si="15" ref="T33:T40">S33*$P$19</f>
        <v>0</v>
      </c>
      <c r="U33" s="500">
        <f>IF(D33="BGE",$J$13*'1st IA Load Pricing Results'!K54/'1st IA Load Pricing Results'!$K$46,0)</f>
        <v>0</v>
      </c>
      <c r="V33" s="501">
        <f t="shared" si="4"/>
        <v>0</v>
      </c>
      <c r="W33" s="500">
        <f>IF(D33="PL",$J$14*'1st IA Load Pricing Results'!K54/'1st IA Load Pricing Results'!$K$59,0)</f>
        <v>0</v>
      </c>
      <c r="X33" s="501">
        <f aca="true" t="shared" si="16" ref="X33:X40">W33*$P$19</f>
        <v>0</v>
      </c>
      <c r="Y33" s="353">
        <f t="shared" si="8"/>
        <v>504.36375119727</v>
      </c>
      <c r="Z33" s="328">
        <f t="shared" si="9"/>
        <v>0</v>
      </c>
      <c r="AA33" s="328">
        <f>Z33/'1st IA Load Pricing Results'!K54</f>
        <v>0</v>
      </c>
      <c r="AB33" s="328">
        <f t="shared" si="10"/>
        <v>0</v>
      </c>
    </row>
    <row r="34" spans="1:28" ht="13.5">
      <c r="A34" s="333" t="s">
        <v>13</v>
      </c>
      <c r="B34" s="464" t="s">
        <v>29</v>
      </c>
      <c r="C34" s="464"/>
      <c r="D34" s="464"/>
      <c r="E34" s="500">
        <f>IF(B34="MAAC",$J$5*'1st IA Load Pricing Results'!K55/'1st IA Load Pricing Results'!$B$16,0)</f>
        <v>0</v>
      </c>
      <c r="F34" s="501">
        <f t="shared" si="6"/>
        <v>0</v>
      </c>
      <c r="G34" s="500">
        <f>IF(C34="EMAAC",$J$6*'1st IA Load Pricing Results'!K55/'1st IA Load Pricing Results'!$B$17,0)</f>
        <v>0</v>
      </c>
      <c r="H34" s="501">
        <f t="shared" si="2"/>
        <v>0</v>
      </c>
      <c r="I34" s="500">
        <f>IF(C34="SWMAAC",$J$7*'1st IA Load Pricing Results'!K55/'1st IA Load Pricing Results'!$B$18,0)</f>
        <v>0</v>
      </c>
      <c r="J34" s="501">
        <f t="shared" si="14"/>
        <v>0</v>
      </c>
      <c r="K34" s="500">
        <f>IF(D34="PS",$J$8*'1st IA Load Pricing Results'!K55/'1st IA Load Pricing Results'!$K$60,0)</f>
        <v>0</v>
      </c>
      <c r="L34" s="501">
        <f t="shared" si="13"/>
        <v>0</v>
      </c>
      <c r="M34" s="500">
        <f>IF(D34="DPL",$J$9*'1st IA Load Pricing Results'!K55/'1st IA Load Pricing Results'!$K$52,0)</f>
        <v>0</v>
      </c>
      <c r="N34" s="501">
        <f t="shared" si="7"/>
        <v>0</v>
      </c>
      <c r="O34" s="500">
        <f>IF(D34="PEPCO",$J$10*'1st IA Load Pricing Results'!K55/'1st IA Load Pricing Results'!$K$58,0)</f>
        <v>0</v>
      </c>
      <c r="P34" s="501">
        <f t="shared" si="11"/>
        <v>0</v>
      </c>
      <c r="Q34" s="500">
        <f>IF(D34="ATSI",$J$11*'1st IA Load Pricing Results'!K55/'1st IA Load Pricing Results'!$K$45,0)</f>
        <v>0</v>
      </c>
      <c r="R34" s="501">
        <f t="shared" si="12"/>
        <v>0</v>
      </c>
      <c r="S34" s="500">
        <f>IF(D34="COMED",$J$12*'1st IA Load Pricing Results'!K55/'1st IA Load Pricing Results'!$K$47,0)</f>
        <v>0</v>
      </c>
      <c r="T34" s="501">
        <f t="shared" si="15"/>
        <v>0</v>
      </c>
      <c r="U34" s="500">
        <f>IF(D34="BGE",$J$13*'1st IA Load Pricing Results'!K55/'1st IA Load Pricing Results'!$K$46,0)</f>
        <v>0</v>
      </c>
      <c r="V34" s="501">
        <f t="shared" si="4"/>
        <v>0</v>
      </c>
      <c r="W34" s="500">
        <f>IF(D34="PL",$J$14*'1st IA Load Pricing Results'!K55/'1st IA Load Pricing Results'!$K$59,0)</f>
        <v>0</v>
      </c>
      <c r="X34" s="501">
        <f t="shared" si="16"/>
        <v>0</v>
      </c>
      <c r="Y34" s="353">
        <f t="shared" si="8"/>
        <v>0</v>
      </c>
      <c r="Z34" s="328">
        <f t="shared" si="9"/>
        <v>0</v>
      </c>
      <c r="AA34" s="328">
        <f>Z34/'1st IA Load Pricing Results'!K55</f>
        <v>0</v>
      </c>
      <c r="AB34" s="328">
        <f t="shared" si="10"/>
        <v>0</v>
      </c>
    </row>
    <row r="35" spans="1:28" ht="13.5">
      <c r="A35" s="333" t="s">
        <v>9</v>
      </c>
      <c r="B35" s="464" t="s">
        <v>29</v>
      </c>
      <c r="C35" s="464" t="s">
        <v>39</v>
      </c>
      <c r="D35" s="464"/>
      <c r="E35" s="500">
        <f>IF(B35="MAAC",$J$5*'1st IA Load Pricing Results'!K56/'1st IA Load Pricing Results'!$B$16,0)</f>
        <v>0</v>
      </c>
      <c r="F35" s="501">
        <f t="shared" si="6"/>
        <v>0</v>
      </c>
      <c r="G35" s="500">
        <f>IF(C35="EMAAC",$J$6*'1st IA Load Pricing Results'!K56/'1st IA Load Pricing Results'!$B$17,0)</f>
        <v>696.1802263331301</v>
      </c>
      <c r="H35" s="501">
        <f t="shared" si="2"/>
        <v>0</v>
      </c>
      <c r="I35" s="500">
        <f>IF(C35="SWMAAC",$J$7*'1st IA Load Pricing Results'!K56/'1st IA Load Pricing Results'!$B$18,0)</f>
        <v>0</v>
      </c>
      <c r="J35" s="501">
        <f t="shared" si="14"/>
        <v>0</v>
      </c>
      <c r="K35" s="500">
        <f>IF(D35="PS",$J$8*'1st IA Load Pricing Results'!K56/'1st IA Load Pricing Results'!$K$60,0)</f>
        <v>0</v>
      </c>
      <c r="L35" s="501">
        <f t="shared" si="13"/>
        <v>0</v>
      </c>
      <c r="M35" s="500">
        <f>IF(D35="DPL",$J$9*'1st IA Load Pricing Results'!K56/'1st IA Load Pricing Results'!$K$52,0)</f>
        <v>0</v>
      </c>
      <c r="N35" s="501">
        <f t="shared" si="7"/>
        <v>0</v>
      </c>
      <c r="O35" s="500">
        <f>IF(D35="PEPCO",$J$10*'1st IA Load Pricing Results'!K56/'1st IA Load Pricing Results'!$K$58,0)</f>
        <v>0</v>
      </c>
      <c r="P35" s="501">
        <f t="shared" si="11"/>
        <v>0</v>
      </c>
      <c r="Q35" s="500">
        <f>IF(D35="ATSI",$J$11*'1st IA Load Pricing Results'!K56/'1st IA Load Pricing Results'!$K$45,0)</f>
        <v>0</v>
      </c>
      <c r="R35" s="501">
        <f t="shared" si="12"/>
        <v>0</v>
      </c>
      <c r="S35" s="500">
        <f>IF(D35="COMED",$J$12*'1st IA Load Pricing Results'!K56/'1st IA Load Pricing Results'!$K$47,0)</f>
        <v>0</v>
      </c>
      <c r="T35" s="501">
        <f t="shared" si="15"/>
        <v>0</v>
      </c>
      <c r="U35" s="500">
        <f>IF(D35="BGE",$J$13*'1st IA Load Pricing Results'!K56/'1st IA Load Pricing Results'!$K$46,0)</f>
        <v>0</v>
      </c>
      <c r="V35" s="501">
        <f t="shared" si="4"/>
        <v>0</v>
      </c>
      <c r="W35" s="500">
        <f>IF(D35="PL",$J$14*'1st IA Load Pricing Results'!K56/'1st IA Load Pricing Results'!$K$59,0)</f>
        <v>0</v>
      </c>
      <c r="X35" s="501">
        <f t="shared" si="16"/>
        <v>0</v>
      </c>
      <c r="Y35" s="353">
        <f t="shared" si="8"/>
        <v>696.1802263331301</v>
      </c>
      <c r="Z35" s="328">
        <f t="shared" si="9"/>
        <v>0</v>
      </c>
      <c r="AA35" s="328">
        <f>Z35/'1st IA Load Pricing Results'!K56</f>
        <v>0</v>
      </c>
      <c r="AB35" s="328">
        <f t="shared" si="10"/>
        <v>0</v>
      </c>
    </row>
    <row r="36" spans="1:28" ht="13.5">
      <c r="A36" s="333" t="s">
        <v>14</v>
      </c>
      <c r="B36" s="464" t="s">
        <v>29</v>
      </c>
      <c r="C36" s="464"/>
      <c r="D36" s="464"/>
      <c r="E36" s="500">
        <f>IF(B36="MAAC",$J$5*'1st IA Load Pricing Results'!K57/'1st IA Load Pricing Results'!$B$16,0)</f>
        <v>0</v>
      </c>
      <c r="F36" s="501">
        <f t="shared" si="6"/>
        <v>0</v>
      </c>
      <c r="G36" s="500">
        <f>IF(C36="EMAAC",$J$6*'1st IA Load Pricing Results'!K57/'1st IA Load Pricing Results'!$B$17,0)</f>
        <v>0</v>
      </c>
      <c r="H36" s="501">
        <f t="shared" si="2"/>
        <v>0</v>
      </c>
      <c r="I36" s="500">
        <f>IF(C36="SWMAAC",$J$7*'1st IA Load Pricing Results'!K57/'1st IA Load Pricing Results'!$B$18,0)</f>
        <v>0</v>
      </c>
      <c r="J36" s="501">
        <f t="shared" si="14"/>
        <v>0</v>
      </c>
      <c r="K36" s="500">
        <f>IF(D36="PS",$J$8*'1st IA Load Pricing Results'!K57/'1st IA Load Pricing Results'!$K$60,0)</f>
        <v>0</v>
      </c>
      <c r="L36" s="501">
        <f t="shared" si="13"/>
        <v>0</v>
      </c>
      <c r="M36" s="500">
        <f>IF(D36="DPL",$J$9*'1st IA Load Pricing Results'!K57/'1st IA Load Pricing Results'!$K$52,0)</f>
        <v>0</v>
      </c>
      <c r="N36" s="501">
        <f t="shared" si="7"/>
        <v>0</v>
      </c>
      <c r="O36" s="500">
        <f>IF(D36="PEPCO",$J$10*'1st IA Load Pricing Results'!K57/'1st IA Load Pricing Results'!$K$58,0)</f>
        <v>0</v>
      </c>
      <c r="P36" s="501">
        <f t="shared" si="11"/>
        <v>0</v>
      </c>
      <c r="Q36" s="500">
        <f>IF(D36="ATSI",$J$11*'1st IA Load Pricing Results'!K57/'1st IA Load Pricing Results'!$K$45,0)</f>
        <v>0</v>
      </c>
      <c r="R36" s="501">
        <f t="shared" si="12"/>
        <v>0</v>
      </c>
      <c r="S36" s="500">
        <f>IF(D36="COMED",$J$12*'1st IA Load Pricing Results'!K57/'1st IA Load Pricing Results'!$K$47,0)</f>
        <v>0</v>
      </c>
      <c r="T36" s="501">
        <f t="shared" si="15"/>
        <v>0</v>
      </c>
      <c r="U36" s="500">
        <f>IF(D36="BGE",$J$13*'1st IA Load Pricing Results'!K57/'1st IA Load Pricing Results'!$K$46,0)</f>
        <v>0</v>
      </c>
      <c r="V36" s="501">
        <f t="shared" si="4"/>
        <v>0</v>
      </c>
      <c r="W36" s="500">
        <f>IF(D36="PL",$J$14*'1st IA Load Pricing Results'!K57/'1st IA Load Pricing Results'!$K$59,0)</f>
        <v>0</v>
      </c>
      <c r="X36" s="501">
        <f t="shared" si="16"/>
        <v>0</v>
      </c>
      <c r="Y36" s="353">
        <f t="shared" si="8"/>
        <v>0</v>
      </c>
      <c r="Z36" s="328">
        <f t="shared" si="9"/>
        <v>0</v>
      </c>
      <c r="AA36" s="328">
        <f>Z36/'1st IA Load Pricing Results'!K57</f>
        <v>0</v>
      </c>
      <c r="AB36" s="328">
        <f t="shared" si="10"/>
        <v>0</v>
      </c>
    </row>
    <row r="37" spans="1:28" ht="13.5">
      <c r="A37" s="333" t="s">
        <v>15</v>
      </c>
      <c r="B37" s="464" t="s">
        <v>29</v>
      </c>
      <c r="C37" s="464" t="s">
        <v>5</v>
      </c>
      <c r="D37" s="464" t="s">
        <v>15</v>
      </c>
      <c r="E37" s="500">
        <f>IF(B37="MAAC",$J$5*'1st IA Load Pricing Results'!K58/'1st IA Load Pricing Results'!$B$16,0)</f>
        <v>0</v>
      </c>
      <c r="F37" s="501">
        <f t="shared" si="6"/>
        <v>0</v>
      </c>
      <c r="G37" s="500">
        <f>IF(C37="EMAAC",$J$6*'1st IA Load Pricing Results'!K58/'1st IA Load Pricing Results'!$B$17,0)</f>
        <v>0</v>
      </c>
      <c r="H37" s="501">
        <f t="shared" si="2"/>
        <v>0</v>
      </c>
      <c r="I37" s="500">
        <f>IF(C37="SWMAAC",$J$7*'1st IA Load Pricing Results'!K58/'1st IA Load Pricing Results'!$B$18,0)</f>
        <v>1730.7444364584312</v>
      </c>
      <c r="J37" s="501">
        <f t="shared" si="14"/>
        <v>0</v>
      </c>
      <c r="K37" s="500">
        <f>IF(D37="PS",$J$8*'1st IA Load Pricing Results'!K58/'1st IA Load Pricing Results'!$K$60,0)</f>
        <v>0</v>
      </c>
      <c r="L37" s="501">
        <f t="shared" si="13"/>
        <v>0</v>
      </c>
      <c r="M37" s="500">
        <f>IF(D37="DPL",$J$9*'1st IA Load Pricing Results'!K58/'1st IA Load Pricing Results'!$K$52,0)</f>
        <v>0</v>
      </c>
      <c r="N37" s="501">
        <f>M37*$N$19</f>
        <v>0</v>
      </c>
      <c r="O37" s="500">
        <f>IF(D37="PEPCO",$J$10*'1st IA Load Pricing Results'!K58/'1st IA Load Pricing Results'!$K$58,0)</f>
        <v>1315.0994815587383</v>
      </c>
      <c r="P37" s="501">
        <f>O37*$P$19</f>
        <v>0</v>
      </c>
      <c r="Q37" s="500">
        <f>IF(D37="ATSI",$J$11*'1st IA Load Pricing Results'!K58/'1st IA Load Pricing Results'!$K$45,0)</f>
        <v>0</v>
      </c>
      <c r="R37" s="501">
        <f t="shared" si="12"/>
        <v>0</v>
      </c>
      <c r="S37" s="500">
        <f>IF(D37="COMED",$J$12*'1st IA Load Pricing Results'!K58/'1st IA Load Pricing Results'!$K$47,0)</f>
        <v>0</v>
      </c>
      <c r="T37" s="501">
        <f t="shared" si="15"/>
        <v>0</v>
      </c>
      <c r="U37" s="500">
        <f>IF(D37="BGE",$J$13*'1st IA Load Pricing Results'!K58/'1st IA Load Pricing Results'!$K$46,0)</f>
        <v>0</v>
      </c>
      <c r="V37" s="501">
        <f t="shared" si="4"/>
        <v>0</v>
      </c>
      <c r="W37" s="500">
        <f>IF(D37="PL",$J$14*'1st IA Load Pricing Results'!K58/'1st IA Load Pricing Results'!$K$59,0)</f>
        <v>0</v>
      </c>
      <c r="X37" s="501">
        <f t="shared" si="16"/>
        <v>0</v>
      </c>
      <c r="Y37" s="353">
        <f t="shared" si="8"/>
        <v>1730.7444364584312</v>
      </c>
      <c r="Z37" s="328">
        <f t="shared" si="9"/>
        <v>0</v>
      </c>
      <c r="AA37" s="328">
        <f>Z37/'1st IA Load Pricing Results'!K58</f>
        <v>0</v>
      </c>
      <c r="AB37" s="328">
        <f t="shared" si="10"/>
        <v>0</v>
      </c>
    </row>
    <row r="38" spans="1:28" ht="13.5">
      <c r="A38" s="333" t="s">
        <v>10</v>
      </c>
      <c r="B38" s="464" t="s">
        <v>29</v>
      </c>
      <c r="C38" s="464"/>
      <c r="D38" s="464" t="s">
        <v>10</v>
      </c>
      <c r="E38" s="500">
        <f>IF(B38="MAAC",$J$5*'1st IA Load Pricing Results'!K59/'1st IA Load Pricing Results'!$B$16,0)</f>
        <v>0</v>
      </c>
      <c r="F38" s="501">
        <f t="shared" si="6"/>
        <v>0</v>
      </c>
      <c r="G38" s="500">
        <f>IF(C38="EMAAC",$J$6*'1st IA Load Pricing Results'!K59/'1st IA Load Pricing Results'!$B$17,0)</f>
        <v>0</v>
      </c>
      <c r="H38" s="501">
        <f t="shared" si="2"/>
        <v>0</v>
      </c>
      <c r="I38" s="500">
        <f>IF(C38="SWMAAC",$J$7*'1st IA Load Pricing Results'!K59/'1st IA Load Pricing Results'!$B$18,0)</f>
        <v>0</v>
      </c>
      <c r="J38" s="501">
        <f t="shared" si="14"/>
        <v>0</v>
      </c>
      <c r="K38" s="500">
        <f>IF(D38="PS",$J$8*'1st IA Load Pricing Results'!K59/'1st IA Load Pricing Results'!$K$60,0)</f>
        <v>0</v>
      </c>
      <c r="L38" s="501">
        <f t="shared" si="13"/>
        <v>0</v>
      </c>
      <c r="M38" s="500">
        <f>IF(D38="DPL",$J$9*'1st IA Load Pricing Results'!K59/'1st IA Load Pricing Results'!$K$52,0)</f>
        <v>0</v>
      </c>
      <c r="N38" s="501">
        <f t="shared" si="7"/>
        <v>0</v>
      </c>
      <c r="O38" s="500">
        <f>IF(D38="PEPCO",$J$10*'1st IA Load Pricing Results'!K59/'1st IA Load Pricing Results'!$K$58,0)</f>
        <v>0</v>
      </c>
      <c r="P38" s="501">
        <f>O38*$P$19</f>
        <v>0</v>
      </c>
      <c r="Q38" s="500">
        <f>IF(D38="ATSI",$J$11*'1st IA Load Pricing Results'!K59/'1st IA Load Pricing Results'!$K$45,0)</f>
        <v>0</v>
      </c>
      <c r="R38" s="501">
        <f t="shared" si="12"/>
        <v>0</v>
      </c>
      <c r="S38" s="500">
        <f>IF(D38="COMED",$J$12*'1st IA Load Pricing Results'!K59/'1st IA Load Pricing Results'!$K$47,0)</f>
        <v>0</v>
      </c>
      <c r="T38" s="501">
        <f t="shared" si="15"/>
        <v>0</v>
      </c>
      <c r="U38" s="500">
        <f>IF(D38="BGE",$J$13*'1st IA Load Pricing Results'!K59/'1st IA Load Pricing Results'!$K$46,0)</f>
        <v>0</v>
      </c>
      <c r="V38" s="501">
        <f t="shared" si="4"/>
        <v>0</v>
      </c>
      <c r="W38" s="500">
        <f>IF(D38="PL",$J$14*'1st IA Load Pricing Results'!K59/'1st IA Load Pricing Results'!$K$59,0)</f>
        <v>0</v>
      </c>
      <c r="X38" s="501">
        <f t="shared" si="16"/>
        <v>0</v>
      </c>
      <c r="Y38" s="353">
        <f t="shared" si="8"/>
        <v>0</v>
      </c>
      <c r="Z38" s="328">
        <f t="shared" si="9"/>
        <v>0</v>
      </c>
      <c r="AA38" s="328">
        <f>Z38/'1st IA Load Pricing Results'!K59</f>
        <v>0</v>
      </c>
      <c r="AB38" s="328">
        <f t="shared" si="10"/>
        <v>0</v>
      </c>
    </row>
    <row r="39" spans="1:28" ht="13.5">
      <c r="A39" s="333" t="s">
        <v>8</v>
      </c>
      <c r="B39" s="464" t="s">
        <v>29</v>
      </c>
      <c r="C39" s="464" t="s">
        <v>39</v>
      </c>
      <c r="D39" s="464" t="s">
        <v>8</v>
      </c>
      <c r="E39" s="500">
        <f>IF(B39="MAAC",$J$5*'1st IA Load Pricing Results'!K60/'1st IA Load Pricing Results'!$B$16,0)</f>
        <v>0</v>
      </c>
      <c r="F39" s="501">
        <f t="shared" si="6"/>
        <v>0</v>
      </c>
      <c r="G39" s="500">
        <f>IF(C39="EMAAC",$J$6*'1st IA Load Pricing Results'!K60/'1st IA Load Pricing Results'!$B$17,0)</f>
        <v>824.3229903751836</v>
      </c>
      <c r="H39" s="501">
        <f t="shared" si="2"/>
        <v>0</v>
      </c>
      <c r="I39" s="500">
        <f>IF(C39="SWMAAC",$J$7*'1st IA Load Pricing Results'!K60/'1st IA Load Pricing Results'!$B$18,0)</f>
        <v>0</v>
      </c>
      <c r="J39" s="501">
        <f t="shared" si="14"/>
        <v>0</v>
      </c>
      <c r="K39" s="500">
        <f>IF(D39="PS",$J$8*'1st IA Load Pricing Results'!K60/'1st IA Load Pricing Results'!$K$60,0)</f>
        <v>4631.8381631418315</v>
      </c>
      <c r="L39" s="501">
        <f>K39*$L$19</f>
        <v>439804.37927744334</v>
      </c>
      <c r="M39" s="500">
        <f>IF(D39="DPL",$J$9*'1st IA Load Pricing Results'!K60/'1st IA Load Pricing Results'!$K$52,0)</f>
        <v>0</v>
      </c>
      <c r="N39" s="501">
        <f t="shared" si="7"/>
        <v>0</v>
      </c>
      <c r="O39" s="500">
        <f>IF(D39="PEPCO",$J$10*'1st IA Load Pricing Results'!K60/'1st IA Load Pricing Results'!$K$58,0)</f>
        <v>0</v>
      </c>
      <c r="P39" s="501">
        <f>O39*$P$19</f>
        <v>0</v>
      </c>
      <c r="Q39" s="500">
        <f>IF(D39="ATSI",$J$11*'1st IA Load Pricing Results'!K60/'1st IA Load Pricing Results'!$K$45,0)</f>
        <v>0</v>
      </c>
      <c r="R39" s="501">
        <f t="shared" si="12"/>
        <v>0</v>
      </c>
      <c r="S39" s="500">
        <f>IF(D39="COMED",$J$12*'1st IA Load Pricing Results'!K60/'1st IA Load Pricing Results'!$K$47,0)</f>
        <v>0</v>
      </c>
      <c r="T39" s="501">
        <f t="shared" si="15"/>
        <v>0</v>
      </c>
      <c r="U39" s="500">
        <f>IF(D39="BGE",$J$13*'1st IA Load Pricing Results'!K60/'1st IA Load Pricing Results'!$K$46,0)</f>
        <v>0</v>
      </c>
      <c r="V39" s="501">
        <f t="shared" si="4"/>
        <v>0</v>
      </c>
      <c r="W39" s="500">
        <f>IF(D39="PL",$J$14*'1st IA Load Pricing Results'!K60/'1st IA Load Pricing Results'!$K$59,0)</f>
        <v>0</v>
      </c>
      <c r="X39" s="501">
        <f t="shared" si="16"/>
        <v>0</v>
      </c>
      <c r="Y39" s="353">
        <f t="shared" si="8"/>
        <v>4631.8381631418315</v>
      </c>
      <c r="Z39" s="328">
        <f t="shared" si="9"/>
        <v>439804.37927744334</v>
      </c>
      <c r="AA39" s="328">
        <f>Z39/'1st IA Load Pricing Results'!K60</f>
        <v>38.30841595943766</v>
      </c>
      <c r="AB39" s="328">
        <f>IF(Y39=0,0,Z39/Y39)</f>
        <v>94.95244949990195</v>
      </c>
    </row>
    <row r="40" spans="1:28" ht="13.5">
      <c r="A40" s="333" t="s">
        <v>18</v>
      </c>
      <c r="B40" s="464" t="s">
        <v>29</v>
      </c>
      <c r="C40" s="464" t="s">
        <v>39</v>
      </c>
      <c r="D40" s="464"/>
      <c r="E40" s="500">
        <f>IF(B40="MAAC",$J$5*'1st IA Load Pricing Results'!K61/'1st IA Load Pricing Results'!$B$16,0)</f>
        <v>0</v>
      </c>
      <c r="F40" s="501">
        <f t="shared" si="6"/>
        <v>0</v>
      </c>
      <c r="G40" s="500">
        <f>IF(C40="EMAAC",$J$6*'1st IA Load Pricing Results'!K61/'1st IA Load Pricing Results'!$B$17,0)</f>
        <v>33.39837722077688</v>
      </c>
      <c r="H40" s="501">
        <f t="shared" si="2"/>
        <v>0</v>
      </c>
      <c r="I40" s="500">
        <f>IF(C40="SWMAAC",$J$7*'1st IA Load Pricing Results'!K61/'1st IA Load Pricing Results'!$B$18,0)</f>
        <v>0</v>
      </c>
      <c r="J40" s="501">
        <f>I40*$J$19</f>
        <v>0</v>
      </c>
      <c r="K40" s="500">
        <f>IF(D40="PS",$J$8*'1st IA Load Pricing Results'!K61/'1st IA Load Pricing Results'!$K$60,0)</f>
        <v>0</v>
      </c>
      <c r="L40" s="501">
        <f>K40*$L$19</f>
        <v>0</v>
      </c>
      <c r="M40" s="500">
        <f>IF(D40="DPL",$J$9*'1st IA Load Pricing Results'!K61/'1st IA Load Pricing Results'!$K$52,0)</f>
        <v>0</v>
      </c>
      <c r="N40" s="501">
        <f t="shared" si="7"/>
        <v>0</v>
      </c>
      <c r="O40" s="500">
        <f>IF(D40="PEPCO",$J$10*'1st IA Load Pricing Results'!K61/'1st IA Load Pricing Results'!$K$58,0)</f>
        <v>0</v>
      </c>
      <c r="P40" s="501">
        <f>O40*$P$19</f>
        <v>0</v>
      </c>
      <c r="Q40" s="500">
        <f>IF(D40="ATSI",$J$11*'1st IA Load Pricing Results'!K61/'1st IA Load Pricing Results'!$K$45,0)</f>
        <v>0</v>
      </c>
      <c r="R40" s="501">
        <f t="shared" si="12"/>
        <v>0</v>
      </c>
      <c r="S40" s="500">
        <f>IF(D40="COMED",$J$12*'1st IA Load Pricing Results'!K61/'1st IA Load Pricing Results'!$K$47,0)</f>
        <v>0</v>
      </c>
      <c r="T40" s="501">
        <f t="shared" si="15"/>
        <v>0</v>
      </c>
      <c r="U40" s="500">
        <f>IF(D40="BGE",$J$13*'1st IA Load Pricing Results'!K61/'1st IA Load Pricing Results'!$K$46,0)</f>
        <v>0</v>
      </c>
      <c r="V40" s="501">
        <f t="shared" si="4"/>
        <v>0</v>
      </c>
      <c r="W40" s="500">
        <f>IF(D40="PL",$J$14*'1st IA Load Pricing Results'!K61/'1st IA Load Pricing Results'!$K$59,0)</f>
        <v>0</v>
      </c>
      <c r="X40" s="501">
        <f t="shared" si="16"/>
        <v>0</v>
      </c>
      <c r="Y40" s="353">
        <f t="shared" si="8"/>
        <v>33.39837722077688</v>
      </c>
      <c r="Z40" s="328">
        <f t="shared" si="9"/>
        <v>0</v>
      </c>
      <c r="AA40" s="328">
        <f>Z40/'1st IA Load Pricing Results'!K61</f>
        <v>0</v>
      </c>
      <c r="AB40" s="328">
        <f>IF(Y40=0,0,Z40/Y40)</f>
        <v>0</v>
      </c>
    </row>
    <row r="41" spans="1:28" ht="13.5">
      <c r="A41" s="694" t="s">
        <v>81</v>
      </c>
      <c r="B41" s="694"/>
      <c r="C41" s="694"/>
      <c r="D41" s="694"/>
      <c r="E41" s="502">
        <f aca="true" t="shared" si="17" ref="E41:R41">SUM(E21:E40)</f>
        <v>0</v>
      </c>
      <c r="F41" s="503">
        <f>SUM(F21:F40)</f>
        <v>0</v>
      </c>
      <c r="G41" s="502">
        <f t="shared" si="17"/>
        <v>2608.327687093189</v>
      </c>
      <c r="H41" s="503">
        <f>SUM(H21:H40)</f>
        <v>0</v>
      </c>
      <c r="I41" s="502">
        <f t="shared" si="17"/>
        <v>3608.385609408603</v>
      </c>
      <c r="J41" s="503">
        <f>SUM(J21:J40)</f>
        <v>0</v>
      </c>
      <c r="K41" s="502">
        <f t="shared" si="17"/>
        <v>4631.8381631418315</v>
      </c>
      <c r="L41" s="503">
        <f>SUM(L21:L40)</f>
        <v>439804.37927744334</v>
      </c>
      <c r="M41" s="502">
        <f>SUM(M21:M40)</f>
        <v>0</v>
      </c>
      <c r="N41" s="503">
        <f>SUM(N21:N40)</f>
        <v>0</v>
      </c>
      <c r="O41" s="502">
        <f t="shared" si="17"/>
        <v>1315.0994815587383</v>
      </c>
      <c r="P41" s="503">
        <f t="shared" si="17"/>
        <v>0</v>
      </c>
      <c r="Q41" s="502">
        <f t="shared" si="17"/>
        <v>5850.360891390459</v>
      </c>
      <c r="R41" s="503">
        <f t="shared" si="17"/>
        <v>0</v>
      </c>
      <c r="S41" s="502">
        <f aca="true" t="shared" si="18" ref="S41:X41">SUM(S21:S40)</f>
        <v>2551.503608133641</v>
      </c>
      <c r="T41" s="503">
        <f>SUM(T21:T40)</f>
        <v>0</v>
      </c>
      <c r="U41" s="502">
        <f t="shared" si="18"/>
        <v>4203.586127849866</v>
      </c>
      <c r="V41" s="503">
        <f>SUM(V21:V40)</f>
        <v>0</v>
      </c>
      <c r="W41" s="502">
        <f t="shared" si="18"/>
        <v>0</v>
      </c>
      <c r="X41" s="503">
        <f t="shared" si="18"/>
        <v>0</v>
      </c>
      <c r="Y41" s="353"/>
      <c r="Z41" s="503">
        <f>SUM(Z21:Z40)</f>
        <v>439804.37927744334</v>
      </c>
      <c r="AA41" s="504"/>
      <c r="AB41" s="504"/>
    </row>
    <row r="42" spans="1:28" ht="13.5">
      <c r="A42" s="336" t="s">
        <v>82</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356"/>
      <c r="AA42" s="255"/>
      <c r="AB42" s="255"/>
    </row>
    <row r="43" spans="1:28" ht="13.5">
      <c r="A43" s="336" t="s">
        <v>286</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row>
    <row r="44" spans="1:28" ht="13.5">
      <c r="A44" s="336" t="s">
        <v>345</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row>
    <row r="45" spans="1:28" ht="13.5">
      <c r="A45" s="336" t="s">
        <v>287</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row>
    <row r="46" spans="1:28" ht="13.5">
      <c r="A46" s="255"/>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row>
    <row r="47" spans="1:28" ht="13.5">
      <c r="A47" s="255"/>
      <c r="B47" s="255"/>
      <c r="C47" s="255"/>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row>
  </sheetData>
  <sheetProtection/>
  <mergeCells count="12">
    <mergeCell ref="A41:D41"/>
    <mergeCell ref="A17:D19"/>
    <mergeCell ref="E18:F18"/>
    <mergeCell ref="G18:H18"/>
    <mergeCell ref="I18:J18"/>
    <mergeCell ref="K18:L18"/>
    <mergeCell ref="M18:N18"/>
    <mergeCell ref="S18:T18"/>
    <mergeCell ref="U18:V18"/>
    <mergeCell ref="W18:X18"/>
    <mergeCell ref="O18:P18"/>
    <mergeCell ref="Q18:R18"/>
  </mergeCells>
  <printOptions/>
  <pageMargins left="0.45" right="0.45" top="0.5" bottom="0.5" header="0.3" footer="0.3"/>
  <pageSetup fitToHeight="1" fitToWidth="1" horizontalDpi="600" verticalDpi="600" orientation="landscape" paperSize="17" scale="43" r:id="rId1"/>
</worksheet>
</file>

<file path=xl/worksheets/sheet11.xml><?xml version="1.0" encoding="utf-8"?>
<worksheet xmlns="http://schemas.openxmlformats.org/spreadsheetml/2006/main" xmlns:r="http://schemas.openxmlformats.org/officeDocument/2006/relationships">
  <sheetPr>
    <pageSetUpPr fitToPage="1"/>
  </sheetPr>
  <dimension ref="A1:Z108"/>
  <sheetViews>
    <sheetView zoomScalePageLayoutView="0" workbookViewId="0" topLeftCell="A1">
      <selection activeCell="A1" sqref="A1"/>
    </sheetView>
  </sheetViews>
  <sheetFormatPr defaultColWidth="9.140625" defaultRowHeight="12.75"/>
  <cols>
    <col min="1" max="1" width="55.8515625" style="0" customWidth="1"/>
    <col min="2" max="22" width="15.7109375" style="0" customWidth="1"/>
    <col min="23" max="26" width="12.7109375" style="0" customWidth="1"/>
  </cols>
  <sheetData>
    <row r="1" spans="1:26" ht="18">
      <c r="A1" s="370" t="s">
        <v>320</v>
      </c>
      <c r="B1" s="439" t="s">
        <v>24</v>
      </c>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
      <c r="A2" s="317"/>
      <c r="B2" s="255"/>
      <c r="C2" s="438"/>
      <c r="D2" s="255"/>
      <c r="E2" s="255"/>
      <c r="F2" s="255"/>
      <c r="G2" s="255"/>
      <c r="H2" s="255"/>
      <c r="I2" s="255"/>
      <c r="J2" s="255"/>
      <c r="K2" s="255"/>
      <c r="L2" s="255"/>
      <c r="M2" s="255"/>
      <c r="N2" s="255"/>
      <c r="O2" s="255"/>
      <c r="P2" s="255"/>
      <c r="Q2" s="255"/>
      <c r="R2" s="255"/>
      <c r="S2" s="255"/>
      <c r="T2" s="255"/>
      <c r="U2" s="255"/>
      <c r="V2" s="255"/>
      <c r="W2" s="255"/>
      <c r="X2" s="255"/>
      <c r="Y2" s="255"/>
      <c r="Z2" s="255"/>
    </row>
    <row r="3" spans="1:26" ht="13.5">
      <c r="A3" s="697" t="s">
        <v>73</v>
      </c>
      <c r="B3" s="255"/>
      <c r="C3" s="505" t="s">
        <v>170</v>
      </c>
      <c r="D3" s="255"/>
      <c r="E3" s="255"/>
      <c r="F3" s="255"/>
      <c r="G3" s="255"/>
      <c r="H3" s="255"/>
      <c r="I3" s="505" t="s">
        <v>170</v>
      </c>
      <c r="J3" s="255"/>
      <c r="K3" s="255"/>
      <c r="L3" s="255"/>
      <c r="M3" s="255"/>
      <c r="N3" s="255"/>
      <c r="O3" s="255"/>
      <c r="P3" s="255"/>
      <c r="Q3" s="255"/>
      <c r="R3" s="255"/>
      <c r="S3" s="255"/>
      <c r="T3" s="255"/>
      <c r="U3" s="255"/>
      <c r="V3" s="255"/>
      <c r="W3" s="255"/>
      <c r="X3" s="255"/>
      <c r="Y3" s="255"/>
      <c r="Z3" s="255"/>
    </row>
    <row r="4" spans="1:26" ht="15" customHeight="1">
      <c r="A4" s="698"/>
      <c r="B4" s="506" t="s">
        <v>29</v>
      </c>
      <c r="C4" s="506" t="s">
        <v>29</v>
      </c>
      <c r="D4" s="506" t="s">
        <v>39</v>
      </c>
      <c r="E4" s="506" t="s">
        <v>5</v>
      </c>
      <c r="F4" s="506" t="s">
        <v>8</v>
      </c>
      <c r="G4" s="506" t="s">
        <v>40</v>
      </c>
      <c r="H4" s="506" t="s">
        <v>41</v>
      </c>
      <c r="I4" s="506" t="s">
        <v>41</v>
      </c>
      <c r="J4" s="506" t="s">
        <v>15</v>
      </c>
      <c r="K4" s="506" t="s">
        <v>11</v>
      </c>
      <c r="L4" s="507"/>
      <c r="M4" s="507"/>
      <c r="N4" s="507"/>
      <c r="O4" s="507"/>
      <c r="P4" s="507"/>
      <c r="Q4" s="255"/>
      <c r="R4" s="255"/>
      <c r="S4" s="255"/>
      <c r="T4" s="255"/>
      <c r="U4" s="255"/>
      <c r="V4" s="255"/>
      <c r="W4" s="255"/>
      <c r="X4" s="255"/>
      <c r="Y4" s="255"/>
      <c r="Z4" s="255"/>
    </row>
    <row r="5" spans="1:26" ht="30" customHeight="1">
      <c r="A5" s="373" t="s">
        <v>129</v>
      </c>
      <c r="B5" s="323" t="s">
        <v>142</v>
      </c>
      <c r="C5" s="323" t="s">
        <v>171</v>
      </c>
      <c r="D5" s="323" t="s">
        <v>184</v>
      </c>
      <c r="E5" s="323" t="s">
        <v>184</v>
      </c>
      <c r="F5" s="323" t="s">
        <v>184</v>
      </c>
      <c r="G5" s="323" t="s">
        <v>184</v>
      </c>
      <c r="H5" s="323" t="s">
        <v>142</v>
      </c>
      <c r="I5" s="323" t="s">
        <v>171</v>
      </c>
      <c r="J5" s="323" t="s">
        <v>184</v>
      </c>
      <c r="K5" s="323" t="s">
        <v>184</v>
      </c>
      <c r="L5" s="507"/>
      <c r="M5" s="507"/>
      <c r="N5" s="507"/>
      <c r="O5" s="507"/>
      <c r="P5" s="507"/>
      <c r="Q5" s="318"/>
      <c r="R5" s="255"/>
      <c r="S5" s="255"/>
      <c r="T5" s="255"/>
      <c r="U5" s="255"/>
      <c r="V5" s="255"/>
      <c r="W5" s="255"/>
      <c r="X5" s="255"/>
      <c r="Y5" s="255"/>
      <c r="Z5" s="255"/>
    </row>
    <row r="6" spans="1:26" ht="15" customHeight="1">
      <c r="A6" s="508" t="s">
        <v>130</v>
      </c>
      <c r="B6" s="509"/>
      <c r="C6" s="509"/>
      <c r="D6" s="509"/>
      <c r="E6" s="509"/>
      <c r="F6" s="509"/>
      <c r="G6" s="509"/>
      <c r="H6" s="509"/>
      <c r="I6" s="509"/>
      <c r="J6" s="509"/>
      <c r="K6" s="509"/>
      <c r="L6" s="507"/>
      <c r="M6" s="507"/>
      <c r="N6" s="507"/>
      <c r="O6" s="507"/>
      <c r="P6" s="507"/>
      <c r="Q6" s="318"/>
      <c r="R6" s="255"/>
      <c r="S6" s="255"/>
      <c r="T6" s="255"/>
      <c r="U6" s="255"/>
      <c r="V6" s="255"/>
      <c r="W6" s="255"/>
      <c r="X6" s="255"/>
      <c r="Y6" s="255"/>
      <c r="Z6" s="255"/>
    </row>
    <row r="7" spans="1:26" ht="15" customHeight="1">
      <c r="A7" s="510" t="s">
        <v>120</v>
      </c>
      <c r="B7" s="511">
        <v>160</v>
      </c>
      <c r="C7" s="511">
        <f>B7*'BRA CTRs'!$G$5/$B$25</f>
        <v>0</v>
      </c>
      <c r="D7" s="511">
        <v>0</v>
      </c>
      <c r="E7" s="511">
        <v>0</v>
      </c>
      <c r="F7" s="511">
        <v>0</v>
      </c>
      <c r="G7" s="511">
        <v>0</v>
      </c>
      <c r="H7" s="511">
        <v>0</v>
      </c>
      <c r="I7" s="511">
        <v>0</v>
      </c>
      <c r="J7" s="511">
        <v>0</v>
      </c>
      <c r="K7" s="511">
        <v>0</v>
      </c>
      <c r="L7" s="341"/>
      <c r="M7" s="341"/>
      <c r="N7" s="341"/>
      <c r="O7" s="341"/>
      <c r="P7" s="341"/>
      <c r="Q7" s="318"/>
      <c r="R7" s="255"/>
      <c r="S7" s="255"/>
      <c r="T7" s="255"/>
      <c r="U7" s="255"/>
      <c r="V7" s="255"/>
      <c r="W7" s="255"/>
      <c r="X7" s="255"/>
      <c r="Y7" s="255"/>
      <c r="Z7" s="255"/>
    </row>
    <row r="8" spans="1:26" ht="15" customHeight="1">
      <c r="A8" s="510" t="s">
        <v>121</v>
      </c>
      <c r="B8" s="511">
        <v>106</v>
      </c>
      <c r="C8" s="511">
        <f>B8*'BRA CTRs'!$G$5/$B$25</f>
        <v>0</v>
      </c>
      <c r="D8" s="511">
        <v>0</v>
      </c>
      <c r="E8" s="511">
        <v>0</v>
      </c>
      <c r="F8" s="511">
        <v>0</v>
      </c>
      <c r="G8" s="511">
        <v>0</v>
      </c>
      <c r="H8" s="511">
        <v>0</v>
      </c>
      <c r="I8" s="511">
        <v>0</v>
      </c>
      <c r="J8" s="511">
        <v>0</v>
      </c>
      <c r="K8" s="511">
        <v>0</v>
      </c>
      <c r="L8" s="341"/>
      <c r="M8" s="341"/>
      <c r="N8" s="341"/>
      <c r="O8" s="341"/>
      <c r="P8" s="341"/>
      <c r="Q8" s="318"/>
      <c r="R8" s="255"/>
      <c r="S8" s="255"/>
      <c r="T8" s="255"/>
      <c r="U8" s="255"/>
      <c r="V8" s="255"/>
      <c r="W8" s="255"/>
      <c r="X8" s="255"/>
      <c r="Y8" s="255"/>
      <c r="Z8" s="255"/>
    </row>
    <row r="9" spans="1:26" ht="15" customHeight="1">
      <c r="A9" s="510" t="s">
        <v>125</v>
      </c>
      <c r="B9" s="511">
        <v>117</v>
      </c>
      <c r="C9" s="511">
        <f>B9*'BRA CTRs'!$G$5/$B$25</f>
        <v>0</v>
      </c>
      <c r="D9" s="511">
        <v>0</v>
      </c>
      <c r="E9" s="511">
        <v>0</v>
      </c>
      <c r="F9" s="511">
        <v>0</v>
      </c>
      <c r="G9" s="511">
        <v>0</v>
      </c>
      <c r="H9" s="511">
        <v>0</v>
      </c>
      <c r="I9" s="511">
        <v>0</v>
      </c>
      <c r="J9" s="511">
        <v>0</v>
      </c>
      <c r="K9" s="511">
        <v>0</v>
      </c>
      <c r="L9" s="341"/>
      <c r="M9" s="341"/>
      <c r="N9" s="341"/>
      <c r="O9" s="341"/>
      <c r="P9" s="341"/>
      <c r="Q9" s="318"/>
      <c r="R9" s="255"/>
      <c r="S9" s="255"/>
      <c r="T9" s="255"/>
      <c r="U9" s="255"/>
      <c r="V9" s="255"/>
      <c r="W9" s="255"/>
      <c r="X9" s="255"/>
      <c r="Y9" s="255"/>
      <c r="Z9" s="255"/>
    </row>
    <row r="10" spans="1:26" ht="30" customHeight="1">
      <c r="A10" s="510" t="s">
        <v>126</v>
      </c>
      <c r="B10" s="511">
        <v>0</v>
      </c>
      <c r="C10" s="511">
        <f>B10*'BRA CTRs'!$G$5/$B$25</f>
        <v>0</v>
      </c>
      <c r="D10" s="511">
        <v>898</v>
      </c>
      <c r="E10" s="511">
        <v>0</v>
      </c>
      <c r="F10" s="511">
        <v>68.9</v>
      </c>
      <c r="G10" s="511">
        <v>105.5</v>
      </c>
      <c r="H10" s="511">
        <v>0</v>
      </c>
      <c r="I10" s="511">
        <v>0</v>
      </c>
      <c r="J10" s="511">
        <v>0</v>
      </c>
      <c r="K10" s="511">
        <v>0</v>
      </c>
      <c r="L10" s="341"/>
      <c r="M10" s="341"/>
      <c r="N10" s="341"/>
      <c r="O10" s="341"/>
      <c r="P10" s="341"/>
      <c r="Q10" s="318"/>
      <c r="R10" s="255"/>
      <c r="S10" s="255"/>
      <c r="T10" s="255"/>
      <c r="U10" s="255"/>
      <c r="V10" s="255"/>
      <c r="W10" s="255"/>
      <c r="X10" s="255"/>
      <c r="Y10" s="255"/>
      <c r="Z10" s="255"/>
    </row>
    <row r="11" spans="1:26" ht="15" customHeight="1">
      <c r="A11" s="510" t="s">
        <v>162</v>
      </c>
      <c r="B11" s="511">
        <v>339</v>
      </c>
      <c r="C11" s="511">
        <f>B11*'BRA CTRs'!$G$5/$B$25</f>
        <v>0</v>
      </c>
      <c r="D11" s="511">
        <v>0</v>
      </c>
      <c r="E11" s="511">
        <v>0</v>
      </c>
      <c r="F11" s="511">
        <v>0</v>
      </c>
      <c r="G11" s="511">
        <v>0</v>
      </c>
      <c r="H11" s="511">
        <v>0</v>
      </c>
      <c r="I11" s="511">
        <v>0</v>
      </c>
      <c r="J11" s="511">
        <v>0</v>
      </c>
      <c r="K11" s="511">
        <v>0</v>
      </c>
      <c r="L11" s="341"/>
      <c r="M11" s="341"/>
      <c r="N11" s="341"/>
      <c r="O11" s="341"/>
      <c r="P11" s="341"/>
      <c r="Q11" s="318"/>
      <c r="R11" s="255"/>
      <c r="S11" s="255"/>
      <c r="T11" s="255"/>
      <c r="U11" s="255"/>
      <c r="V11" s="255"/>
      <c r="W11" s="255"/>
      <c r="X11" s="255"/>
      <c r="Y11" s="255"/>
      <c r="Z11" s="255"/>
    </row>
    <row r="12" spans="1:26" ht="30" customHeight="1">
      <c r="A12" s="512" t="s">
        <v>131</v>
      </c>
      <c r="B12" s="513">
        <f aca="true" t="shared" si="0" ref="B12:J12">SUM(B7:B11)</f>
        <v>722</v>
      </c>
      <c r="C12" s="513">
        <f>SUM(C7:C11)</f>
        <v>0</v>
      </c>
      <c r="D12" s="514">
        <f t="shared" si="0"/>
        <v>898</v>
      </c>
      <c r="E12" s="514">
        <f t="shared" si="0"/>
        <v>0</v>
      </c>
      <c r="F12" s="514">
        <f>SUM(F7:F11)</f>
        <v>68.9</v>
      </c>
      <c r="G12" s="514">
        <f>SUM(G7:G11)</f>
        <v>105.5</v>
      </c>
      <c r="H12" s="514">
        <f t="shared" si="0"/>
        <v>0</v>
      </c>
      <c r="I12" s="514">
        <f>SUM(I7:I11)</f>
        <v>0</v>
      </c>
      <c r="J12" s="514">
        <f t="shared" si="0"/>
        <v>0</v>
      </c>
      <c r="K12" s="514">
        <f>SUM(K7:K11)</f>
        <v>0</v>
      </c>
      <c r="L12" s="341"/>
      <c r="M12" s="341"/>
      <c r="N12" s="341"/>
      <c r="O12" s="341"/>
      <c r="P12" s="341"/>
      <c r="Q12" s="318"/>
      <c r="R12" s="255"/>
      <c r="S12" s="255"/>
      <c r="T12" s="255"/>
      <c r="U12" s="255"/>
      <c r="V12" s="255"/>
      <c r="W12" s="255"/>
      <c r="X12" s="255"/>
      <c r="Y12" s="255"/>
      <c r="Z12" s="255"/>
    </row>
    <row r="13" spans="1:26" ht="15" customHeight="1">
      <c r="A13" s="508" t="s">
        <v>230</v>
      </c>
      <c r="B13" s="511" t="s">
        <v>24</v>
      </c>
      <c r="C13" s="511" t="s">
        <v>24</v>
      </c>
      <c r="D13" s="511"/>
      <c r="E13" s="511"/>
      <c r="F13" s="511"/>
      <c r="G13" s="511"/>
      <c r="H13" s="511"/>
      <c r="I13" s="511"/>
      <c r="J13" s="511"/>
      <c r="K13" s="511"/>
      <c r="L13" s="515"/>
      <c r="M13" s="345"/>
      <c r="N13" s="345"/>
      <c r="O13" s="345"/>
      <c r="P13" s="515"/>
      <c r="Q13" s="318"/>
      <c r="R13" s="255"/>
      <c r="S13" s="255"/>
      <c r="T13" s="255"/>
      <c r="U13" s="255"/>
      <c r="V13" s="255"/>
      <c r="W13" s="255"/>
      <c r="X13" s="255"/>
      <c r="Y13" s="255"/>
      <c r="Z13" s="255"/>
    </row>
    <row r="14" spans="1:26" ht="30" customHeight="1">
      <c r="A14" s="510" t="s">
        <v>315</v>
      </c>
      <c r="B14" s="511">
        <v>16</v>
      </c>
      <c r="C14" s="511">
        <f>B14*'BRA CTRs'!$G$5/$B$25</f>
        <v>0</v>
      </c>
      <c r="D14" s="511">
        <v>0</v>
      </c>
      <c r="E14" s="511">
        <v>237</v>
      </c>
      <c r="F14" s="511">
        <v>0</v>
      </c>
      <c r="G14" s="511">
        <v>0</v>
      </c>
      <c r="H14" s="511">
        <v>0</v>
      </c>
      <c r="I14" s="511">
        <v>0</v>
      </c>
      <c r="J14" s="511">
        <v>0</v>
      </c>
      <c r="K14" s="511">
        <v>124</v>
      </c>
      <c r="L14" s="515"/>
      <c r="M14" s="345"/>
      <c r="N14" s="345"/>
      <c r="O14" s="345"/>
      <c r="P14" s="515"/>
      <c r="Q14" s="318"/>
      <c r="R14" s="255"/>
      <c r="S14" s="255"/>
      <c r="T14" s="255"/>
      <c r="U14" s="255"/>
      <c r="V14" s="255"/>
      <c r="W14" s="255"/>
      <c r="X14" s="255"/>
      <c r="Y14" s="255"/>
      <c r="Z14" s="255"/>
    </row>
    <row r="15" spans="1:26" ht="30" customHeight="1">
      <c r="A15" s="510" t="s">
        <v>155</v>
      </c>
      <c r="B15" s="511">
        <v>0</v>
      </c>
      <c r="C15" s="511">
        <f>B15*'BRA CTRs'!$G$5/$B$25</f>
        <v>0</v>
      </c>
      <c r="D15" s="511">
        <v>0</v>
      </c>
      <c r="E15" s="511">
        <v>0</v>
      </c>
      <c r="F15" s="511">
        <v>340.2</v>
      </c>
      <c r="G15" s="511">
        <v>494.5</v>
      </c>
      <c r="H15" s="511">
        <v>0</v>
      </c>
      <c r="I15" s="511">
        <v>0</v>
      </c>
      <c r="J15" s="511">
        <v>0</v>
      </c>
      <c r="K15" s="511">
        <v>0</v>
      </c>
      <c r="L15" s="515"/>
      <c r="M15" s="345"/>
      <c r="N15" s="345"/>
      <c r="O15" s="345"/>
      <c r="P15" s="515"/>
      <c r="Q15" s="318"/>
      <c r="R15" s="255"/>
      <c r="S15" s="255"/>
      <c r="T15" s="255"/>
      <c r="U15" s="255"/>
      <c r="V15" s="255"/>
      <c r="W15" s="255"/>
      <c r="X15" s="255"/>
      <c r="Y15" s="255"/>
      <c r="Z15" s="255"/>
    </row>
    <row r="16" spans="1:26" ht="30" customHeight="1">
      <c r="A16" s="510" t="s">
        <v>123</v>
      </c>
      <c r="B16" s="511">
        <v>0</v>
      </c>
      <c r="C16" s="511">
        <f>B16*'BRA CTRs'!$G$5/$B$25</f>
        <v>0</v>
      </c>
      <c r="D16" s="511">
        <v>0</v>
      </c>
      <c r="E16" s="511">
        <v>0</v>
      </c>
      <c r="F16" s="511">
        <v>90.3</v>
      </c>
      <c r="G16" s="511">
        <v>0</v>
      </c>
      <c r="H16" s="511">
        <v>0</v>
      </c>
      <c r="I16" s="511">
        <v>0</v>
      </c>
      <c r="J16" s="511">
        <v>0</v>
      </c>
      <c r="K16" s="511">
        <v>0</v>
      </c>
      <c r="L16" s="515"/>
      <c r="M16" s="345"/>
      <c r="N16" s="345"/>
      <c r="O16" s="345"/>
      <c r="P16" s="515"/>
      <c r="Q16" s="318"/>
      <c r="R16" s="255"/>
      <c r="S16" s="255"/>
      <c r="T16" s="255"/>
      <c r="U16" s="255"/>
      <c r="V16" s="255"/>
      <c r="W16" s="255"/>
      <c r="X16" s="255"/>
      <c r="Y16" s="255"/>
      <c r="Z16" s="255"/>
    </row>
    <row r="17" spans="1:26" ht="30" customHeight="1">
      <c r="A17" s="516" t="s">
        <v>316</v>
      </c>
      <c r="B17" s="511">
        <v>0</v>
      </c>
      <c r="C17" s="511">
        <f>B17*'BRA CTRs'!$G$5/$B$25</f>
        <v>0</v>
      </c>
      <c r="D17" s="511">
        <v>0</v>
      </c>
      <c r="E17" s="511">
        <v>0</v>
      </c>
      <c r="F17" s="511">
        <v>0</v>
      </c>
      <c r="G17" s="511">
        <v>0</v>
      </c>
      <c r="H17" s="511">
        <v>0</v>
      </c>
      <c r="I17" s="511">
        <v>0</v>
      </c>
      <c r="J17" s="511">
        <v>0</v>
      </c>
      <c r="K17" s="511">
        <v>182</v>
      </c>
      <c r="L17" s="515"/>
      <c r="M17" s="345"/>
      <c r="N17" s="345"/>
      <c r="O17" s="345"/>
      <c r="P17" s="515"/>
      <c r="Q17" s="318"/>
      <c r="R17" s="255"/>
      <c r="S17" s="255"/>
      <c r="T17" s="255"/>
      <c r="U17" s="255"/>
      <c r="V17" s="255"/>
      <c r="W17" s="255"/>
      <c r="X17" s="255"/>
      <c r="Y17" s="255"/>
      <c r="Z17" s="255"/>
    </row>
    <row r="18" spans="1:26" ht="15" customHeight="1">
      <c r="A18" s="512" t="s">
        <v>132</v>
      </c>
      <c r="B18" s="513">
        <f aca="true" t="shared" si="1" ref="B18:K18">SUM(B14:B17)</f>
        <v>16</v>
      </c>
      <c r="C18" s="513">
        <f>SUM(C14:C17)</f>
        <v>0</v>
      </c>
      <c r="D18" s="514">
        <f t="shared" si="1"/>
        <v>0</v>
      </c>
      <c r="E18" s="514">
        <f t="shared" si="1"/>
        <v>237</v>
      </c>
      <c r="F18" s="514">
        <f>SUM(F14:F17)</f>
        <v>430.5</v>
      </c>
      <c r="G18" s="514">
        <f>SUM(G14:G17)</f>
        <v>494.5</v>
      </c>
      <c r="H18" s="514">
        <f t="shared" si="1"/>
        <v>0</v>
      </c>
      <c r="I18" s="514">
        <f>SUM(I14:I17)</f>
        <v>0</v>
      </c>
      <c r="J18" s="514">
        <f t="shared" si="1"/>
        <v>0</v>
      </c>
      <c r="K18" s="514">
        <f t="shared" si="1"/>
        <v>306</v>
      </c>
      <c r="L18" s="515"/>
      <c r="M18" s="345"/>
      <c r="N18" s="345"/>
      <c r="O18" s="345"/>
      <c r="P18" s="515"/>
      <c r="Q18" s="318"/>
      <c r="R18" s="255"/>
      <c r="S18" s="255"/>
      <c r="T18" s="255"/>
      <c r="U18" s="255"/>
      <c r="V18" s="255"/>
      <c r="W18" s="255"/>
      <c r="X18" s="255"/>
      <c r="Y18" s="255"/>
      <c r="Z18" s="255"/>
    </row>
    <row r="19" spans="1:26" ht="19.5" customHeight="1">
      <c r="A19" s="373" t="s">
        <v>89</v>
      </c>
      <c r="B19" s="517"/>
      <c r="C19" s="517"/>
      <c r="D19" s="518"/>
      <c r="E19" s="518"/>
      <c r="F19" s="518"/>
      <c r="G19" s="518"/>
      <c r="H19" s="518"/>
      <c r="I19" s="518"/>
      <c r="J19" s="518"/>
      <c r="K19" s="518"/>
      <c r="L19" s="515"/>
      <c r="M19" s="345"/>
      <c r="N19" s="345"/>
      <c r="O19" s="345"/>
      <c r="P19" s="515"/>
      <c r="Q19" s="318"/>
      <c r="R19" s="255"/>
      <c r="S19" s="255"/>
      <c r="T19" s="255"/>
      <c r="U19" s="255"/>
      <c r="V19" s="255"/>
      <c r="W19" s="255"/>
      <c r="X19" s="255"/>
      <c r="Y19" s="255"/>
      <c r="Z19" s="255"/>
    </row>
    <row r="20" spans="1:26" ht="30" customHeight="1">
      <c r="A20" s="510" t="s">
        <v>124</v>
      </c>
      <c r="B20" s="511">
        <v>159</v>
      </c>
      <c r="C20" s="511">
        <f>B20*'BRA CTRs'!$G$5/$B$25</f>
        <v>0</v>
      </c>
      <c r="D20" s="511">
        <v>0</v>
      </c>
      <c r="E20" s="511">
        <v>0</v>
      </c>
      <c r="F20" s="511">
        <v>0</v>
      </c>
      <c r="G20" s="511">
        <v>0</v>
      </c>
      <c r="H20" s="511">
        <v>0</v>
      </c>
      <c r="I20" s="511">
        <v>0</v>
      </c>
      <c r="J20" s="511">
        <v>0</v>
      </c>
      <c r="K20" s="511">
        <v>0</v>
      </c>
      <c r="L20" s="515"/>
      <c r="M20" s="345"/>
      <c r="N20" s="345"/>
      <c r="O20" s="345"/>
      <c r="P20" s="515"/>
      <c r="Q20" s="318"/>
      <c r="R20" s="255"/>
      <c r="S20" s="255"/>
      <c r="T20" s="255"/>
      <c r="U20" s="255"/>
      <c r="V20" s="255"/>
      <c r="W20" s="255"/>
      <c r="X20" s="255"/>
      <c r="Y20" s="255"/>
      <c r="Z20" s="255"/>
    </row>
    <row r="21" spans="1:26" ht="30" customHeight="1">
      <c r="A21" s="510" t="s">
        <v>317</v>
      </c>
      <c r="B21" s="511">
        <v>0</v>
      </c>
      <c r="C21" s="511">
        <f>B21*'BRA CTRs'!$G$5/$B$25</f>
        <v>0</v>
      </c>
      <c r="D21" s="511">
        <v>0</v>
      </c>
      <c r="E21" s="511">
        <v>0</v>
      </c>
      <c r="F21" s="511">
        <v>0</v>
      </c>
      <c r="G21" s="511">
        <v>0</v>
      </c>
      <c r="H21" s="511">
        <v>37</v>
      </c>
      <c r="I21" s="511">
        <f>H21*'BRA CTRs'!G9/('BRA ICTRs'!H18+'BRA ICTRs'!H23)</f>
        <v>0</v>
      </c>
      <c r="J21" s="511">
        <v>0</v>
      </c>
      <c r="K21" s="511">
        <v>0</v>
      </c>
      <c r="L21" s="515"/>
      <c r="M21" s="345"/>
      <c r="N21" s="345"/>
      <c r="O21" s="345"/>
      <c r="P21" s="515"/>
      <c r="Q21" s="318"/>
      <c r="R21" s="255"/>
      <c r="S21" s="255"/>
      <c r="T21" s="255"/>
      <c r="U21" s="255"/>
      <c r="V21" s="255"/>
      <c r="W21" s="255"/>
      <c r="X21" s="255"/>
      <c r="Y21" s="255"/>
      <c r="Z21" s="255"/>
    </row>
    <row r="22" spans="1:26" ht="30" customHeight="1">
      <c r="A22" s="510" t="s">
        <v>318</v>
      </c>
      <c r="B22" s="511">
        <v>0</v>
      </c>
      <c r="C22" s="511">
        <f>B22*'BRA CTRs'!$G$5/$B$25</f>
        <v>0</v>
      </c>
      <c r="D22" s="511">
        <v>0</v>
      </c>
      <c r="E22" s="511">
        <v>0</v>
      </c>
      <c r="F22" s="511">
        <v>0</v>
      </c>
      <c r="G22" s="511">
        <v>0</v>
      </c>
      <c r="H22" s="511">
        <v>35</v>
      </c>
      <c r="I22" s="511">
        <f>H22*'BRA CTRs'!G9/('BRA ICTRs'!H18+'BRA ICTRs'!H23)</f>
        <v>0</v>
      </c>
      <c r="J22" s="511">
        <v>0</v>
      </c>
      <c r="K22" s="511">
        <v>0</v>
      </c>
      <c r="L22" s="515"/>
      <c r="M22" s="345"/>
      <c r="N22" s="345"/>
      <c r="O22" s="345"/>
      <c r="P22" s="515"/>
      <c r="Q22" s="318"/>
      <c r="R22" s="255"/>
      <c r="S22" s="255"/>
      <c r="T22" s="255"/>
      <c r="U22" s="255"/>
      <c r="V22" s="255"/>
      <c r="W22" s="255"/>
      <c r="X22" s="255"/>
      <c r="Y22" s="255"/>
      <c r="Z22" s="255"/>
    </row>
    <row r="23" spans="1:26" ht="19.5" customHeight="1">
      <c r="A23" s="512" t="s">
        <v>104</v>
      </c>
      <c r="B23" s="513">
        <f aca="true" t="shared" si="2" ref="B23:K23">SUM(B20:B22)</f>
        <v>159</v>
      </c>
      <c r="C23" s="513">
        <f t="shared" si="2"/>
        <v>0</v>
      </c>
      <c r="D23" s="513">
        <f t="shared" si="2"/>
        <v>0</v>
      </c>
      <c r="E23" s="513">
        <f t="shared" si="2"/>
        <v>0</v>
      </c>
      <c r="F23" s="513">
        <f t="shared" si="2"/>
        <v>0</v>
      </c>
      <c r="G23" s="513">
        <f t="shared" si="2"/>
        <v>0</v>
      </c>
      <c r="H23" s="513">
        <f t="shared" si="2"/>
        <v>72</v>
      </c>
      <c r="I23" s="513">
        <f t="shared" si="2"/>
        <v>0</v>
      </c>
      <c r="J23" s="513">
        <f t="shared" si="2"/>
        <v>0</v>
      </c>
      <c r="K23" s="513">
        <f t="shared" si="2"/>
        <v>0</v>
      </c>
      <c r="L23" s="515"/>
      <c r="M23" s="345"/>
      <c r="N23" s="345"/>
      <c r="O23" s="345"/>
      <c r="P23" s="515"/>
      <c r="Q23" s="318"/>
      <c r="R23" s="255"/>
      <c r="S23" s="255"/>
      <c r="T23" s="255"/>
      <c r="U23" s="255"/>
      <c r="V23" s="255"/>
      <c r="W23" s="255"/>
      <c r="X23" s="255"/>
      <c r="Y23" s="255"/>
      <c r="Z23" s="255"/>
    </row>
    <row r="24" spans="1:26" ht="19.5" customHeight="1">
      <c r="A24" s="519"/>
      <c r="B24" s="511"/>
      <c r="C24" s="511"/>
      <c r="D24" s="509"/>
      <c r="E24" s="509"/>
      <c r="F24" s="509"/>
      <c r="G24" s="509"/>
      <c r="H24" s="509"/>
      <c r="I24" s="509"/>
      <c r="J24" s="509"/>
      <c r="K24" s="509"/>
      <c r="L24" s="515"/>
      <c r="M24" s="345"/>
      <c r="N24" s="345"/>
      <c r="O24" s="345"/>
      <c r="P24" s="515"/>
      <c r="Q24" s="318"/>
      <c r="R24" s="255"/>
      <c r="S24" s="255"/>
      <c r="T24" s="255"/>
      <c r="U24" s="255"/>
      <c r="V24" s="255"/>
      <c r="W24" s="255"/>
      <c r="X24" s="255"/>
      <c r="Y24" s="255"/>
      <c r="Z24" s="255"/>
    </row>
    <row r="25" spans="1:26" ht="19.5" customHeight="1">
      <c r="A25" s="512" t="s">
        <v>105</v>
      </c>
      <c r="B25" s="513">
        <f aca="true" t="shared" si="3" ref="B25:K25">B12+B18+B23</f>
        <v>897</v>
      </c>
      <c r="C25" s="513">
        <f t="shared" si="3"/>
        <v>0</v>
      </c>
      <c r="D25" s="513">
        <f t="shared" si="3"/>
        <v>898</v>
      </c>
      <c r="E25" s="513">
        <f t="shared" si="3"/>
        <v>237</v>
      </c>
      <c r="F25" s="513">
        <f t="shared" si="3"/>
        <v>499.4</v>
      </c>
      <c r="G25" s="513">
        <f t="shared" si="3"/>
        <v>600</v>
      </c>
      <c r="H25" s="513">
        <f t="shared" si="3"/>
        <v>72</v>
      </c>
      <c r="I25" s="513">
        <f t="shared" si="3"/>
        <v>0</v>
      </c>
      <c r="J25" s="513">
        <f t="shared" si="3"/>
        <v>0</v>
      </c>
      <c r="K25" s="513">
        <f t="shared" si="3"/>
        <v>306</v>
      </c>
      <c r="L25" s="341"/>
      <c r="M25" s="520"/>
      <c r="N25" s="520"/>
      <c r="O25" s="520"/>
      <c r="P25" s="341"/>
      <c r="Q25" s="318"/>
      <c r="R25" s="255"/>
      <c r="S25" s="255"/>
      <c r="T25" s="255"/>
      <c r="U25" s="255"/>
      <c r="V25" s="255"/>
      <c r="W25" s="255"/>
      <c r="X25" s="255"/>
      <c r="Y25" s="255"/>
      <c r="Z25" s="255"/>
    </row>
    <row r="26" spans="1:26" ht="13.5">
      <c r="A26" s="699" t="s">
        <v>145</v>
      </c>
      <c r="B26" s="700"/>
      <c r="C26" s="700"/>
      <c r="D26" s="700"/>
      <c r="E26" s="700"/>
      <c r="F26" s="700"/>
      <c r="G26" s="700"/>
      <c r="H26" s="700"/>
      <c r="I26" s="700"/>
      <c r="J26" s="700"/>
      <c r="K26" s="700"/>
      <c r="L26" s="521"/>
      <c r="M26" s="337"/>
      <c r="N26" s="318"/>
      <c r="O26" s="318"/>
      <c r="P26" s="318"/>
      <c r="Q26" s="318"/>
      <c r="R26" s="318"/>
      <c r="S26" s="318"/>
      <c r="T26" s="318"/>
      <c r="U26" s="318"/>
      <c r="V26" s="318"/>
      <c r="W26" s="318"/>
      <c r="X26" s="318"/>
      <c r="Y26" s="318"/>
      <c r="Z26" s="318"/>
    </row>
    <row r="27" spans="1:26" ht="13.5">
      <c r="A27" s="336"/>
      <c r="B27" s="522"/>
      <c r="C27" s="522"/>
      <c r="D27" s="340"/>
      <c r="E27" s="521"/>
      <c r="F27" s="521"/>
      <c r="G27" s="521"/>
      <c r="H27" s="521"/>
      <c r="I27" s="337"/>
      <c r="J27" s="521"/>
      <c r="K27" s="521"/>
      <c r="L27" s="521"/>
      <c r="M27" s="337"/>
      <c r="N27" s="318"/>
      <c r="O27" s="318"/>
      <c r="P27" s="318"/>
      <c r="Q27" s="318"/>
      <c r="R27" s="318"/>
      <c r="S27" s="318"/>
      <c r="T27" s="318"/>
      <c r="U27" s="318"/>
      <c r="V27" s="318"/>
      <c r="W27" s="318"/>
      <c r="X27" s="318"/>
      <c r="Y27" s="318"/>
      <c r="Z27" s="318"/>
    </row>
    <row r="28" spans="1:26" ht="13.5">
      <c r="A28" s="275"/>
      <c r="B28" s="522"/>
      <c r="C28" s="522"/>
      <c r="D28" s="340"/>
      <c r="E28" s="521"/>
      <c r="F28" s="521"/>
      <c r="G28" s="521"/>
      <c r="H28" s="521"/>
      <c r="I28" s="337"/>
      <c r="J28" s="521"/>
      <c r="K28" s="521"/>
      <c r="L28" s="521"/>
      <c r="M28" s="337"/>
      <c r="N28" s="318"/>
      <c r="O28" s="318"/>
      <c r="P28" s="318"/>
      <c r="Q28" s="318"/>
      <c r="R28" s="318"/>
      <c r="S28" s="318"/>
      <c r="T28" s="318"/>
      <c r="U28" s="318"/>
      <c r="V28" s="318"/>
      <c r="W28" s="318"/>
      <c r="X28" s="318"/>
      <c r="Y28" s="318"/>
      <c r="Z28" s="318"/>
    </row>
    <row r="29" spans="1:26" ht="30" customHeight="1">
      <c r="A29" s="523" t="s">
        <v>133</v>
      </c>
      <c r="B29" s="524" t="s">
        <v>24</v>
      </c>
      <c r="C29" s="524" t="s">
        <v>24</v>
      </c>
      <c r="D29" s="411"/>
      <c r="E29" s="521"/>
      <c r="F29" s="521"/>
      <c r="G29" s="521"/>
      <c r="H29" s="521"/>
      <c r="I29" s="337"/>
      <c r="J29" s="521"/>
      <c r="K29" s="521"/>
      <c r="L29" s="521"/>
      <c r="M29" s="337"/>
      <c r="N29" s="255"/>
      <c r="O29" s="255"/>
      <c r="P29" s="255"/>
      <c r="Q29" s="255"/>
      <c r="R29" s="255"/>
      <c r="S29" s="255"/>
      <c r="T29" s="255"/>
      <c r="U29" s="255"/>
      <c r="V29" s="255"/>
      <c r="W29" s="255"/>
      <c r="X29" s="255"/>
      <c r="Y29" s="255"/>
      <c r="Z29" s="255"/>
    </row>
    <row r="30" spans="1:26" ht="64.5" customHeight="1">
      <c r="A30" s="461" t="s">
        <v>71</v>
      </c>
      <c r="B30" s="373" t="s">
        <v>130</v>
      </c>
      <c r="C30" s="525" t="s">
        <v>134</v>
      </c>
      <c r="D30" s="525" t="s">
        <v>135</v>
      </c>
      <c r="E30" s="525" t="s">
        <v>136</v>
      </c>
      <c r="F30" s="525" t="s">
        <v>187</v>
      </c>
      <c r="G30" s="526"/>
      <c r="H30" s="527"/>
      <c r="I30" s="528"/>
      <c r="J30" s="528"/>
      <c r="K30" s="528"/>
      <c r="L30" s="528"/>
      <c r="M30" s="528"/>
      <c r="N30" s="255"/>
      <c r="O30" s="255"/>
      <c r="P30" s="255"/>
      <c r="Q30" s="255"/>
      <c r="R30" s="255"/>
      <c r="S30" s="255"/>
      <c r="T30" s="255"/>
      <c r="U30" s="255"/>
      <c r="V30" s="255"/>
      <c r="W30" s="255"/>
      <c r="X30" s="255"/>
      <c r="Y30" s="255"/>
      <c r="Z30" s="255"/>
    </row>
    <row r="31" spans="1:26" ht="13.5">
      <c r="A31" s="327" t="s">
        <v>16</v>
      </c>
      <c r="B31" s="529">
        <v>0.0153</v>
      </c>
      <c r="C31" s="530">
        <v>0.0896</v>
      </c>
      <c r="D31" s="530">
        <v>0.0021</v>
      </c>
      <c r="E31" s="530">
        <v>0</v>
      </c>
      <c r="F31" s="530">
        <v>0</v>
      </c>
      <c r="G31" s="531"/>
      <c r="H31" s="532"/>
      <c r="I31" s="532"/>
      <c r="J31" s="532"/>
      <c r="K31" s="532"/>
      <c r="L31" s="532"/>
      <c r="M31" s="532"/>
      <c r="N31" s="255"/>
      <c r="O31" s="255"/>
      <c r="P31" s="255"/>
      <c r="Q31" s="255"/>
      <c r="R31" s="255"/>
      <c r="S31" s="255"/>
      <c r="T31" s="255"/>
      <c r="U31" s="255"/>
      <c r="V31" s="255"/>
      <c r="W31" s="255"/>
      <c r="X31" s="255"/>
      <c r="Y31" s="255"/>
      <c r="Z31" s="255"/>
    </row>
    <row r="32" spans="1:26" ht="13.5">
      <c r="A32" s="327" t="s">
        <v>31</v>
      </c>
      <c r="B32" s="529">
        <v>0.1532</v>
      </c>
      <c r="C32" s="530">
        <v>0</v>
      </c>
      <c r="D32" s="530">
        <v>0</v>
      </c>
      <c r="E32" s="530">
        <v>0</v>
      </c>
      <c r="F32" s="530">
        <v>0</v>
      </c>
      <c r="G32" s="531"/>
      <c r="H32" s="532"/>
      <c r="I32" s="532"/>
      <c r="J32" s="532"/>
      <c r="K32" s="532"/>
      <c r="L32" s="532"/>
      <c r="M32" s="532"/>
      <c r="N32" s="255"/>
      <c r="O32" s="255"/>
      <c r="P32" s="255"/>
      <c r="Q32" s="255"/>
      <c r="R32" s="255"/>
      <c r="S32" s="255"/>
      <c r="T32" s="255"/>
      <c r="U32" s="255"/>
      <c r="V32" s="255"/>
      <c r="W32" s="255"/>
      <c r="X32" s="255"/>
      <c r="Y32" s="255"/>
      <c r="Z32" s="255"/>
    </row>
    <row r="33" spans="1:26" ht="13.5">
      <c r="A33" s="327" t="s">
        <v>19</v>
      </c>
      <c r="B33" s="529">
        <v>0.0587</v>
      </c>
      <c r="C33" s="530">
        <v>0</v>
      </c>
      <c r="D33" s="530">
        <v>0</v>
      </c>
      <c r="E33" s="530">
        <v>0</v>
      </c>
      <c r="F33" s="530">
        <v>0.0442</v>
      </c>
      <c r="G33" s="531"/>
      <c r="H33" s="532"/>
      <c r="I33" s="532"/>
      <c r="J33" s="532"/>
      <c r="K33" s="532"/>
      <c r="L33" s="532"/>
      <c r="M33" s="532"/>
      <c r="N33" s="255"/>
      <c r="O33" s="255"/>
      <c r="P33" s="255"/>
      <c r="Q33" s="255"/>
      <c r="R33" s="255"/>
      <c r="S33" s="255"/>
      <c r="T33" s="255"/>
      <c r="U33" s="255"/>
      <c r="V33" s="255"/>
      <c r="W33" s="255"/>
      <c r="X33" s="255"/>
      <c r="Y33" s="255"/>
      <c r="Z33" s="255"/>
    </row>
    <row r="34" spans="1:26" ht="13.5">
      <c r="A34" s="327" t="s">
        <v>49</v>
      </c>
      <c r="B34" s="529">
        <v>0.0776</v>
      </c>
      <c r="C34" s="530">
        <v>0</v>
      </c>
      <c r="D34" s="530">
        <v>0</v>
      </c>
      <c r="E34" s="530">
        <v>0</v>
      </c>
      <c r="F34" s="530">
        <v>0</v>
      </c>
      <c r="G34" s="531"/>
      <c r="H34" s="532"/>
      <c r="I34" s="532"/>
      <c r="J34" s="532"/>
      <c r="K34" s="532"/>
      <c r="L34" s="532"/>
      <c r="M34" s="532"/>
      <c r="N34" s="318"/>
      <c r="O34" s="318"/>
      <c r="P34" s="318"/>
      <c r="Q34" s="318"/>
      <c r="R34" s="318"/>
      <c r="S34" s="318"/>
      <c r="T34" s="318"/>
      <c r="U34" s="318"/>
      <c r="V34" s="318"/>
      <c r="W34" s="318"/>
      <c r="X34" s="318"/>
      <c r="Y34" s="318"/>
      <c r="Z34" s="318"/>
    </row>
    <row r="35" spans="1:26" ht="13.5">
      <c r="A35" s="327" t="s">
        <v>11</v>
      </c>
      <c r="B35" s="529">
        <v>0.0418</v>
      </c>
      <c r="C35" s="530">
        <v>0</v>
      </c>
      <c r="D35" s="530">
        <v>0.0088</v>
      </c>
      <c r="E35" s="530">
        <v>0</v>
      </c>
      <c r="F35" s="530">
        <v>0.6695</v>
      </c>
      <c r="G35" s="531"/>
      <c r="H35" s="532"/>
      <c r="I35" s="532"/>
      <c r="J35" s="532"/>
      <c r="K35" s="532"/>
      <c r="L35" s="532"/>
      <c r="M35" s="532"/>
      <c r="N35" s="318"/>
      <c r="O35" s="318"/>
      <c r="P35" s="318"/>
      <c r="Q35" s="318"/>
      <c r="R35" s="318"/>
      <c r="S35" s="318"/>
      <c r="T35" s="318"/>
      <c r="U35" s="318"/>
      <c r="V35" s="318"/>
      <c r="W35" s="318"/>
      <c r="X35" s="318"/>
      <c r="Y35" s="318"/>
      <c r="Z35" s="318"/>
    </row>
    <row r="36" spans="1:26" ht="13.5">
      <c r="A36" s="327" t="s">
        <v>20</v>
      </c>
      <c r="B36" s="529">
        <v>0.1238</v>
      </c>
      <c r="C36" s="530">
        <v>0</v>
      </c>
      <c r="D36" s="530">
        <v>0.0211</v>
      </c>
      <c r="E36" s="530">
        <v>0</v>
      </c>
      <c r="F36" s="530">
        <v>0.0412</v>
      </c>
      <c r="G36" s="531"/>
      <c r="H36" s="532"/>
      <c r="I36" s="532"/>
      <c r="J36" s="532"/>
      <c r="K36" s="532"/>
      <c r="L36" s="532"/>
      <c r="M36" s="532"/>
      <c r="N36" s="318"/>
      <c r="O36" s="318"/>
      <c r="P36" s="318"/>
      <c r="Q36" s="318"/>
      <c r="R36" s="318"/>
      <c r="S36" s="318"/>
      <c r="T36" s="318"/>
      <c r="U36" s="318"/>
      <c r="V36" s="318"/>
      <c r="W36" s="318"/>
      <c r="X36" s="318"/>
      <c r="Y36" s="318"/>
      <c r="Z36" s="318"/>
    </row>
    <row r="37" spans="1:26" ht="13.5">
      <c r="A37" s="327" t="s">
        <v>21</v>
      </c>
      <c r="B37" s="529">
        <v>0.0201</v>
      </c>
      <c r="C37" s="530">
        <v>0</v>
      </c>
      <c r="D37" s="530">
        <v>0.0012</v>
      </c>
      <c r="E37" s="530">
        <v>0</v>
      </c>
      <c r="F37" s="530">
        <v>0.0049</v>
      </c>
      <c r="G37" s="531"/>
      <c r="H37" s="532"/>
      <c r="I37" s="532"/>
      <c r="J37" s="532"/>
      <c r="K37" s="532"/>
      <c r="L37" s="532"/>
      <c r="M37" s="532"/>
      <c r="N37" s="255"/>
      <c r="O37" s="255"/>
      <c r="P37" s="255"/>
      <c r="Q37" s="255"/>
      <c r="R37" s="255"/>
      <c r="S37" s="255"/>
      <c r="T37" s="255"/>
      <c r="U37" s="255"/>
      <c r="V37" s="255"/>
      <c r="W37" s="255"/>
      <c r="X37" s="255"/>
      <c r="Y37" s="255"/>
      <c r="Z37" s="255"/>
    </row>
    <row r="38" spans="1:26" ht="13.5">
      <c r="A38" s="327" t="s">
        <v>63</v>
      </c>
      <c r="B38" s="529">
        <v>0.0321</v>
      </c>
      <c r="C38" s="530">
        <v>0</v>
      </c>
      <c r="D38" s="530">
        <v>0</v>
      </c>
      <c r="E38" s="530">
        <v>0</v>
      </c>
      <c r="F38" s="530">
        <v>0</v>
      </c>
      <c r="G38" s="531"/>
      <c r="H38" s="532"/>
      <c r="I38" s="532"/>
      <c r="J38" s="532"/>
      <c r="K38" s="532"/>
      <c r="L38" s="532"/>
      <c r="M38" s="532"/>
      <c r="N38" s="255"/>
      <c r="O38" s="255"/>
      <c r="P38" s="255"/>
      <c r="Q38" s="255"/>
      <c r="R38" s="255"/>
      <c r="S38" s="255"/>
      <c r="T38" s="255"/>
      <c r="U38" s="255"/>
      <c r="V38" s="255"/>
      <c r="W38" s="255"/>
      <c r="X38" s="255"/>
      <c r="Y38" s="255"/>
      <c r="Z38" s="255"/>
    </row>
    <row r="39" spans="1:26" ht="13.5">
      <c r="A39" s="327" t="s">
        <v>48</v>
      </c>
      <c r="B39" s="529">
        <v>0.0169</v>
      </c>
      <c r="C39" s="530">
        <v>0</v>
      </c>
      <c r="D39" s="530">
        <v>0</v>
      </c>
      <c r="E39" s="530">
        <v>0</v>
      </c>
      <c r="F39" s="530">
        <v>0</v>
      </c>
      <c r="G39" s="531"/>
      <c r="H39" s="532"/>
      <c r="I39" s="532"/>
      <c r="J39" s="532"/>
      <c r="K39" s="532"/>
      <c r="L39" s="532"/>
      <c r="M39" s="532"/>
      <c r="N39" s="255"/>
      <c r="O39" s="255"/>
      <c r="P39" s="255"/>
      <c r="Q39" s="255"/>
      <c r="R39" s="255"/>
      <c r="S39" s="255"/>
      <c r="T39" s="255"/>
      <c r="U39" s="255"/>
      <c r="V39" s="255"/>
      <c r="W39" s="255"/>
      <c r="X39" s="255"/>
      <c r="Y39" s="255"/>
      <c r="Z39" s="255"/>
    </row>
    <row r="40" spans="1:26" ht="13.5">
      <c r="A40" s="327" t="s">
        <v>32</v>
      </c>
      <c r="B40" s="529">
        <v>0.1242</v>
      </c>
      <c r="C40" s="530">
        <v>0</v>
      </c>
      <c r="D40" s="530">
        <v>0</v>
      </c>
      <c r="E40" s="530">
        <v>0</v>
      </c>
      <c r="F40" s="530">
        <v>0.1876</v>
      </c>
      <c r="G40" s="531"/>
      <c r="H40" s="532"/>
      <c r="I40" s="532"/>
      <c r="J40" s="532"/>
      <c r="K40" s="532"/>
      <c r="L40" s="532"/>
      <c r="M40" s="532"/>
      <c r="N40" s="255"/>
      <c r="O40" s="255"/>
      <c r="P40" s="255"/>
      <c r="Q40" s="255"/>
      <c r="R40" s="255"/>
      <c r="S40" s="255"/>
      <c r="T40" s="255"/>
      <c r="U40" s="255"/>
      <c r="V40" s="255"/>
      <c r="W40" s="255"/>
      <c r="X40" s="255"/>
      <c r="Y40" s="255"/>
      <c r="Z40" s="255"/>
    </row>
    <row r="41" spans="1:26" ht="13.5">
      <c r="A41" s="327" t="s">
        <v>17</v>
      </c>
      <c r="B41" s="529">
        <v>0.0243</v>
      </c>
      <c r="C41" s="530">
        <v>0.1677</v>
      </c>
      <c r="D41" s="530">
        <v>0</v>
      </c>
      <c r="E41" s="530">
        <v>0</v>
      </c>
      <c r="F41" s="530">
        <v>0</v>
      </c>
      <c r="G41" s="531"/>
      <c r="H41" s="532"/>
      <c r="I41" s="532"/>
      <c r="J41" s="532"/>
      <c r="K41" s="532"/>
      <c r="L41" s="532"/>
      <c r="M41" s="532"/>
      <c r="N41" s="255"/>
      <c r="O41" s="255"/>
      <c r="P41" s="255"/>
      <c r="Q41" s="255"/>
      <c r="R41" s="255"/>
      <c r="S41" s="255"/>
      <c r="T41" s="255"/>
      <c r="U41" s="255"/>
      <c r="V41" s="255"/>
      <c r="W41" s="255"/>
      <c r="X41" s="255"/>
      <c r="Y41" s="255"/>
      <c r="Z41" s="255"/>
    </row>
    <row r="42" spans="1:26" ht="13.5">
      <c r="A42" s="327" t="s">
        <v>160</v>
      </c>
      <c r="B42" s="529">
        <v>0.0215</v>
      </c>
      <c r="C42" s="530">
        <v>0</v>
      </c>
      <c r="D42" s="530">
        <v>0</v>
      </c>
      <c r="E42" s="530">
        <v>0</v>
      </c>
      <c r="F42" s="530">
        <v>0</v>
      </c>
      <c r="G42" s="531"/>
      <c r="H42" s="532"/>
      <c r="I42" s="532"/>
      <c r="J42" s="532"/>
      <c r="K42" s="532"/>
      <c r="L42" s="532"/>
      <c r="M42" s="532"/>
      <c r="N42" s="255"/>
      <c r="O42" s="255"/>
      <c r="P42" s="255"/>
      <c r="Q42" s="255"/>
      <c r="R42" s="255"/>
      <c r="S42" s="255"/>
      <c r="T42" s="255"/>
      <c r="U42" s="255"/>
      <c r="V42" s="255"/>
      <c r="W42" s="255"/>
      <c r="X42" s="255"/>
      <c r="Y42" s="255"/>
      <c r="Z42" s="255"/>
    </row>
    <row r="43" spans="1:26" ht="13.5">
      <c r="A43" s="327" t="s">
        <v>12</v>
      </c>
      <c r="B43" s="529">
        <v>0.0354</v>
      </c>
      <c r="C43" s="530">
        <v>0.0959</v>
      </c>
      <c r="D43" s="530">
        <v>0.0106</v>
      </c>
      <c r="E43" s="530">
        <v>0.1282</v>
      </c>
      <c r="F43" s="530">
        <v>0</v>
      </c>
      <c r="G43" s="531"/>
      <c r="H43" s="532"/>
      <c r="I43" s="532"/>
      <c r="J43" s="532"/>
      <c r="K43" s="532"/>
      <c r="L43" s="532"/>
      <c r="M43" s="532"/>
      <c r="N43" s="255"/>
      <c r="O43" s="255"/>
      <c r="P43" s="255"/>
      <c r="Q43" s="255"/>
      <c r="R43" s="255"/>
      <c r="S43" s="255"/>
      <c r="T43" s="255"/>
      <c r="U43" s="255"/>
      <c r="V43" s="255"/>
      <c r="W43" s="255"/>
      <c r="X43" s="255"/>
      <c r="Y43" s="255"/>
      <c r="Z43" s="255"/>
    </row>
    <row r="44" spans="1:26" ht="13.5">
      <c r="A44" s="327" t="s">
        <v>13</v>
      </c>
      <c r="B44" s="529">
        <v>0.0177</v>
      </c>
      <c r="C44" s="530">
        <v>0.0147</v>
      </c>
      <c r="D44" s="530">
        <v>0</v>
      </c>
      <c r="E44" s="530">
        <v>0</v>
      </c>
      <c r="F44" s="530">
        <v>0</v>
      </c>
      <c r="G44" s="531"/>
      <c r="H44" s="532"/>
      <c r="I44" s="532"/>
      <c r="J44" s="532"/>
      <c r="K44" s="532"/>
      <c r="L44" s="532"/>
      <c r="M44" s="532"/>
      <c r="N44" s="255"/>
      <c r="O44" s="255"/>
      <c r="P44" s="255"/>
      <c r="Q44" s="255"/>
      <c r="R44" s="255"/>
      <c r="S44" s="255"/>
      <c r="T44" s="255"/>
      <c r="U44" s="255"/>
      <c r="V44" s="255"/>
      <c r="W44" s="255"/>
      <c r="X44" s="255"/>
      <c r="Y44" s="255"/>
      <c r="Z44" s="255"/>
    </row>
    <row r="45" spans="1:26" ht="13.5">
      <c r="A45" s="327" t="s">
        <v>9</v>
      </c>
      <c r="B45" s="529">
        <v>0.0518</v>
      </c>
      <c r="C45" s="530">
        <v>0.3064</v>
      </c>
      <c r="D45" s="530">
        <v>0</v>
      </c>
      <c r="E45" s="530">
        <v>0.5108</v>
      </c>
      <c r="F45" s="530">
        <v>0</v>
      </c>
      <c r="G45" s="531"/>
      <c r="H45" s="532"/>
      <c r="I45" s="532"/>
      <c r="J45" s="532"/>
      <c r="K45" s="532"/>
      <c r="L45" s="532"/>
      <c r="M45" s="532"/>
      <c r="N45" s="255"/>
      <c r="O45" s="255"/>
      <c r="P45" s="255"/>
      <c r="Q45" s="255"/>
      <c r="R45" s="255"/>
      <c r="S45" s="255"/>
      <c r="T45" s="255"/>
      <c r="U45" s="255"/>
      <c r="V45" s="255"/>
      <c r="W45" s="255"/>
      <c r="X45" s="255"/>
      <c r="Y45" s="255"/>
      <c r="Z45" s="255"/>
    </row>
    <row r="46" spans="1:26" ht="13.5">
      <c r="A46" s="327" t="s">
        <v>14</v>
      </c>
      <c r="B46" s="529">
        <v>0.0192</v>
      </c>
      <c r="C46" s="530">
        <v>0</v>
      </c>
      <c r="D46" s="530">
        <v>0.027</v>
      </c>
      <c r="E46" s="530">
        <v>0</v>
      </c>
      <c r="F46" s="530">
        <v>0.0005</v>
      </c>
      <c r="G46" s="531"/>
      <c r="H46" s="532"/>
      <c r="I46" s="532"/>
      <c r="J46" s="532"/>
      <c r="K46" s="532"/>
      <c r="L46" s="532"/>
      <c r="M46" s="532"/>
      <c r="N46" s="255"/>
      <c r="O46" s="255"/>
      <c r="P46" s="255"/>
      <c r="Q46" s="255"/>
      <c r="R46" s="255"/>
      <c r="S46" s="255"/>
      <c r="T46" s="255"/>
      <c r="U46" s="255"/>
      <c r="V46" s="255"/>
      <c r="W46" s="255"/>
      <c r="X46" s="255"/>
      <c r="Y46" s="255"/>
      <c r="Z46" s="255"/>
    </row>
    <row r="47" spans="1:26" ht="13.5">
      <c r="A47" s="327" t="s">
        <v>15</v>
      </c>
      <c r="B47" s="529">
        <v>0.0398</v>
      </c>
      <c r="C47" s="530">
        <v>0</v>
      </c>
      <c r="D47" s="530">
        <v>0.0095</v>
      </c>
      <c r="E47" s="530">
        <v>0.0057</v>
      </c>
      <c r="F47" s="530">
        <v>0.0521</v>
      </c>
      <c r="G47" s="531"/>
      <c r="H47" s="532"/>
      <c r="I47" s="532"/>
      <c r="J47" s="532"/>
      <c r="K47" s="532"/>
      <c r="L47" s="532"/>
      <c r="M47" s="532"/>
      <c r="N47" s="255"/>
      <c r="O47" s="255"/>
      <c r="P47" s="255"/>
      <c r="Q47" s="255"/>
      <c r="R47" s="255"/>
      <c r="S47" s="255"/>
      <c r="T47" s="255"/>
      <c r="U47" s="255"/>
      <c r="V47" s="255"/>
      <c r="W47" s="255"/>
      <c r="X47" s="255"/>
      <c r="Y47" s="255"/>
      <c r="Z47" s="255"/>
    </row>
    <row r="48" spans="1:26" ht="13.5">
      <c r="A48" s="327" t="s">
        <v>10</v>
      </c>
      <c r="B48" s="529">
        <v>0.0505</v>
      </c>
      <c r="C48" s="530">
        <v>0.1633</v>
      </c>
      <c r="D48" s="530">
        <v>0</v>
      </c>
      <c r="E48" s="530">
        <v>0</v>
      </c>
      <c r="F48" s="530">
        <v>0</v>
      </c>
      <c r="G48" s="531"/>
      <c r="H48" s="532"/>
      <c r="I48" s="532"/>
      <c r="J48" s="532"/>
      <c r="K48" s="532"/>
      <c r="L48" s="532"/>
      <c r="M48" s="532"/>
      <c r="N48" s="255"/>
      <c r="O48" s="255"/>
      <c r="P48" s="255"/>
      <c r="Q48" s="255"/>
      <c r="R48" s="255"/>
      <c r="S48" s="255"/>
      <c r="T48" s="255"/>
      <c r="U48" s="255"/>
      <c r="V48" s="255"/>
      <c r="W48" s="255"/>
      <c r="X48" s="255"/>
      <c r="Y48" s="255"/>
      <c r="Z48" s="255"/>
    </row>
    <row r="49" spans="1:26" ht="13.5">
      <c r="A49" s="327" t="s">
        <v>8</v>
      </c>
      <c r="B49" s="529">
        <v>0.0597</v>
      </c>
      <c r="C49" s="530">
        <v>0.14</v>
      </c>
      <c r="D49" s="530">
        <v>0.6381</v>
      </c>
      <c r="E49" s="530">
        <v>0.3146</v>
      </c>
      <c r="F49" s="530">
        <v>0</v>
      </c>
      <c r="G49" s="531"/>
      <c r="H49" s="532"/>
      <c r="I49" s="532"/>
      <c r="J49" s="532"/>
      <c r="K49" s="532"/>
      <c r="L49" s="532"/>
      <c r="M49" s="532"/>
      <c r="N49" s="255"/>
      <c r="O49" s="255"/>
      <c r="P49" s="255"/>
      <c r="Q49" s="255"/>
      <c r="R49" s="255"/>
      <c r="S49" s="255"/>
      <c r="T49" s="255"/>
      <c r="U49" s="255"/>
      <c r="V49" s="255"/>
      <c r="W49" s="255"/>
      <c r="X49" s="255"/>
      <c r="Y49" s="255"/>
      <c r="Z49" s="255"/>
    </row>
    <row r="50" spans="1:26" ht="13.5">
      <c r="A50" s="327" t="s">
        <v>18</v>
      </c>
      <c r="B50" s="529">
        <v>0.0025</v>
      </c>
      <c r="C50" s="530">
        <v>0.0052</v>
      </c>
      <c r="D50" s="530">
        <v>0.0253</v>
      </c>
      <c r="E50" s="530">
        <v>0.0125</v>
      </c>
      <c r="F50" s="530">
        <v>0</v>
      </c>
      <c r="G50" s="531"/>
      <c r="H50" s="532"/>
      <c r="I50" s="532"/>
      <c r="J50" s="532"/>
      <c r="K50" s="532"/>
      <c r="L50" s="532"/>
      <c r="M50" s="532"/>
      <c r="N50" s="255"/>
      <c r="O50" s="255"/>
      <c r="P50" s="255"/>
      <c r="Q50" s="255"/>
      <c r="R50" s="255"/>
      <c r="S50" s="255"/>
      <c r="T50" s="255"/>
      <c r="U50" s="255"/>
      <c r="V50" s="255"/>
      <c r="W50" s="255"/>
      <c r="X50" s="255"/>
      <c r="Y50" s="255"/>
      <c r="Z50" s="255"/>
    </row>
    <row r="51" spans="1:26" ht="13.5">
      <c r="A51" s="327" t="s">
        <v>146</v>
      </c>
      <c r="B51" s="529">
        <v>0.0057</v>
      </c>
      <c r="C51" s="530">
        <v>0.0049</v>
      </c>
      <c r="D51" s="530">
        <v>0.0905</v>
      </c>
      <c r="E51" s="530">
        <v>0</v>
      </c>
      <c r="F51" s="530">
        <v>0</v>
      </c>
      <c r="G51" s="531"/>
      <c r="H51" s="532"/>
      <c r="I51" s="532"/>
      <c r="J51" s="532"/>
      <c r="K51" s="532"/>
      <c r="L51" s="532"/>
      <c r="M51" s="532"/>
      <c r="N51" s="318"/>
      <c r="O51" s="318"/>
      <c r="P51" s="318"/>
      <c r="Q51" s="318"/>
      <c r="R51" s="318"/>
      <c r="S51" s="318"/>
      <c r="T51" s="318"/>
      <c r="U51" s="318"/>
      <c r="V51" s="318"/>
      <c r="W51" s="318"/>
      <c r="X51" s="318"/>
      <c r="Y51" s="318"/>
      <c r="Z51" s="318"/>
    </row>
    <row r="52" spans="1:26" ht="13.5">
      <c r="A52" s="327" t="s">
        <v>147</v>
      </c>
      <c r="B52" s="529">
        <v>0.0042</v>
      </c>
      <c r="C52" s="530">
        <v>0.0094</v>
      </c>
      <c r="D52" s="530">
        <v>0.0006</v>
      </c>
      <c r="E52" s="530">
        <v>0.0118</v>
      </c>
      <c r="F52" s="530">
        <v>0</v>
      </c>
      <c r="G52" s="531"/>
      <c r="H52" s="532"/>
      <c r="I52" s="532"/>
      <c r="J52" s="532"/>
      <c r="K52" s="532"/>
      <c r="L52" s="532"/>
      <c r="M52" s="532"/>
      <c r="N52" s="255"/>
      <c r="O52" s="255"/>
      <c r="P52" s="255"/>
      <c r="Q52" s="255"/>
      <c r="R52" s="255"/>
      <c r="S52" s="255"/>
      <c r="T52" s="255"/>
      <c r="U52" s="255"/>
      <c r="V52" s="255"/>
      <c r="W52" s="255"/>
      <c r="X52" s="255"/>
      <c r="Y52" s="255"/>
      <c r="Z52" s="255"/>
    </row>
    <row r="53" spans="1:26" ht="13.5">
      <c r="A53" s="327" t="s">
        <v>127</v>
      </c>
      <c r="B53" s="529">
        <v>0.002</v>
      </c>
      <c r="C53" s="530">
        <v>0.0029</v>
      </c>
      <c r="D53" s="530">
        <v>0.0192</v>
      </c>
      <c r="E53" s="530">
        <v>0.0085</v>
      </c>
      <c r="F53" s="530">
        <v>0</v>
      </c>
      <c r="G53" s="531"/>
      <c r="H53" s="532"/>
      <c r="I53" s="532"/>
      <c r="J53" s="532"/>
      <c r="K53" s="532"/>
      <c r="L53" s="532"/>
      <c r="M53" s="532"/>
      <c r="N53" s="255"/>
      <c r="O53" s="255"/>
      <c r="P53" s="255"/>
      <c r="Q53" s="255"/>
      <c r="R53" s="255"/>
      <c r="S53" s="255"/>
      <c r="T53" s="255"/>
      <c r="U53" s="255"/>
      <c r="V53" s="255"/>
      <c r="W53" s="255"/>
      <c r="X53" s="255"/>
      <c r="Y53" s="255"/>
      <c r="Z53" s="255"/>
    </row>
    <row r="54" spans="1:26" ht="13.5">
      <c r="A54" s="327" t="s">
        <v>128</v>
      </c>
      <c r="B54" s="529">
        <v>0.002</v>
      </c>
      <c r="C54" s="530">
        <v>0</v>
      </c>
      <c r="D54" s="530">
        <v>0.146</v>
      </c>
      <c r="E54" s="530">
        <v>0.0079</v>
      </c>
      <c r="F54" s="530">
        <v>0</v>
      </c>
      <c r="G54" s="531"/>
      <c r="H54" s="532"/>
      <c r="I54" s="532"/>
      <c r="J54" s="532"/>
      <c r="K54" s="532"/>
      <c r="L54" s="532"/>
      <c r="M54" s="532"/>
      <c r="N54" s="255"/>
      <c r="O54" s="255"/>
      <c r="P54" s="255"/>
      <c r="Q54" s="255"/>
      <c r="R54" s="255"/>
      <c r="S54" s="255"/>
      <c r="T54" s="255"/>
      <c r="U54" s="255"/>
      <c r="V54" s="255"/>
      <c r="W54" s="255"/>
      <c r="X54" s="255"/>
      <c r="Y54" s="255"/>
      <c r="Z54" s="255"/>
    </row>
    <row r="55" spans="1:26" ht="13.5">
      <c r="A55" s="471"/>
      <c r="B55" s="533">
        <f>SUM(B31:B54)</f>
        <v>0.9999999999999999</v>
      </c>
      <c r="C55" s="533">
        <f>SUM(C31:C54)</f>
        <v>0.9999999999999999</v>
      </c>
      <c r="D55" s="533">
        <f>SUM(D31:D54)</f>
        <v>1</v>
      </c>
      <c r="E55" s="533">
        <f>SUM(E31:E54)</f>
        <v>1</v>
      </c>
      <c r="F55" s="533">
        <f>SUM(F31:F54)</f>
        <v>1</v>
      </c>
      <c r="G55" s="534"/>
      <c r="H55" s="535"/>
      <c r="I55" s="535"/>
      <c r="J55" s="535"/>
      <c r="K55" s="535"/>
      <c r="L55" s="535"/>
      <c r="M55" s="535"/>
      <c r="N55" s="255"/>
      <c r="O55" s="255"/>
      <c r="P55" s="255"/>
      <c r="Q55" s="255"/>
      <c r="R55" s="255"/>
      <c r="S55" s="255"/>
      <c r="T55" s="255"/>
      <c r="U55" s="255"/>
      <c r="V55" s="255"/>
      <c r="W55" s="255"/>
      <c r="X55" s="255"/>
      <c r="Y55" s="255"/>
      <c r="Z55" s="255"/>
    </row>
    <row r="56" spans="1:26" ht="42" customHeight="1">
      <c r="A56" s="701" t="s">
        <v>319</v>
      </c>
      <c r="B56" s="702"/>
      <c r="C56" s="702"/>
      <c r="D56" s="702"/>
      <c r="E56" s="702"/>
      <c r="F56" s="702"/>
      <c r="G56" s="536"/>
      <c r="H56" s="255"/>
      <c r="I56" s="255"/>
      <c r="J56" s="255"/>
      <c r="K56" s="255"/>
      <c r="L56" s="255"/>
      <c r="M56" s="255"/>
      <c r="N56" s="255"/>
      <c r="O56" s="255"/>
      <c r="P56" s="255"/>
      <c r="Q56" s="255"/>
      <c r="R56" s="255"/>
      <c r="S56" s="255"/>
      <c r="T56" s="255"/>
      <c r="U56" s="255"/>
      <c r="V56" s="255"/>
      <c r="W56" s="255"/>
      <c r="X56" s="255"/>
      <c r="Y56" s="255"/>
      <c r="Z56" s="255"/>
    </row>
    <row r="57" spans="1:26" ht="14.25" thickBot="1">
      <c r="A57" s="336"/>
      <c r="B57" s="537"/>
      <c r="C57" s="537"/>
      <c r="D57" s="537"/>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4.25" thickBot="1">
      <c r="A58" s="703" t="s">
        <v>229</v>
      </c>
      <c r="B58" s="522"/>
      <c r="C58" s="522"/>
      <c r="D58" s="340"/>
      <c r="E58" s="255"/>
      <c r="F58" s="439" t="s">
        <v>24</v>
      </c>
      <c r="G58" s="255"/>
      <c r="H58" s="255"/>
      <c r="I58" s="255"/>
      <c r="J58" s="255"/>
      <c r="K58" s="255"/>
      <c r="L58" s="255"/>
      <c r="M58" s="255"/>
      <c r="N58" s="255"/>
      <c r="O58" s="255"/>
      <c r="P58" s="255"/>
      <c r="Q58" s="255"/>
      <c r="R58" s="255"/>
      <c r="S58" s="255"/>
      <c r="T58" s="255"/>
      <c r="U58" s="255"/>
      <c r="V58" s="255"/>
      <c r="W58" s="255"/>
      <c r="X58" s="255"/>
      <c r="Y58" s="255"/>
      <c r="Z58" s="255"/>
    </row>
    <row r="59" spans="1:26" ht="14.25" thickBot="1">
      <c r="A59" s="704"/>
      <c r="B59" s="706" t="s">
        <v>29</v>
      </c>
      <c r="C59" s="707"/>
      <c r="D59" s="707"/>
      <c r="E59" s="708"/>
      <c r="F59" s="709" t="s">
        <v>39</v>
      </c>
      <c r="G59" s="710"/>
      <c r="H59" s="706" t="s">
        <v>5</v>
      </c>
      <c r="I59" s="708"/>
      <c r="J59" s="706" t="s">
        <v>8</v>
      </c>
      <c r="K59" s="707"/>
      <c r="L59" s="707"/>
      <c r="M59" s="707"/>
      <c r="N59" s="708"/>
      <c r="O59" s="706" t="s">
        <v>40</v>
      </c>
      <c r="P59" s="707"/>
      <c r="Q59" s="707"/>
      <c r="R59" s="708"/>
      <c r="S59" s="706" t="s">
        <v>11</v>
      </c>
      <c r="T59" s="707"/>
      <c r="U59" s="707"/>
      <c r="V59" s="708"/>
      <c r="W59" s="706" t="s">
        <v>41</v>
      </c>
      <c r="X59" s="708"/>
      <c r="Y59" s="706" t="s">
        <v>15</v>
      </c>
      <c r="Z59" s="708"/>
    </row>
    <row r="60" spans="1:26" ht="39.75" customHeight="1" thickBot="1">
      <c r="A60" s="705"/>
      <c r="B60" s="713" t="s">
        <v>282</v>
      </c>
      <c r="C60" s="714"/>
      <c r="D60" s="715"/>
      <c r="E60" s="538">
        <f>'1st IA CTRs'!F19</f>
        <v>0</v>
      </c>
      <c r="F60" s="539" t="s">
        <v>282</v>
      </c>
      <c r="G60" s="538">
        <f>'1st IA CTRs'!H19</f>
        <v>0</v>
      </c>
      <c r="H60" s="539" t="s">
        <v>282</v>
      </c>
      <c r="I60" s="538">
        <f>'1st IA CTRs'!J19</f>
        <v>0</v>
      </c>
      <c r="J60" s="713" t="s">
        <v>282</v>
      </c>
      <c r="K60" s="714"/>
      <c r="L60" s="714"/>
      <c r="M60" s="715"/>
      <c r="N60" s="538">
        <f>'1st IA Load Pricing Results'!D28-'1st IA Load Pricing Results'!D17</f>
        <v>94.95244949990193</v>
      </c>
      <c r="O60" s="713" t="s">
        <v>282</v>
      </c>
      <c r="P60" s="714"/>
      <c r="Q60" s="715"/>
      <c r="R60" s="538">
        <f>'1st IA Load Pricing Results'!D29-'1st IA Load Pricing Results'!D28</f>
        <v>0</v>
      </c>
      <c r="S60" s="716" t="s">
        <v>282</v>
      </c>
      <c r="T60" s="717"/>
      <c r="U60" s="718"/>
      <c r="V60" s="540">
        <f>'1st IA CTRs'!V19</f>
        <v>0</v>
      </c>
      <c r="W60" s="541" t="s">
        <v>282</v>
      </c>
      <c r="X60" s="540">
        <f>'1st IA Load Pricing Results'!D32-'1st IA Load Pricing Results'!D17</f>
        <v>0</v>
      </c>
      <c r="Y60" s="541" t="s">
        <v>282</v>
      </c>
      <c r="Z60" s="540">
        <f>'1st IA CTRs'!P19</f>
        <v>0</v>
      </c>
    </row>
    <row r="61" spans="1:26" ht="69.75" customHeight="1" thickBot="1">
      <c r="A61" s="542" t="s">
        <v>71</v>
      </c>
      <c r="B61" s="543" t="s">
        <v>137</v>
      </c>
      <c r="C61" s="525" t="s">
        <v>138</v>
      </c>
      <c r="D61" s="544" t="s">
        <v>72</v>
      </c>
      <c r="E61" s="545" t="s">
        <v>86</v>
      </c>
      <c r="F61" s="543" t="s">
        <v>137</v>
      </c>
      <c r="G61" s="545" t="s">
        <v>86</v>
      </c>
      <c r="H61" s="546" t="s">
        <v>138</v>
      </c>
      <c r="I61" s="545" t="s">
        <v>86</v>
      </c>
      <c r="J61" s="543" t="s">
        <v>137</v>
      </c>
      <c r="K61" s="525" t="s">
        <v>139</v>
      </c>
      <c r="L61" s="525" t="s">
        <v>140</v>
      </c>
      <c r="M61" s="544" t="s">
        <v>72</v>
      </c>
      <c r="N61" s="545" t="s">
        <v>86</v>
      </c>
      <c r="O61" s="543" t="s">
        <v>137</v>
      </c>
      <c r="P61" s="525" t="s">
        <v>139</v>
      </c>
      <c r="Q61" s="544" t="s">
        <v>72</v>
      </c>
      <c r="R61" s="547" t="s">
        <v>86</v>
      </c>
      <c r="S61" s="548" t="s">
        <v>188</v>
      </c>
      <c r="T61" s="549" t="s">
        <v>321</v>
      </c>
      <c r="U61" s="544" t="s">
        <v>72</v>
      </c>
      <c r="V61" s="545" t="s">
        <v>86</v>
      </c>
      <c r="W61" s="711" t="s">
        <v>172</v>
      </c>
      <c r="X61" s="711"/>
      <c r="Y61" s="711"/>
      <c r="Z61" s="712"/>
    </row>
    <row r="62" spans="1:26" ht="13.5">
      <c r="A62" s="408" t="s">
        <v>16</v>
      </c>
      <c r="B62" s="550">
        <f aca="true" t="shared" si="4" ref="B62:B85">B31*$C$12</f>
        <v>0</v>
      </c>
      <c r="C62" s="500">
        <f aca="true" t="shared" si="5" ref="C62:C85">C31*$C$14</f>
        <v>0</v>
      </c>
      <c r="D62" s="500">
        <f>B62+C62</f>
        <v>0</v>
      </c>
      <c r="E62" s="551">
        <f>D62*$E$60</f>
        <v>0</v>
      </c>
      <c r="F62" s="550">
        <f aca="true" t="shared" si="6" ref="F62:F85">B31*$D$12</f>
        <v>13.7394</v>
      </c>
      <c r="G62" s="552">
        <f>F62*$G$60</f>
        <v>0</v>
      </c>
      <c r="H62" s="550">
        <f aca="true" t="shared" si="7" ref="H62:H85">C31*$E$14</f>
        <v>21.2352</v>
      </c>
      <c r="I62" s="552">
        <f>H62*$I$60</f>
        <v>0</v>
      </c>
      <c r="J62" s="550">
        <f aca="true" t="shared" si="8" ref="J62:J85">B31*$F$12</f>
        <v>1.05417</v>
      </c>
      <c r="K62" s="500">
        <f aca="true" t="shared" si="9" ref="K62:K85">D31*$F$15</f>
        <v>0.7144199999999999</v>
      </c>
      <c r="L62" s="500">
        <f aca="true" t="shared" si="10" ref="L62:L85">E31*$F$16</f>
        <v>0</v>
      </c>
      <c r="M62" s="500">
        <f>J62+K62+L62</f>
        <v>1.76859</v>
      </c>
      <c r="N62" s="551">
        <f>M62*$N$60</f>
        <v>167.93195266103157</v>
      </c>
      <c r="O62" s="550">
        <f aca="true" t="shared" si="11" ref="O62:O85">B31*$G$12</f>
        <v>1.61415</v>
      </c>
      <c r="P62" s="500">
        <f aca="true" t="shared" si="12" ref="P62:P85">D31*$G$15</f>
        <v>1.0384499999999999</v>
      </c>
      <c r="Q62" s="500">
        <f aca="true" t="shared" si="13" ref="Q62:Q84">O62+P62</f>
        <v>2.6525999999999996</v>
      </c>
      <c r="R62" s="553">
        <f>Q62*$R$60</f>
        <v>0</v>
      </c>
      <c r="S62" s="550">
        <f aca="true" t="shared" si="14" ref="S62:S85">F31*$K$17</f>
        <v>0</v>
      </c>
      <c r="T62" s="500">
        <f>C31*$K$14</f>
        <v>11.1104</v>
      </c>
      <c r="U62" s="500">
        <f>S62+T62</f>
        <v>11.1104</v>
      </c>
      <c r="V62" s="552">
        <f>U62*$V$60</f>
        <v>0</v>
      </c>
      <c r="W62" s="255"/>
      <c r="X62" s="255"/>
      <c r="Y62" s="255"/>
      <c r="Z62" s="255"/>
    </row>
    <row r="63" spans="1:26" ht="13.5">
      <c r="A63" s="408" t="s">
        <v>31</v>
      </c>
      <c r="B63" s="550">
        <f t="shared" si="4"/>
        <v>0</v>
      </c>
      <c r="C63" s="500">
        <f t="shared" si="5"/>
        <v>0</v>
      </c>
      <c r="D63" s="500">
        <f>B63+C63</f>
        <v>0</v>
      </c>
      <c r="E63" s="551">
        <f>D63*$E$60</f>
        <v>0</v>
      </c>
      <c r="F63" s="550">
        <f t="shared" si="6"/>
        <v>137.5736</v>
      </c>
      <c r="G63" s="552">
        <f aca="true" t="shared" si="15" ref="G63:G85">F63*$G$60</f>
        <v>0</v>
      </c>
      <c r="H63" s="550">
        <f t="shared" si="7"/>
        <v>0</v>
      </c>
      <c r="I63" s="552">
        <f aca="true" t="shared" si="16" ref="I63:I85">H63*$I$60</f>
        <v>0</v>
      </c>
      <c r="J63" s="550">
        <f t="shared" si="8"/>
        <v>10.555480000000001</v>
      </c>
      <c r="K63" s="500">
        <f t="shared" si="9"/>
        <v>0</v>
      </c>
      <c r="L63" s="500">
        <f t="shared" si="10"/>
        <v>0</v>
      </c>
      <c r="M63" s="500">
        <f aca="true" t="shared" si="17" ref="M63:M85">J63+K63+L63</f>
        <v>10.555480000000001</v>
      </c>
      <c r="N63" s="551">
        <f aca="true" t="shared" si="18" ref="N63:N85">M63*$N$60</f>
        <v>1002.268681647225</v>
      </c>
      <c r="O63" s="550">
        <f t="shared" si="11"/>
        <v>16.1626</v>
      </c>
      <c r="P63" s="500">
        <f t="shared" si="12"/>
        <v>0</v>
      </c>
      <c r="Q63" s="500">
        <f t="shared" si="13"/>
        <v>16.1626</v>
      </c>
      <c r="R63" s="553">
        <f aca="true" t="shared" si="19" ref="R63:R85">Q63*$R$60</f>
        <v>0</v>
      </c>
      <c r="S63" s="550">
        <f t="shared" si="14"/>
        <v>0</v>
      </c>
      <c r="T63" s="500">
        <f aca="true" t="shared" si="20" ref="T63:T85">C32*$K$14</f>
        <v>0</v>
      </c>
      <c r="U63" s="500">
        <f>S63+T63</f>
        <v>0</v>
      </c>
      <c r="V63" s="552">
        <f aca="true" t="shared" si="21" ref="V63:V84">U63*$V$60</f>
        <v>0</v>
      </c>
      <c r="W63" s="255"/>
      <c r="X63" s="255"/>
      <c r="Y63" s="255"/>
      <c r="Z63" s="255"/>
    </row>
    <row r="64" spans="1:26" ht="13.5">
      <c r="A64" s="408" t="s">
        <v>19</v>
      </c>
      <c r="B64" s="550">
        <f t="shared" si="4"/>
        <v>0</v>
      </c>
      <c r="C64" s="500">
        <f t="shared" si="5"/>
        <v>0</v>
      </c>
      <c r="D64" s="500">
        <f>B64+C64</f>
        <v>0</v>
      </c>
      <c r="E64" s="551">
        <f aca="true" t="shared" si="22" ref="E64:E84">D64*$E$60</f>
        <v>0</v>
      </c>
      <c r="F64" s="550">
        <f t="shared" si="6"/>
        <v>52.7126</v>
      </c>
      <c r="G64" s="552">
        <f t="shared" si="15"/>
        <v>0</v>
      </c>
      <c r="H64" s="550">
        <f t="shared" si="7"/>
        <v>0</v>
      </c>
      <c r="I64" s="552">
        <f t="shared" si="16"/>
        <v>0</v>
      </c>
      <c r="J64" s="550">
        <f t="shared" si="8"/>
        <v>4.04443</v>
      </c>
      <c r="K64" s="500">
        <f t="shared" si="9"/>
        <v>0</v>
      </c>
      <c r="L64" s="500">
        <f t="shared" si="10"/>
        <v>0</v>
      </c>
      <c r="M64" s="500">
        <f t="shared" si="17"/>
        <v>4.04443</v>
      </c>
      <c r="N64" s="551">
        <f t="shared" si="18"/>
        <v>384.02853533088836</v>
      </c>
      <c r="O64" s="550">
        <f t="shared" si="11"/>
        <v>6.19285</v>
      </c>
      <c r="P64" s="500">
        <f t="shared" si="12"/>
        <v>0</v>
      </c>
      <c r="Q64" s="500">
        <f t="shared" si="13"/>
        <v>6.19285</v>
      </c>
      <c r="R64" s="553">
        <f t="shared" si="19"/>
        <v>0</v>
      </c>
      <c r="S64" s="550">
        <f t="shared" si="14"/>
        <v>8.044400000000001</v>
      </c>
      <c r="T64" s="500">
        <f t="shared" si="20"/>
        <v>0</v>
      </c>
      <c r="U64" s="500">
        <f>S64+T64</f>
        <v>8.044400000000001</v>
      </c>
      <c r="V64" s="552">
        <f t="shared" si="21"/>
        <v>0</v>
      </c>
      <c r="W64" s="255"/>
      <c r="X64" s="255"/>
      <c r="Y64" s="255"/>
      <c r="Z64" s="255"/>
    </row>
    <row r="65" spans="1:26" ht="13.5">
      <c r="A65" s="408" t="s">
        <v>49</v>
      </c>
      <c r="B65" s="550">
        <f t="shared" si="4"/>
        <v>0</v>
      </c>
      <c r="C65" s="500">
        <f t="shared" si="5"/>
        <v>0</v>
      </c>
      <c r="D65" s="500">
        <f aca="true" t="shared" si="23" ref="D65:D84">B65+C65</f>
        <v>0</v>
      </c>
      <c r="E65" s="551">
        <f t="shared" si="22"/>
        <v>0</v>
      </c>
      <c r="F65" s="550">
        <f t="shared" si="6"/>
        <v>69.6848</v>
      </c>
      <c r="G65" s="552">
        <f t="shared" si="15"/>
        <v>0</v>
      </c>
      <c r="H65" s="550">
        <f t="shared" si="7"/>
        <v>0</v>
      </c>
      <c r="I65" s="552">
        <f t="shared" si="16"/>
        <v>0</v>
      </c>
      <c r="J65" s="550">
        <f t="shared" si="8"/>
        <v>5.346640000000001</v>
      </c>
      <c r="K65" s="500">
        <f t="shared" si="9"/>
        <v>0</v>
      </c>
      <c r="L65" s="500">
        <f t="shared" si="10"/>
        <v>0</v>
      </c>
      <c r="M65" s="500">
        <f t="shared" si="17"/>
        <v>5.346640000000001</v>
      </c>
      <c r="N65" s="551">
        <f t="shared" si="18"/>
        <v>507.6765645941557</v>
      </c>
      <c r="O65" s="550">
        <f t="shared" si="11"/>
        <v>8.1868</v>
      </c>
      <c r="P65" s="500">
        <f t="shared" si="12"/>
        <v>0</v>
      </c>
      <c r="Q65" s="500">
        <f t="shared" si="13"/>
        <v>8.1868</v>
      </c>
      <c r="R65" s="553">
        <f t="shared" si="19"/>
        <v>0</v>
      </c>
      <c r="S65" s="550">
        <f t="shared" si="14"/>
        <v>0</v>
      </c>
      <c r="T65" s="500">
        <f t="shared" si="20"/>
        <v>0</v>
      </c>
      <c r="U65" s="500">
        <f>S65+T65</f>
        <v>0</v>
      </c>
      <c r="V65" s="552">
        <f t="shared" si="21"/>
        <v>0</v>
      </c>
      <c r="W65" s="255"/>
      <c r="X65" s="255"/>
      <c r="Y65" s="255"/>
      <c r="Z65" s="255"/>
    </row>
    <row r="66" spans="1:26" ht="13.5">
      <c r="A66" s="408" t="s">
        <v>11</v>
      </c>
      <c r="B66" s="550">
        <f t="shared" si="4"/>
        <v>0</v>
      </c>
      <c r="C66" s="500">
        <f t="shared" si="5"/>
        <v>0</v>
      </c>
      <c r="D66" s="500">
        <f t="shared" si="23"/>
        <v>0</v>
      </c>
      <c r="E66" s="551">
        <f t="shared" si="22"/>
        <v>0</v>
      </c>
      <c r="F66" s="550">
        <f t="shared" si="6"/>
        <v>37.5364</v>
      </c>
      <c r="G66" s="552">
        <f t="shared" si="15"/>
        <v>0</v>
      </c>
      <c r="H66" s="550">
        <f t="shared" si="7"/>
        <v>0</v>
      </c>
      <c r="I66" s="552">
        <f t="shared" si="16"/>
        <v>0</v>
      </c>
      <c r="J66" s="550">
        <f t="shared" si="8"/>
        <v>2.88002</v>
      </c>
      <c r="K66" s="500">
        <f t="shared" si="9"/>
        <v>2.99376</v>
      </c>
      <c r="L66" s="500">
        <f t="shared" si="10"/>
        <v>0</v>
      </c>
      <c r="M66" s="500">
        <f t="shared" si="17"/>
        <v>5.87378</v>
      </c>
      <c r="N66" s="551">
        <f t="shared" si="18"/>
        <v>557.729798823534</v>
      </c>
      <c r="O66" s="550">
        <f t="shared" si="11"/>
        <v>4.4098999999999995</v>
      </c>
      <c r="P66" s="500">
        <f t="shared" si="12"/>
        <v>4.3516</v>
      </c>
      <c r="Q66" s="500">
        <f t="shared" si="13"/>
        <v>8.7615</v>
      </c>
      <c r="R66" s="553">
        <f t="shared" si="19"/>
        <v>0</v>
      </c>
      <c r="S66" s="550">
        <f t="shared" si="14"/>
        <v>121.849</v>
      </c>
      <c r="T66" s="500">
        <f t="shared" si="20"/>
        <v>0</v>
      </c>
      <c r="U66" s="500">
        <f aca="true" t="shared" si="24" ref="U66:U84">S66+T66</f>
        <v>121.849</v>
      </c>
      <c r="V66" s="552">
        <f t="shared" si="21"/>
        <v>0</v>
      </c>
      <c r="W66" s="255"/>
      <c r="X66" s="255"/>
      <c r="Y66" s="255"/>
      <c r="Z66" s="255"/>
    </row>
    <row r="67" spans="1:26" ht="13.5">
      <c r="A67" s="408" t="s">
        <v>20</v>
      </c>
      <c r="B67" s="550">
        <f t="shared" si="4"/>
        <v>0</v>
      </c>
      <c r="C67" s="500">
        <f t="shared" si="5"/>
        <v>0</v>
      </c>
      <c r="D67" s="500">
        <f t="shared" si="23"/>
        <v>0</v>
      </c>
      <c r="E67" s="551">
        <f t="shared" si="22"/>
        <v>0</v>
      </c>
      <c r="F67" s="550">
        <f t="shared" si="6"/>
        <v>111.1724</v>
      </c>
      <c r="G67" s="552">
        <f t="shared" si="15"/>
        <v>0</v>
      </c>
      <c r="H67" s="550">
        <f t="shared" si="7"/>
        <v>0</v>
      </c>
      <c r="I67" s="552">
        <f t="shared" si="16"/>
        <v>0</v>
      </c>
      <c r="J67" s="550">
        <f t="shared" si="8"/>
        <v>8.52982</v>
      </c>
      <c r="K67" s="500">
        <f t="shared" si="9"/>
        <v>7.17822</v>
      </c>
      <c r="L67" s="500">
        <f t="shared" si="10"/>
        <v>0</v>
      </c>
      <c r="M67" s="500">
        <f t="shared" si="17"/>
        <v>15.70804</v>
      </c>
      <c r="N67" s="551">
        <f t="shared" si="18"/>
        <v>1491.5168748424396</v>
      </c>
      <c r="O67" s="550">
        <f t="shared" si="11"/>
        <v>13.0609</v>
      </c>
      <c r="P67" s="500">
        <f t="shared" si="12"/>
        <v>10.433950000000001</v>
      </c>
      <c r="Q67" s="500">
        <f t="shared" si="13"/>
        <v>23.49485</v>
      </c>
      <c r="R67" s="553">
        <f t="shared" si="19"/>
        <v>0</v>
      </c>
      <c r="S67" s="550">
        <f t="shared" si="14"/>
        <v>7.4984</v>
      </c>
      <c r="T67" s="500">
        <f t="shared" si="20"/>
        <v>0</v>
      </c>
      <c r="U67" s="500">
        <f t="shared" si="24"/>
        <v>7.4984</v>
      </c>
      <c r="V67" s="552">
        <f t="shared" si="21"/>
        <v>0</v>
      </c>
      <c r="W67" s="255"/>
      <c r="X67" s="255"/>
      <c r="Y67" s="255"/>
      <c r="Z67" s="255"/>
    </row>
    <row r="68" spans="1:26" ht="13.5">
      <c r="A68" s="408" t="s">
        <v>21</v>
      </c>
      <c r="B68" s="550">
        <f t="shared" si="4"/>
        <v>0</v>
      </c>
      <c r="C68" s="500">
        <f t="shared" si="5"/>
        <v>0</v>
      </c>
      <c r="D68" s="500">
        <f t="shared" si="23"/>
        <v>0</v>
      </c>
      <c r="E68" s="551">
        <f t="shared" si="22"/>
        <v>0</v>
      </c>
      <c r="F68" s="550">
        <f t="shared" si="6"/>
        <v>18.0498</v>
      </c>
      <c r="G68" s="552">
        <f t="shared" si="15"/>
        <v>0</v>
      </c>
      <c r="H68" s="550">
        <f t="shared" si="7"/>
        <v>0</v>
      </c>
      <c r="I68" s="552">
        <f t="shared" si="16"/>
        <v>0</v>
      </c>
      <c r="J68" s="550">
        <f t="shared" si="8"/>
        <v>1.3848900000000002</v>
      </c>
      <c r="K68" s="500">
        <f t="shared" si="9"/>
        <v>0.40823999999999994</v>
      </c>
      <c r="L68" s="500">
        <f t="shared" si="10"/>
        <v>0</v>
      </c>
      <c r="M68" s="500">
        <f t="shared" si="17"/>
        <v>1.7931300000000001</v>
      </c>
      <c r="N68" s="551">
        <f t="shared" si="18"/>
        <v>170.26208577175916</v>
      </c>
      <c r="O68" s="550">
        <f t="shared" si="11"/>
        <v>2.12055</v>
      </c>
      <c r="P68" s="500">
        <f t="shared" si="12"/>
        <v>0.5933999999999999</v>
      </c>
      <c r="Q68" s="500">
        <f t="shared" si="13"/>
        <v>2.71395</v>
      </c>
      <c r="R68" s="553">
        <f t="shared" si="19"/>
        <v>0</v>
      </c>
      <c r="S68" s="550">
        <f t="shared" si="14"/>
        <v>0.8917999999999999</v>
      </c>
      <c r="T68" s="500">
        <f t="shared" si="20"/>
        <v>0</v>
      </c>
      <c r="U68" s="500">
        <f t="shared" si="24"/>
        <v>0.8917999999999999</v>
      </c>
      <c r="V68" s="552">
        <f t="shared" si="21"/>
        <v>0</v>
      </c>
      <c r="W68" s="255"/>
      <c r="X68" s="255"/>
      <c r="Y68" s="255"/>
      <c r="Z68" s="255"/>
    </row>
    <row r="69" spans="1:26" ht="13.5">
      <c r="A69" s="408" t="s">
        <v>63</v>
      </c>
      <c r="B69" s="550">
        <f t="shared" si="4"/>
        <v>0</v>
      </c>
      <c r="C69" s="500">
        <f t="shared" si="5"/>
        <v>0</v>
      </c>
      <c r="D69" s="500">
        <f t="shared" si="23"/>
        <v>0</v>
      </c>
      <c r="E69" s="551">
        <f t="shared" si="22"/>
        <v>0</v>
      </c>
      <c r="F69" s="550">
        <f t="shared" si="6"/>
        <v>28.825799999999997</v>
      </c>
      <c r="G69" s="552">
        <f t="shared" si="15"/>
        <v>0</v>
      </c>
      <c r="H69" s="550">
        <f t="shared" si="7"/>
        <v>0</v>
      </c>
      <c r="I69" s="552">
        <f t="shared" si="16"/>
        <v>0</v>
      </c>
      <c r="J69" s="550">
        <f t="shared" si="8"/>
        <v>2.21169</v>
      </c>
      <c r="K69" s="500">
        <f t="shared" si="9"/>
        <v>0</v>
      </c>
      <c r="L69" s="500">
        <f t="shared" si="10"/>
        <v>0</v>
      </c>
      <c r="M69" s="500">
        <f t="shared" si="17"/>
        <v>2.21169</v>
      </c>
      <c r="N69" s="551">
        <f t="shared" si="18"/>
        <v>210.0053830344381</v>
      </c>
      <c r="O69" s="550">
        <f t="shared" si="11"/>
        <v>3.3865499999999997</v>
      </c>
      <c r="P69" s="500">
        <f t="shared" si="12"/>
        <v>0</v>
      </c>
      <c r="Q69" s="500">
        <f t="shared" si="13"/>
        <v>3.3865499999999997</v>
      </c>
      <c r="R69" s="553">
        <f t="shared" si="19"/>
        <v>0</v>
      </c>
      <c r="S69" s="550">
        <f t="shared" si="14"/>
        <v>0</v>
      </c>
      <c r="T69" s="500">
        <f t="shared" si="20"/>
        <v>0</v>
      </c>
      <c r="U69" s="500">
        <f t="shared" si="24"/>
        <v>0</v>
      </c>
      <c r="V69" s="552">
        <f t="shared" si="21"/>
        <v>0</v>
      </c>
      <c r="W69" s="255"/>
      <c r="X69" s="255"/>
      <c r="Y69" s="255"/>
      <c r="Z69" s="255"/>
    </row>
    <row r="70" spans="1:26" ht="13.5">
      <c r="A70" s="408" t="s">
        <v>48</v>
      </c>
      <c r="B70" s="550">
        <f t="shared" si="4"/>
        <v>0</v>
      </c>
      <c r="C70" s="500">
        <f t="shared" si="5"/>
        <v>0</v>
      </c>
      <c r="D70" s="500">
        <f t="shared" si="23"/>
        <v>0</v>
      </c>
      <c r="E70" s="551">
        <f t="shared" si="22"/>
        <v>0</v>
      </c>
      <c r="F70" s="550">
        <f t="shared" si="6"/>
        <v>15.176199999999998</v>
      </c>
      <c r="G70" s="552">
        <f t="shared" si="15"/>
        <v>0</v>
      </c>
      <c r="H70" s="550">
        <f t="shared" si="7"/>
        <v>0</v>
      </c>
      <c r="I70" s="552">
        <f t="shared" si="16"/>
        <v>0</v>
      </c>
      <c r="J70" s="550">
        <f t="shared" si="8"/>
        <v>1.16441</v>
      </c>
      <c r="K70" s="500">
        <f t="shared" si="9"/>
        <v>0</v>
      </c>
      <c r="L70" s="500">
        <f t="shared" si="10"/>
        <v>0</v>
      </c>
      <c r="M70" s="500">
        <f t="shared" si="17"/>
        <v>1.16441</v>
      </c>
      <c r="N70" s="551">
        <f t="shared" si="18"/>
        <v>110.5635817221808</v>
      </c>
      <c r="O70" s="550">
        <f t="shared" si="11"/>
        <v>1.7829499999999998</v>
      </c>
      <c r="P70" s="500">
        <f t="shared" si="12"/>
        <v>0</v>
      </c>
      <c r="Q70" s="500">
        <f t="shared" si="13"/>
        <v>1.7829499999999998</v>
      </c>
      <c r="R70" s="553">
        <f t="shared" si="19"/>
        <v>0</v>
      </c>
      <c r="S70" s="550">
        <f t="shared" si="14"/>
        <v>0</v>
      </c>
      <c r="T70" s="500">
        <f t="shared" si="20"/>
        <v>0</v>
      </c>
      <c r="U70" s="500">
        <f t="shared" si="24"/>
        <v>0</v>
      </c>
      <c r="V70" s="552">
        <f t="shared" si="21"/>
        <v>0</v>
      </c>
      <c r="W70" s="255"/>
      <c r="X70" s="255"/>
      <c r="Y70" s="255"/>
      <c r="Z70" s="255"/>
    </row>
    <row r="71" spans="1:26" ht="13.5">
      <c r="A71" s="408" t="s">
        <v>32</v>
      </c>
      <c r="B71" s="550">
        <f t="shared" si="4"/>
        <v>0</v>
      </c>
      <c r="C71" s="500">
        <f t="shared" si="5"/>
        <v>0</v>
      </c>
      <c r="D71" s="500">
        <f t="shared" si="23"/>
        <v>0</v>
      </c>
      <c r="E71" s="551">
        <f t="shared" si="22"/>
        <v>0</v>
      </c>
      <c r="F71" s="550">
        <f t="shared" si="6"/>
        <v>111.5316</v>
      </c>
      <c r="G71" s="552">
        <f t="shared" si="15"/>
        <v>0</v>
      </c>
      <c r="H71" s="550">
        <f t="shared" si="7"/>
        <v>0</v>
      </c>
      <c r="I71" s="552">
        <f t="shared" si="16"/>
        <v>0</v>
      </c>
      <c r="J71" s="550">
        <f t="shared" si="8"/>
        <v>8.55738</v>
      </c>
      <c r="K71" s="500">
        <f t="shared" si="9"/>
        <v>0</v>
      </c>
      <c r="L71" s="500">
        <f t="shared" si="10"/>
        <v>0</v>
      </c>
      <c r="M71" s="500">
        <f t="shared" si="17"/>
        <v>8.55738</v>
      </c>
      <c r="N71" s="551">
        <f t="shared" si="18"/>
        <v>812.5441923014708</v>
      </c>
      <c r="O71" s="550">
        <f t="shared" si="11"/>
        <v>13.103100000000001</v>
      </c>
      <c r="P71" s="500">
        <f t="shared" si="12"/>
        <v>0</v>
      </c>
      <c r="Q71" s="500">
        <f t="shared" si="13"/>
        <v>13.103100000000001</v>
      </c>
      <c r="R71" s="553">
        <f t="shared" si="19"/>
        <v>0</v>
      </c>
      <c r="S71" s="550">
        <f t="shared" si="14"/>
        <v>34.1432</v>
      </c>
      <c r="T71" s="500">
        <f t="shared" si="20"/>
        <v>0</v>
      </c>
      <c r="U71" s="500">
        <f t="shared" si="24"/>
        <v>34.1432</v>
      </c>
      <c r="V71" s="552">
        <f t="shared" si="21"/>
        <v>0</v>
      </c>
      <c r="W71" s="255"/>
      <c r="X71" s="255"/>
      <c r="Y71" s="255"/>
      <c r="Z71" s="255"/>
    </row>
    <row r="72" spans="1:26" ht="13.5">
      <c r="A72" s="408" t="s">
        <v>17</v>
      </c>
      <c r="B72" s="550">
        <f t="shared" si="4"/>
        <v>0</v>
      </c>
      <c r="C72" s="500">
        <f t="shared" si="5"/>
        <v>0</v>
      </c>
      <c r="D72" s="500">
        <f t="shared" si="23"/>
        <v>0</v>
      </c>
      <c r="E72" s="551">
        <f t="shared" si="22"/>
        <v>0</v>
      </c>
      <c r="F72" s="550">
        <f t="shared" si="6"/>
        <v>21.8214</v>
      </c>
      <c r="G72" s="552">
        <f t="shared" si="15"/>
        <v>0</v>
      </c>
      <c r="H72" s="550">
        <f t="shared" si="7"/>
        <v>39.744899999999994</v>
      </c>
      <c r="I72" s="552">
        <f t="shared" si="16"/>
        <v>0</v>
      </c>
      <c r="J72" s="550">
        <f t="shared" si="8"/>
        <v>1.6742700000000001</v>
      </c>
      <c r="K72" s="500">
        <f t="shared" si="9"/>
        <v>0</v>
      </c>
      <c r="L72" s="500">
        <f t="shared" si="10"/>
        <v>0</v>
      </c>
      <c r="M72" s="500">
        <f t="shared" si="17"/>
        <v>1.6742700000000001</v>
      </c>
      <c r="N72" s="551">
        <f t="shared" si="18"/>
        <v>158.9760376242008</v>
      </c>
      <c r="O72" s="550">
        <f t="shared" si="11"/>
        <v>2.56365</v>
      </c>
      <c r="P72" s="500">
        <f t="shared" si="12"/>
        <v>0</v>
      </c>
      <c r="Q72" s="500">
        <f t="shared" si="13"/>
        <v>2.56365</v>
      </c>
      <c r="R72" s="553">
        <f t="shared" si="19"/>
        <v>0</v>
      </c>
      <c r="S72" s="550">
        <f t="shared" si="14"/>
        <v>0</v>
      </c>
      <c r="T72" s="500">
        <f t="shared" si="20"/>
        <v>20.7948</v>
      </c>
      <c r="U72" s="500">
        <f t="shared" si="24"/>
        <v>20.7948</v>
      </c>
      <c r="V72" s="552">
        <f t="shared" si="21"/>
        <v>0</v>
      </c>
      <c r="W72" s="255"/>
      <c r="X72" s="255"/>
      <c r="Y72" s="255"/>
      <c r="Z72" s="255"/>
    </row>
    <row r="73" spans="1:26" ht="13.5">
      <c r="A73" s="408" t="s">
        <v>160</v>
      </c>
      <c r="B73" s="550">
        <f t="shared" si="4"/>
        <v>0</v>
      </c>
      <c r="C73" s="500">
        <f t="shared" si="5"/>
        <v>0</v>
      </c>
      <c r="D73" s="500">
        <f>B73+C73</f>
        <v>0</v>
      </c>
      <c r="E73" s="551">
        <f>D73*$E$60</f>
        <v>0</v>
      </c>
      <c r="F73" s="550">
        <f t="shared" si="6"/>
        <v>19.307</v>
      </c>
      <c r="G73" s="552">
        <f>F73*$G$60</f>
        <v>0</v>
      </c>
      <c r="H73" s="550">
        <f t="shared" si="7"/>
        <v>0</v>
      </c>
      <c r="I73" s="552">
        <f>H73*$I$60</f>
        <v>0</v>
      </c>
      <c r="J73" s="550">
        <f t="shared" si="8"/>
        <v>1.48135</v>
      </c>
      <c r="K73" s="500">
        <f t="shared" si="9"/>
        <v>0</v>
      </c>
      <c r="L73" s="500">
        <f t="shared" si="10"/>
        <v>0</v>
      </c>
      <c r="M73" s="500">
        <f>J73+K73+L73</f>
        <v>1.48135</v>
      </c>
      <c r="N73" s="551">
        <f>M73*$N$60</f>
        <v>140.65781106667973</v>
      </c>
      <c r="O73" s="550">
        <f t="shared" si="11"/>
        <v>2.2682499999999997</v>
      </c>
      <c r="P73" s="500">
        <f t="shared" si="12"/>
        <v>0</v>
      </c>
      <c r="Q73" s="500">
        <f>O73+P73</f>
        <v>2.2682499999999997</v>
      </c>
      <c r="R73" s="553">
        <f>Q73*$R$60</f>
        <v>0</v>
      </c>
      <c r="S73" s="550">
        <f t="shared" si="14"/>
        <v>0</v>
      </c>
      <c r="T73" s="500">
        <f t="shared" si="20"/>
        <v>0</v>
      </c>
      <c r="U73" s="500">
        <f>S73+T73</f>
        <v>0</v>
      </c>
      <c r="V73" s="552">
        <f t="shared" si="21"/>
        <v>0</v>
      </c>
      <c r="W73" s="255"/>
      <c r="X73" s="255"/>
      <c r="Y73" s="255"/>
      <c r="Z73" s="255"/>
    </row>
    <row r="74" spans="1:26" ht="13.5">
      <c r="A74" s="408" t="s">
        <v>12</v>
      </c>
      <c r="B74" s="550">
        <f t="shared" si="4"/>
        <v>0</v>
      </c>
      <c r="C74" s="500">
        <f t="shared" si="5"/>
        <v>0</v>
      </c>
      <c r="D74" s="500">
        <f t="shared" si="23"/>
        <v>0</v>
      </c>
      <c r="E74" s="551">
        <f t="shared" si="22"/>
        <v>0</v>
      </c>
      <c r="F74" s="550">
        <f t="shared" si="6"/>
        <v>31.7892</v>
      </c>
      <c r="G74" s="552">
        <f t="shared" si="15"/>
        <v>0</v>
      </c>
      <c r="H74" s="550">
        <f t="shared" si="7"/>
        <v>22.7283</v>
      </c>
      <c r="I74" s="552">
        <f t="shared" si="16"/>
        <v>0</v>
      </c>
      <c r="J74" s="550">
        <f t="shared" si="8"/>
        <v>2.4390600000000004</v>
      </c>
      <c r="K74" s="500">
        <f t="shared" si="9"/>
        <v>3.6061199999999998</v>
      </c>
      <c r="L74" s="500">
        <f t="shared" si="10"/>
        <v>11.57646</v>
      </c>
      <c r="M74" s="500">
        <f t="shared" si="17"/>
        <v>17.62164</v>
      </c>
      <c r="N74" s="551">
        <f t="shared" si="18"/>
        <v>1673.2178822054518</v>
      </c>
      <c r="O74" s="550">
        <f t="shared" si="11"/>
        <v>3.7347</v>
      </c>
      <c r="P74" s="500">
        <f t="shared" si="12"/>
        <v>5.2417</v>
      </c>
      <c r="Q74" s="500">
        <f t="shared" si="13"/>
        <v>8.9764</v>
      </c>
      <c r="R74" s="553">
        <f t="shared" si="19"/>
        <v>0</v>
      </c>
      <c r="S74" s="550">
        <f t="shared" si="14"/>
        <v>0</v>
      </c>
      <c r="T74" s="500">
        <f t="shared" si="20"/>
        <v>11.8916</v>
      </c>
      <c r="U74" s="500">
        <f t="shared" si="24"/>
        <v>11.8916</v>
      </c>
      <c r="V74" s="552">
        <f t="shared" si="21"/>
        <v>0</v>
      </c>
      <c r="W74" s="255"/>
      <c r="X74" s="255"/>
      <c r="Y74" s="255"/>
      <c r="Z74" s="255"/>
    </row>
    <row r="75" spans="1:26" ht="13.5">
      <c r="A75" s="408" t="s">
        <v>13</v>
      </c>
      <c r="B75" s="550">
        <f t="shared" si="4"/>
        <v>0</v>
      </c>
      <c r="C75" s="500">
        <f t="shared" si="5"/>
        <v>0</v>
      </c>
      <c r="D75" s="500">
        <f t="shared" si="23"/>
        <v>0</v>
      </c>
      <c r="E75" s="551">
        <f t="shared" si="22"/>
        <v>0</v>
      </c>
      <c r="F75" s="550">
        <f t="shared" si="6"/>
        <v>15.8946</v>
      </c>
      <c r="G75" s="552">
        <f t="shared" si="15"/>
        <v>0</v>
      </c>
      <c r="H75" s="550">
        <f t="shared" si="7"/>
        <v>3.4838999999999998</v>
      </c>
      <c r="I75" s="552">
        <f t="shared" si="16"/>
        <v>0</v>
      </c>
      <c r="J75" s="550">
        <f t="shared" si="8"/>
        <v>1.2195300000000002</v>
      </c>
      <c r="K75" s="500">
        <f t="shared" si="9"/>
        <v>0</v>
      </c>
      <c r="L75" s="500">
        <f t="shared" si="10"/>
        <v>0</v>
      </c>
      <c r="M75" s="500">
        <f t="shared" si="17"/>
        <v>1.2195300000000002</v>
      </c>
      <c r="N75" s="551">
        <f t="shared" si="18"/>
        <v>115.79736073861542</v>
      </c>
      <c r="O75" s="550">
        <f t="shared" si="11"/>
        <v>1.86735</v>
      </c>
      <c r="P75" s="500">
        <f t="shared" si="12"/>
        <v>0</v>
      </c>
      <c r="Q75" s="500">
        <f t="shared" si="13"/>
        <v>1.86735</v>
      </c>
      <c r="R75" s="553">
        <f t="shared" si="19"/>
        <v>0</v>
      </c>
      <c r="S75" s="550">
        <f t="shared" si="14"/>
        <v>0</v>
      </c>
      <c r="T75" s="500">
        <f t="shared" si="20"/>
        <v>1.8228</v>
      </c>
      <c r="U75" s="500">
        <f t="shared" si="24"/>
        <v>1.8228</v>
      </c>
      <c r="V75" s="552">
        <f t="shared" si="21"/>
        <v>0</v>
      </c>
      <c r="W75" s="255"/>
      <c r="X75" s="255"/>
      <c r="Y75" s="255"/>
      <c r="Z75" s="255"/>
    </row>
    <row r="76" spans="1:26" ht="13.5">
      <c r="A76" s="408" t="s">
        <v>9</v>
      </c>
      <c r="B76" s="550">
        <f t="shared" si="4"/>
        <v>0</v>
      </c>
      <c r="C76" s="500">
        <f t="shared" si="5"/>
        <v>0</v>
      </c>
      <c r="D76" s="500">
        <f t="shared" si="23"/>
        <v>0</v>
      </c>
      <c r="E76" s="551">
        <f t="shared" si="22"/>
        <v>0</v>
      </c>
      <c r="F76" s="550">
        <f t="shared" si="6"/>
        <v>46.5164</v>
      </c>
      <c r="G76" s="552">
        <f t="shared" si="15"/>
        <v>0</v>
      </c>
      <c r="H76" s="550">
        <f t="shared" si="7"/>
        <v>72.6168</v>
      </c>
      <c r="I76" s="552">
        <f t="shared" si="16"/>
        <v>0</v>
      </c>
      <c r="J76" s="550">
        <f t="shared" si="8"/>
        <v>3.56902</v>
      </c>
      <c r="K76" s="500">
        <f t="shared" si="9"/>
        <v>0</v>
      </c>
      <c r="L76" s="500">
        <f t="shared" si="10"/>
        <v>46.12524</v>
      </c>
      <c r="M76" s="500">
        <f t="shared" si="17"/>
        <v>49.69426</v>
      </c>
      <c r="N76" s="551">
        <f t="shared" si="18"/>
        <v>4718.591713084997</v>
      </c>
      <c r="O76" s="550">
        <f t="shared" si="11"/>
        <v>5.4649</v>
      </c>
      <c r="P76" s="500">
        <f t="shared" si="12"/>
        <v>0</v>
      </c>
      <c r="Q76" s="500">
        <f t="shared" si="13"/>
        <v>5.4649</v>
      </c>
      <c r="R76" s="553">
        <f t="shared" si="19"/>
        <v>0</v>
      </c>
      <c r="S76" s="550">
        <f t="shared" si="14"/>
        <v>0</v>
      </c>
      <c r="T76" s="500">
        <f t="shared" si="20"/>
        <v>37.9936</v>
      </c>
      <c r="U76" s="500">
        <f t="shared" si="24"/>
        <v>37.9936</v>
      </c>
      <c r="V76" s="552">
        <f t="shared" si="21"/>
        <v>0</v>
      </c>
      <c r="W76" s="255"/>
      <c r="X76" s="255"/>
      <c r="Y76" s="255"/>
      <c r="Z76" s="255"/>
    </row>
    <row r="77" spans="1:26" ht="13.5">
      <c r="A77" s="408" t="s">
        <v>14</v>
      </c>
      <c r="B77" s="550">
        <f t="shared" si="4"/>
        <v>0</v>
      </c>
      <c r="C77" s="500">
        <f t="shared" si="5"/>
        <v>0</v>
      </c>
      <c r="D77" s="500">
        <f t="shared" si="23"/>
        <v>0</v>
      </c>
      <c r="E77" s="551">
        <f t="shared" si="22"/>
        <v>0</v>
      </c>
      <c r="F77" s="550">
        <f t="shared" si="6"/>
        <v>17.2416</v>
      </c>
      <c r="G77" s="552">
        <f t="shared" si="15"/>
        <v>0</v>
      </c>
      <c r="H77" s="550">
        <f t="shared" si="7"/>
        <v>0</v>
      </c>
      <c r="I77" s="552">
        <f t="shared" si="16"/>
        <v>0</v>
      </c>
      <c r="J77" s="550">
        <f t="shared" si="8"/>
        <v>1.32288</v>
      </c>
      <c r="K77" s="500">
        <f t="shared" si="9"/>
        <v>9.1854</v>
      </c>
      <c r="L77" s="500">
        <f t="shared" si="10"/>
        <v>0</v>
      </c>
      <c r="M77" s="500">
        <f t="shared" si="17"/>
        <v>10.50828</v>
      </c>
      <c r="N77" s="551">
        <f t="shared" si="18"/>
        <v>997.7869260308294</v>
      </c>
      <c r="O77" s="550">
        <f t="shared" si="11"/>
        <v>2.0256</v>
      </c>
      <c r="P77" s="500">
        <f t="shared" si="12"/>
        <v>13.3515</v>
      </c>
      <c r="Q77" s="500">
        <f t="shared" si="13"/>
        <v>15.377099999999999</v>
      </c>
      <c r="R77" s="553">
        <f t="shared" si="19"/>
        <v>0</v>
      </c>
      <c r="S77" s="550">
        <f t="shared" si="14"/>
        <v>0.091</v>
      </c>
      <c r="T77" s="500">
        <f t="shared" si="20"/>
        <v>0</v>
      </c>
      <c r="U77" s="500">
        <f t="shared" si="24"/>
        <v>0.091</v>
      </c>
      <c r="V77" s="552">
        <f t="shared" si="21"/>
        <v>0</v>
      </c>
      <c r="W77" s="255"/>
      <c r="X77" s="255"/>
      <c r="Y77" s="255"/>
      <c r="Z77" s="255"/>
    </row>
    <row r="78" spans="1:26" ht="13.5">
      <c r="A78" s="408" t="s">
        <v>15</v>
      </c>
      <c r="B78" s="550">
        <f t="shared" si="4"/>
        <v>0</v>
      </c>
      <c r="C78" s="500">
        <f t="shared" si="5"/>
        <v>0</v>
      </c>
      <c r="D78" s="500">
        <f t="shared" si="23"/>
        <v>0</v>
      </c>
      <c r="E78" s="551">
        <f t="shared" si="22"/>
        <v>0</v>
      </c>
      <c r="F78" s="550">
        <f t="shared" si="6"/>
        <v>35.7404</v>
      </c>
      <c r="G78" s="552">
        <f t="shared" si="15"/>
        <v>0</v>
      </c>
      <c r="H78" s="550">
        <f t="shared" si="7"/>
        <v>0</v>
      </c>
      <c r="I78" s="552">
        <f t="shared" si="16"/>
        <v>0</v>
      </c>
      <c r="J78" s="550">
        <f t="shared" si="8"/>
        <v>2.7422200000000005</v>
      </c>
      <c r="K78" s="500">
        <f t="shared" si="9"/>
        <v>3.2319</v>
      </c>
      <c r="L78" s="500">
        <f t="shared" si="10"/>
        <v>0.51471</v>
      </c>
      <c r="M78" s="500">
        <f t="shared" si="17"/>
        <v>6.488830000000001</v>
      </c>
      <c r="N78" s="551">
        <f t="shared" si="18"/>
        <v>616.1303028884488</v>
      </c>
      <c r="O78" s="550">
        <f t="shared" si="11"/>
        <v>4.1989</v>
      </c>
      <c r="P78" s="500">
        <f t="shared" si="12"/>
        <v>4.69775</v>
      </c>
      <c r="Q78" s="500">
        <f t="shared" si="13"/>
        <v>8.896650000000001</v>
      </c>
      <c r="R78" s="553">
        <f t="shared" si="19"/>
        <v>0</v>
      </c>
      <c r="S78" s="550">
        <f t="shared" si="14"/>
        <v>9.4822</v>
      </c>
      <c r="T78" s="500">
        <f t="shared" si="20"/>
        <v>0</v>
      </c>
      <c r="U78" s="500">
        <f t="shared" si="24"/>
        <v>9.4822</v>
      </c>
      <c r="V78" s="552">
        <f t="shared" si="21"/>
        <v>0</v>
      </c>
      <c r="W78" s="255"/>
      <c r="X78" s="255"/>
      <c r="Y78" s="255"/>
      <c r="Z78" s="255"/>
    </row>
    <row r="79" spans="1:26" ht="13.5">
      <c r="A79" s="408" t="s">
        <v>10</v>
      </c>
      <c r="B79" s="550">
        <f t="shared" si="4"/>
        <v>0</v>
      </c>
      <c r="C79" s="500">
        <f t="shared" si="5"/>
        <v>0</v>
      </c>
      <c r="D79" s="500">
        <f t="shared" si="23"/>
        <v>0</v>
      </c>
      <c r="E79" s="551">
        <f t="shared" si="22"/>
        <v>0</v>
      </c>
      <c r="F79" s="550">
        <f t="shared" si="6"/>
        <v>45.349000000000004</v>
      </c>
      <c r="G79" s="552">
        <f t="shared" si="15"/>
        <v>0</v>
      </c>
      <c r="H79" s="550">
        <f t="shared" si="7"/>
        <v>38.7021</v>
      </c>
      <c r="I79" s="552">
        <f t="shared" si="16"/>
        <v>0</v>
      </c>
      <c r="J79" s="550">
        <f t="shared" si="8"/>
        <v>3.4794500000000004</v>
      </c>
      <c r="K79" s="500">
        <f t="shared" si="9"/>
        <v>0</v>
      </c>
      <c r="L79" s="500">
        <f t="shared" si="10"/>
        <v>0</v>
      </c>
      <c r="M79" s="500">
        <f t="shared" si="17"/>
        <v>3.4794500000000004</v>
      </c>
      <c r="N79" s="551">
        <f t="shared" si="18"/>
        <v>330.38230041243384</v>
      </c>
      <c r="O79" s="550">
        <f t="shared" si="11"/>
        <v>5.32775</v>
      </c>
      <c r="P79" s="500">
        <f t="shared" si="12"/>
        <v>0</v>
      </c>
      <c r="Q79" s="500">
        <f t="shared" si="13"/>
        <v>5.32775</v>
      </c>
      <c r="R79" s="553">
        <f t="shared" si="19"/>
        <v>0</v>
      </c>
      <c r="S79" s="550">
        <f t="shared" si="14"/>
        <v>0</v>
      </c>
      <c r="T79" s="500">
        <f t="shared" si="20"/>
        <v>20.249200000000002</v>
      </c>
      <c r="U79" s="500">
        <f t="shared" si="24"/>
        <v>20.249200000000002</v>
      </c>
      <c r="V79" s="552">
        <f t="shared" si="21"/>
        <v>0</v>
      </c>
      <c r="W79" s="255"/>
      <c r="X79" s="255"/>
      <c r="Y79" s="255"/>
      <c r="Z79" s="255"/>
    </row>
    <row r="80" spans="1:26" ht="13.5">
      <c r="A80" s="408" t="s">
        <v>8</v>
      </c>
      <c r="B80" s="550">
        <f t="shared" si="4"/>
        <v>0</v>
      </c>
      <c r="C80" s="500">
        <f t="shared" si="5"/>
        <v>0</v>
      </c>
      <c r="D80" s="500">
        <f t="shared" si="23"/>
        <v>0</v>
      </c>
      <c r="E80" s="551">
        <f t="shared" si="22"/>
        <v>0</v>
      </c>
      <c r="F80" s="550">
        <f t="shared" si="6"/>
        <v>53.610600000000005</v>
      </c>
      <c r="G80" s="552">
        <f t="shared" si="15"/>
        <v>0</v>
      </c>
      <c r="H80" s="550">
        <f t="shared" si="7"/>
        <v>33.18</v>
      </c>
      <c r="I80" s="552">
        <f t="shared" si="16"/>
        <v>0</v>
      </c>
      <c r="J80" s="550">
        <f t="shared" si="8"/>
        <v>4.11333</v>
      </c>
      <c r="K80" s="500">
        <f t="shared" si="9"/>
        <v>217.08162</v>
      </c>
      <c r="L80" s="500">
        <f t="shared" si="10"/>
        <v>28.408379999999998</v>
      </c>
      <c r="M80" s="500">
        <f t="shared" si="17"/>
        <v>249.60332999999997</v>
      </c>
      <c r="N80" s="551">
        <f t="shared" si="18"/>
        <v>23700.447586832353</v>
      </c>
      <c r="O80" s="550">
        <f t="shared" si="11"/>
        <v>6.29835</v>
      </c>
      <c r="P80" s="500">
        <f t="shared" si="12"/>
        <v>315.54045</v>
      </c>
      <c r="Q80" s="500">
        <f t="shared" si="13"/>
        <v>321.83880000000005</v>
      </c>
      <c r="R80" s="553">
        <f t="shared" si="19"/>
        <v>0</v>
      </c>
      <c r="S80" s="550">
        <f t="shared" si="14"/>
        <v>0</v>
      </c>
      <c r="T80" s="500">
        <f t="shared" si="20"/>
        <v>17.360000000000003</v>
      </c>
      <c r="U80" s="500">
        <f t="shared" si="24"/>
        <v>17.360000000000003</v>
      </c>
      <c r="V80" s="552">
        <f t="shared" si="21"/>
        <v>0</v>
      </c>
      <c r="W80" s="255"/>
      <c r="X80" s="255"/>
      <c r="Y80" s="255"/>
      <c r="Z80" s="255"/>
    </row>
    <row r="81" spans="1:26" ht="13.5">
      <c r="A81" s="408" t="s">
        <v>18</v>
      </c>
      <c r="B81" s="550">
        <f t="shared" si="4"/>
        <v>0</v>
      </c>
      <c r="C81" s="500">
        <f t="shared" si="5"/>
        <v>0</v>
      </c>
      <c r="D81" s="500">
        <f t="shared" si="23"/>
        <v>0</v>
      </c>
      <c r="E81" s="551">
        <f t="shared" si="22"/>
        <v>0</v>
      </c>
      <c r="F81" s="550">
        <f t="shared" si="6"/>
        <v>2.245</v>
      </c>
      <c r="G81" s="552">
        <f t="shared" si="15"/>
        <v>0</v>
      </c>
      <c r="H81" s="550">
        <f t="shared" si="7"/>
        <v>1.2324</v>
      </c>
      <c r="I81" s="552">
        <f t="shared" si="16"/>
        <v>0</v>
      </c>
      <c r="J81" s="550">
        <f t="shared" si="8"/>
        <v>0.17225000000000001</v>
      </c>
      <c r="K81" s="500">
        <f t="shared" si="9"/>
        <v>8.607059999999999</v>
      </c>
      <c r="L81" s="500">
        <f t="shared" si="10"/>
        <v>1.12875</v>
      </c>
      <c r="M81" s="500">
        <f t="shared" si="17"/>
        <v>9.908059999999999</v>
      </c>
      <c r="N81" s="551">
        <f t="shared" si="18"/>
        <v>940.7945667919982</v>
      </c>
      <c r="O81" s="550">
        <f t="shared" si="11"/>
        <v>0.26375</v>
      </c>
      <c r="P81" s="500">
        <f t="shared" si="12"/>
        <v>12.51085</v>
      </c>
      <c r="Q81" s="500">
        <f t="shared" si="13"/>
        <v>12.7746</v>
      </c>
      <c r="R81" s="553">
        <f t="shared" si="19"/>
        <v>0</v>
      </c>
      <c r="S81" s="550">
        <f t="shared" si="14"/>
        <v>0</v>
      </c>
      <c r="T81" s="500">
        <f t="shared" si="20"/>
        <v>0.6447999999999999</v>
      </c>
      <c r="U81" s="500">
        <f t="shared" si="24"/>
        <v>0.6447999999999999</v>
      </c>
      <c r="V81" s="552">
        <f t="shared" si="21"/>
        <v>0</v>
      </c>
      <c r="W81" s="255"/>
      <c r="X81" s="255"/>
      <c r="Y81" s="255"/>
      <c r="Z81" s="255"/>
    </row>
    <row r="82" spans="1:26" ht="13.5">
      <c r="A82" s="408" t="s">
        <v>146</v>
      </c>
      <c r="B82" s="550">
        <f t="shared" si="4"/>
        <v>0</v>
      </c>
      <c r="C82" s="500">
        <f t="shared" si="5"/>
        <v>0</v>
      </c>
      <c r="D82" s="500">
        <f>B82+C82</f>
        <v>0</v>
      </c>
      <c r="E82" s="551">
        <f>D82*$E$60</f>
        <v>0</v>
      </c>
      <c r="F82" s="550">
        <f t="shared" si="6"/>
        <v>5.1186</v>
      </c>
      <c r="G82" s="552">
        <f>F82*$G$60</f>
        <v>0</v>
      </c>
      <c r="H82" s="550">
        <f t="shared" si="7"/>
        <v>1.1613</v>
      </c>
      <c r="I82" s="552">
        <f>H82*$I$60</f>
        <v>0</v>
      </c>
      <c r="J82" s="550">
        <f t="shared" si="8"/>
        <v>0.39273</v>
      </c>
      <c r="K82" s="500">
        <f t="shared" si="9"/>
        <v>30.788099999999996</v>
      </c>
      <c r="L82" s="500">
        <f t="shared" si="10"/>
        <v>0</v>
      </c>
      <c r="M82" s="500">
        <f>J82+K82+L82</f>
        <v>31.180829999999997</v>
      </c>
      <c r="N82" s="551">
        <f>M82*$N$60</f>
        <v>2960.6961859400267</v>
      </c>
      <c r="O82" s="550">
        <f t="shared" si="11"/>
        <v>0.60135</v>
      </c>
      <c r="P82" s="500">
        <f t="shared" si="12"/>
        <v>44.75225</v>
      </c>
      <c r="Q82" s="500">
        <f>O82+P82</f>
        <v>45.3536</v>
      </c>
      <c r="R82" s="553">
        <f>Q82*$R$60</f>
        <v>0</v>
      </c>
      <c r="S82" s="550">
        <f t="shared" si="14"/>
        <v>0</v>
      </c>
      <c r="T82" s="500">
        <f t="shared" si="20"/>
        <v>0.6076</v>
      </c>
      <c r="U82" s="500">
        <f>S82+T82</f>
        <v>0.6076</v>
      </c>
      <c r="V82" s="552">
        <f t="shared" si="21"/>
        <v>0</v>
      </c>
      <c r="W82" s="255"/>
      <c r="X82" s="255"/>
      <c r="Y82" s="255"/>
      <c r="Z82" s="255"/>
    </row>
    <row r="83" spans="1:26" ht="13.5">
      <c r="A83" s="408" t="s">
        <v>147</v>
      </c>
      <c r="B83" s="550">
        <f t="shared" si="4"/>
        <v>0</v>
      </c>
      <c r="C83" s="500">
        <f t="shared" si="5"/>
        <v>0</v>
      </c>
      <c r="D83" s="500">
        <f t="shared" si="23"/>
        <v>0</v>
      </c>
      <c r="E83" s="551">
        <f t="shared" si="22"/>
        <v>0</v>
      </c>
      <c r="F83" s="550">
        <f t="shared" si="6"/>
        <v>3.7716</v>
      </c>
      <c r="G83" s="552">
        <f t="shared" si="15"/>
        <v>0</v>
      </c>
      <c r="H83" s="550">
        <f t="shared" si="7"/>
        <v>2.2278000000000002</v>
      </c>
      <c r="I83" s="552">
        <f t="shared" si="16"/>
        <v>0</v>
      </c>
      <c r="J83" s="550">
        <f t="shared" si="8"/>
        <v>0.28938</v>
      </c>
      <c r="K83" s="500">
        <f t="shared" si="9"/>
        <v>0.20411999999999997</v>
      </c>
      <c r="L83" s="500">
        <f t="shared" si="10"/>
        <v>1.06554</v>
      </c>
      <c r="M83" s="500">
        <f t="shared" si="17"/>
        <v>1.55904</v>
      </c>
      <c r="N83" s="551">
        <f t="shared" si="18"/>
        <v>148.0346668683271</v>
      </c>
      <c r="O83" s="550">
        <f t="shared" si="11"/>
        <v>0.4431</v>
      </c>
      <c r="P83" s="500">
        <f t="shared" si="12"/>
        <v>0.29669999999999996</v>
      </c>
      <c r="Q83" s="500">
        <f t="shared" si="13"/>
        <v>0.7398</v>
      </c>
      <c r="R83" s="553">
        <f t="shared" si="19"/>
        <v>0</v>
      </c>
      <c r="S83" s="550">
        <f t="shared" si="14"/>
        <v>0</v>
      </c>
      <c r="T83" s="500">
        <f t="shared" si="20"/>
        <v>1.1656</v>
      </c>
      <c r="U83" s="500">
        <f t="shared" si="24"/>
        <v>1.1656</v>
      </c>
      <c r="V83" s="552">
        <f t="shared" si="21"/>
        <v>0</v>
      </c>
      <c r="W83" s="255"/>
      <c r="X83" s="255"/>
      <c r="Y83" s="255"/>
      <c r="Z83" s="255"/>
    </row>
    <row r="84" spans="1:26" ht="13.5">
      <c r="A84" s="408" t="s">
        <v>127</v>
      </c>
      <c r="B84" s="550">
        <f t="shared" si="4"/>
        <v>0</v>
      </c>
      <c r="C84" s="500">
        <f t="shared" si="5"/>
        <v>0</v>
      </c>
      <c r="D84" s="500">
        <f t="shared" si="23"/>
        <v>0</v>
      </c>
      <c r="E84" s="551">
        <f t="shared" si="22"/>
        <v>0</v>
      </c>
      <c r="F84" s="550">
        <f t="shared" si="6"/>
        <v>1.796</v>
      </c>
      <c r="G84" s="552">
        <f t="shared" si="15"/>
        <v>0</v>
      </c>
      <c r="H84" s="550">
        <f t="shared" si="7"/>
        <v>0.6872999999999999</v>
      </c>
      <c r="I84" s="552">
        <f t="shared" si="16"/>
        <v>0</v>
      </c>
      <c r="J84" s="550">
        <f t="shared" si="8"/>
        <v>0.1378</v>
      </c>
      <c r="K84" s="500">
        <f t="shared" si="9"/>
        <v>6.531839999999999</v>
      </c>
      <c r="L84" s="500">
        <f t="shared" si="10"/>
        <v>0.7675500000000001</v>
      </c>
      <c r="M84" s="500">
        <f t="shared" si="17"/>
        <v>7.437189999999999</v>
      </c>
      <c r="N84" s="551">
        <f t="shared" si="18"/>
        <v>706.1794078961756</v>
      </c>
      <c r="O84" s="550">
        <f t="shared" si="11"/>
        <v>0.211</v>
      </c>
      <c r="P84" s="500">
        <f t="shared" si="12"/>
        <v>9.494399999999999</v>
      </c>
      <c r="Q84" s="500">
        <f t="shared" si="13"/>
        <v>9.7054</v>
      </c>
      <c r="R84" s="553">
        <f t="shared" si="19"/>
        <v>0</v>
      </c>
      <c r="S84" s="550">
        <f t="shared" si="14"/>
        <v>0</v>
      </c>
      <c r="T84" s="500">
        <f t="shared" si="20"/>
        <v>0.3596</v>
      </c>
      <c r="U84" s="500">
        <f t="shared" si="24"/>
        <v>0.3596</v>
      </c>
      <c r="V84" s="552">
        <f t="shared" si="21"/>
        <v>0</v>
      </c>
      <c r="W84" s="255"/>
      <c r="X84" s="255"/>
      <c r="Y84" s="255"/>
      <c r="Z84" s="255"/>
    </row>
    <row r="85" spans="1:26" ht="14.25" thickBot="1">
      <c r="A85" s="408" t="s">
        <v>128</v>
      </c>
      <c r="B85" s="550">
        <f t="shared" si="4"/>
        <v>0</v>
      </c>
      <c r="C85" s="500">
        <f t="shared" si="5"/>
        <v>0</v>
      </c>
      <c r="D85" s="500">
        <f>B85+C85</f>
        <v>0</v>
      </c>
      <c r="E85" s="551">
        <f>D85*$E$60</f>
        <v>0</v>
      </c>
      <c r="F85" s="550">
        <f t="shared" si="6"/>
        <v>1.796</v>
      </c>
      <c r="G85" s="552">
        <f t="shared" si="15"/>
        <v>0</v>
      </c>
      <c r="H85" s="550">
        <f t="shared" si="7"/>
        <v>0</v>
      </c>
      <c r="I85" s="552">
        <f t="shared" si="16"/>
        <v>0</v>
      </c>
      <c r="J85" s="550">
        <f t="shared" si="8"/>
        <v>0.1378</v>
      </c>
      <c r="K85" s="500">
        <f t="shared" si="9"/>
        <v>49.6692</v>
      </c>
      <c r="L85" s="500">
        <f t="shared" si="10"/>
        <v>0.7133700000000001</v>
      </c>
      <c r="M85" s="500">
        <f t="shared" si="17"/>
        <v>50.52036999999999</v>
      </c>
      <c r="N85" s="551">
        <f t="shared" si="18"/>
        <v>4797.03288114136</v>
      </c>
      <c r="O85" s="550">
        <f t="shared" si="11"/>
        <v>0.211</v>
      </c>
      <c r="P85" s="500">
        <f t="shared" si="12"/>
        <v>72.19699999999999</v>
      </c>
      <c r="Q85" s="500">
        <f>O85+P85</f>
        <v>72.40799999999999</v>
      </c>
      <c r="R85" s="553">
        <f t="shared" si="19"/>
        <v>0</v>
      </c>
      <c r="S85" s="550">
        <f t="shared" si="14"/>
        <v>0</v>
      </c>
      <c r="T85" s="500">
        <f t="shared" si="20"/>
        <v>0</v>
      </c>
      <c r="U85" s="500">
        <f>S85+T85</f>
        <v>0</v>
      </c>
      <c r="V85" s="552">
        <f>U85*$V$60</f>
        <v>0</v>
      </c>
      <c r="W85" s="255"/>
      <c r="X85" s="255"/>
      <c r="Y85" s="255"/>
      <c r="Z85" s="255"/>
    </row>
    <row r="86" spans="1:26" ht="14.25" thickBot="1">
      <c r="A86" s="554" t="s">
        <v>54</v>
      </c>
      <c r="B86" s="555">
        <f>SUM(B62:B85)</f>
        <v>0</v>
      </c>
      <c r="C86" s="556">
        <f aca="true" t="shared" si="25" ref="C86:T86">SUM(C62:C85)</f>
        <v>0</v>
      </c>
      <c r="D86" s="556">
        <f t="shared" si="25"/>
        <v>0</v>
      </c>
      <c r="E86" s="557">
        <f t="shared" si="25"/>
        <v>0</v>
      </c>
      <c r="F86" s="555">
        <f t="shared" si="25"/>
        <v>898.0000000000002</v>
      </c>
      <c r="G86" s="557">
        <f t="shared" si="25"/>
        <v>0</v>
      </c>
      <c r="H86" s="555">
        <f t="shared" si="25"/>
        <v>237.00000000000003</v>
      </c>
      <c r="I86" s="557">
        <f t="shared" si="25"/>
        <v>0</v>
      </c>
      <c r="J86" s="555">
        <f t="shared" si="25"/>
        <v>68.89999999999999</v>
      </c>
      <c r="K86" s="556">
        <f t="shared" si="25"/>
        <v>340.19999999999993</v>
      </c>
      <c r="L86" s="556">
        <f t="shared" si="25"/>
        <v>90.3</v>
      </c>
      <c r="M86" s="556">
        <f t="shared" si="25"/>
        <v>499.3999999999999</v>
      </c>
      <c r="N86" s="557">
        <f t="shared" si="25"/>
        <v>47419.253280251025</v>
      </c>
      <c r="O86" s="555">
        <f t="shared" si="25"/>
        <v>105.49999999999999</v>
      </c>
      <c r="P86" s="556">
        <f t="shared" si="25"/>
        <v>494.5</v>
      </c>
      <c r="Q86" s="556">
        <f t="shared" si="25"/>
        <v>600.0000000000001</v>
      </c>
      <c r="R86" s="558">
        <f t="shared" si="25"/>
        <v>0</v>
      </c>
      <c r="S86" s="555">
        <f>SUM(S62:S85)</f>
        <v>182.00000000000003</v>
      </c>
      <c r="T86" s="556">
        <f t="shared" si="25"/>
        <v>124.00000000000001</v>
      </c>
      <c r="U86" s="556">
        <f>SUM(U62:U85)</f>
        <v>305.99999999999994</v>
      </c>
      <c r="V86" s="557">
        <f>SUM(V62:V85)</f>
        <v>0</v>
      </c>
      <c r="W86" s="255"/>
      <c r="X86" s="255"/>
      <c r="Y86" s="255"/>
      <c r="Z86" s="255"/>
    </row>
    <row r="87" spans="1:26" ht="13.5">
      <c r="A87" s="559" t="s">
        <v>82</v>
      </c>
      <c r="B87" s="342"/>
      <c r="C87" s="342"/>
      <c r="D87" s="342"/>
      <c r="E87" s="335"/>
      <c r="F87" s="342"/>
      <c r="G87" s="335"/>
      <c r="H87" s="255"/>
      <c r="I87" s="255"/>
      <c r="J87" s="255"/>
      <c r="K87" s="255"/>
      <c r="L87" s="255"/>
      <c r="M87" s="255"/>
      <c r="N87" s="255"/>
      <c r="O87" s="255"/>
      <c r="P87" s="255"/>
      <c r="Q87" s="255"/>
      <c r="R87" s="255"/>
      <c r="S87" s="255"/>
      <c r="T87" s="255"/>
      <c r="U87" s="255"/>
      <c r="V87" s="255"/>
      <c r="W87" s="255"/>
      <c r="X87" s="255"/>
      <c r="Y87" s="255"/>
      <c r="Z87" s="255"/>
    </row>
    <row r="88" spans="1:26" ht="13.5">
      <c r="A88" s="495" t="s">
        <v>346</v>
      </c>
      <c r="B88" s="522"/>
      <c r="C88" s="522"/>
      <c r="D88" s="340"/>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3.5">
      <c r="A89" s="495" t="s">
        <v>347</v>
      </c>
      <c r="B89" s="522"/>
      <c r="C89" s="522"/>
      <c r="D89" s="340"/>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4.25" thickBo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5.75" thickBot="1">
      <c r="A91" s="560" t="s">
        <v>74</v>
      </c>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79.5" customHeight="1">
      <c r="A92" s="561" t="s">
        <v>3</v>
      </c>
      <c r="B92" s="570" t="s">
        <v>91</v>
      </c>
      <c r="C92" s="562" t="s">
        <v>141</v>
      </c>
      <c r="D92" s="563"/>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3.5">
      <c r="A93" s="408" t="s">
        <v>29</v>
      </c>
      <c r="B93" s="355">
        <f>C23*E60</f>
        <v>0</v>
      </c>
      <c r="C93" s="551">
        <f>(C12+C18)*E60</f>
        <v>0</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3.5">
      <c r="A94" s="408" t="s">
        <v>39</v>
      </c>
      <c r="B94" s="355">
        <f>D23*G60</f>
        <v>0</v>
      </c>
      <c r="C94" s="551">
        <f>(D12+D18)*G60</f>
        <v>0</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3.5">
      <c r="A95" s="408" t="s">
        <v>5</v>
      </c>
      <c r="B95" s="355">
        <f>E23*I60</f>
        <v>0</v>
      </c>
      <c r="C95" s="551">
        <f>(E12+E18)*I60</f>
        <v>0</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3.5">
      <c r="A96" s="564" t="s">
        <v>8</v>
      </c>
      <c r="B96" s="355">
        <f>F23*N60</f>
        <v>0</v>
      </c>
      <c r="C96" s="551">
        <f>(F12+F18)*N60</f>
        <v>47419.253280251025</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3.5">
      <c r="A97" s="564" t="s">
        <v>40</v>
      </c>
      <c r="B97" s="355">
        <f>G23*R60</f>
        <v>0</v>
      </c>
      <c r="C97" s="551">
        <f>(G12+G18)*R60</f>
        <v>0</v>
      </c>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3.5">
      <c r="A98" s="564" t="s">
        <v>41</v>
      </c>
      <c r="B98" s="565">
        <f>I23*X60</f>
        <v>0</v>
      </c>
      <c r="C98" s="551">
        <f>(I12+I18)*X60</f>
        <v>0</v>
      </c>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3.5">
      <c r="A99" s="564" t="s">
        <v>15</v>
      </c>
      <c r="B99" s="565">
        <f>J23*Z60</f>
        <v>0</v>
      </c>
      <c r="C99" s="551">
        <f>(J12+J18)*Z60</f>
        <v>0</v>
      </c>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3.5">
      <c r="A100" s="564" t="s">
        <v>11</v>
      </c>
      <c r="B100" s="565">
        <f>K23*V60</f>
        <v>0</v>
      </c>
      <c r="C100" s="566">
        <f>(K12+K18)*V60</f>
        <v>0</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4.25" thickBot="1">
      <c r="A101" s="567" t="s">
        <v>54</v>
      </c>
      <c r="B101" s="568">
        <f>SUM(B93:B100)</f>
        <v>0</v>
      </c>
      <c r="C101" s="569">
        <f>SUM(C93:C100)</f>
        <v>47419.253280251025</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1:26" ht="13.5">
      <c r="A102" s="255"/>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1:26" ht="13.5">
      <c r="A103" s="255"/>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1:26" ht="13.5">
      <c r="A104" s="255"/>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1:26" ht="13.5">
      <c r="A105" s="255"/>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1:26" ht="13.5">
      <c r="A106" s="255"/>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1:26" ht="13.5">
      <c r="A107" s="255"/>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1:26" ht="13.5">
      <c r="A108" s="255"/>
      <c r="B108" s="255"/>
      <c r="C108" s="255"/>
      <c r="D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sheetData>
  <sheetProtection/>
  <mergeCells count="17">
    <mergeCell ref="W61:Z61"/>
    <mergeCell ref="O59:R59"/>
    <mergeCell ref="S59:V59"/>
    <mergeCell ref="W59:X59"/>
    <mergeCell ref="Y59:Z59"/>
    <mergeCell ref="B60:D60"/>
    <mergeCell ref="J60:M60"/>
    <mergeCell ref="O60:Q60"/>
    <mergeCell ref="S60:U60"/>
    <mergeCell ref="A3:A4"/>
    <mergeCell ref="A26:K26"/>
    <mergeCell ref="A56:F56"/>
    <mergeCell ref="A58:A60"/>
    <mergeCell ref="B59:E59"/>
    <mergeCell ref="F59:G59"/>
    <mergeCell ref="H59:I59"/>
    <mergeCell ref="J59:N59"/>
  </mergeCells>
  <printOptions/>
  <pageMargins left="0.7" right="0.7" top="0.75" bottom="0.75" header="0.3" footer="0.3"/>
  <pageSetup fitToHeight="1" fitToWidth="1" horizontalDpi="600" verticalDpi="600" orientation="landscape" paperSize="17" scale="38" r:id="rId1"/>
</worksheet>
</file>

<file path=xl/worksheets/sheet12.xml><?xml version="1.0" encoding="utf-8"?>
<worksheet xmlns="http://schemas.openxmlformats.org/spreadsheetml/2006/main" xmlns:r="http://schemas.openxmlformats.org/officeDocument/2006/relationships">
  <sheetPr>
    <pageSetUpPr fitToPage="1"/>
  </sheetPr>
  <dimension ref="A1:Y95"/>
  <sheetViews>
    <sheetView zoomScalePageLayoutView="0" workbookViewId="0" topLeftCell="A1">
      <selection activeCell="A1" sqref="A1"/>
    </sheetView>
  </sheetViews>
  <sheetFormatPr defaultColWidth="9.140625" defaultRowHeight="12.75"/>
  <cols>
    <col min="1" max="26" width="16.7109375" style="0" customWidth="1"/>
  </cols>
  <sheetData>
    <row r="1" spans="1:25" ht="18">
      <c r="A1" s="316" t="s">
        <v>355</v>
      </c>
      <c r="B1" s="255"/>
      <c r="C1" s="255"/>
      <c r="D1" s="255"/>
      <c r="E1" s="255"/>
      <c r="F1" s="602" t="s">
        <v>24</v>
      </c>
      <c r="G1" s="255"/>
      <c r="H1" s="255"/>
      <c r="I1" s="255"/>
      <c r="J1" s="255"/>
      <c r="K1" s="255"/>
      <c r="L1" s="255"/>
      <c r="M1" s="255"/>
      <c r="N1" s="255"/>
      <c r="O1" s="255"/>
      <c r="P1" s="255"/>
      <c r="Q1" s="255"/>
      <c r="R1" s="255"/>
      <c r="S1" s="255"/>
      <c r="T1" s="255"/>
      <c r="U1" s="255"/>
      <c r="V1" s="255"/>
      <c r="W1" s="255"/>
      <c r="X1" s="255"/>
      <c r="Y1" s="255"/>
    </row>
    <row r="2" spans="1:25" ht="18">
      <c r="A2" s="317"/>
      <c r="B2" s="318"/>
      <c r="C2" s="255"/>
      <c r="D2" s="255"/>
      <c r="E2" s="319"/>
      <c r="F2" s="603" t="s">
        <v>24</v>
      </c>
      <c r="G2" s="321"/>
      <c r="H2" s="255"/>
      <c r="I2" s="255"/>
      <c r="J2" s="255"/>
      <c r="K2" s="255"/>
      <c r="L2" s="255"/>
      <c r="M2" s="255"/>
      <c r="N2" s="255"/>
      <c r="O2" s="255"/>
      <c r="P2" s="255"/>
      <c r="Q2" s="255"/>
      <c r="R2" s="255"/>
      <c r="S2" s="255"/>
      <c r="T2" s="255"/>
      <c r="U2" s="255"/>
      <c r="V2" s="255"/>
      <c r="W2" s="255"/>
      <c r="X2" s="255"/>
      <c r="Y2" s="255"/>
    </row>
    <row r="3" spans="1:25" ht="15">
      <c r="A3" s="684" t="s">
        <v>66</v>
      </c>
      <c r="B3" s="684"/>
      <c r="C3" s="322"/>
      <c r="D3" s="322"/>
      <c r="E3" s="322"/>
      <c r="F3" s="322"/>
      <c r="G3" s="322"/>
      <c r="H3" s="322"/>
      <c r="I3" s="372" t="s">
        <v>24</v>
      </c>
      <c r="J3" s="372"/>
      <c r="K3" s="255"/>
      <c r="L3" s="255"/>
      <c r="M3" s="255"/>
      <c r="N3" s="255"/>
      <c r="O3" s="255"/>
      <c r="P3" s="255"/>
      <c r="Q3" s="255"/>
      <c r="R3" s="255"/>
      <c r="S3" s="255"/>
      <c r="T3" s="255"/>
      <c r="U3" s="255"/>
      <c r="V3" s="255"/>
      <c r="W3" s="255"/>
      <c r="X3" s="255"/>
      <c r="Y3" s="255"/>
    </row>
    <row r="4" spans="1:25" ht="54.75">
      <c r="A4" s="577" t="s">
        <v>191</v>
      </c>
      <c r="B4" s="374" t="s">
        <v>196</v>
      </c>
      <c r="C4" s="374" t="s">
        <v>202</v>
      </c>
      <c r="D4" s="572" t="s">
        <v>57</v>
      </c>
      <c r="E4" s="374" t="s">
        <v>200</v>
      </c>
      <c r="F4" s="572" t="s">
        <v>197</v>
      </c>
      <c r="G4" s="374" t="s">
        <v>201</v>
      </c>
      <c r="H4" s="572" t="s">
        <v>59</v>
      </c>
      <c r="I4" s="326"/>
      <c r="J4" s="326"/>
      <c r="K4" s="255"/>
      <c r="L4" s="255"/>
      <c r="M4" s="255"/>
      <c r="N4" s="255"/>
      <c r="O4" s="255"/>
      <c r="P4" s="255"/>
      <c r="Q4" s="255"/>
      <c r="R4" s="255"/>
      <c r="S4" s="255"/>
      <c r="T4" s="255"/>
      <c r="U4" s="255"/>
      <c r="V4" s="255"/>
      <c r="W4" s="255"/>
      <c r="X4" s="255"/>
      <c r="Y4" s="255"/>
    </row>
    <row r="5" spans="1:25" ht="13.5">
      <c r="A5" s="327" t="s">
        <v>6</v>
      </c>
      <c r="B5" s="328">
        <v>26.5</v>
      </c>
      <c r="C5" s="328">
        <v>0</v>
      </c>
      <c r="D5" s="573">
        <f>B5+C5</f>
        <v>26.5</v>
      </c>
      <c r="E5" s="328">
        <v>0</v>
      </c>
      <c r="F5" s="573">
        <f>D5+E5</f>
        <v>26.5</v>
      </c>
      <c r="G5" s="330">
        <v>0</v>
      </c>
      <c r="H5" s="573">
        <f>F5+G5</f>
        <v>26.5</v>
      </c>
      <c r="I5" s="318"/>
      <c r="J5" s="318" t="s">
        <v>24</v>
      </c>
      <c r="K5" s="255"/>
      <c r="L5" s="255"/>
      <c r="M5" s="255"/>
      <c r="N5" s="255"/>
      <c r="O5" s="255"/>
      <c r="P5" s="255"/>
      <c r="Q5" s="255"/>
      <c r="R5" s="255"/>
      <c r="S5" s="255"/>
      <c r="T5" s="255"/>
      <c r="U5" s="255"/>
      <c r="V5" s="255"/>
      <c r="W5" s="255"/>
      <c r="X5" s="255"/>
      <c r="Y5" s="255"/>
    </row>
    <row r="6" spans="1:25" ht="13.5">
      <c r="A6" s="327" t="s">
        <v>29</v>
      </c>
      <c r="B6" s="328">
        <f>$B$5</f>
        <v>26.5</v>
      </c>
      <c r="C6" s="328">
        <v>0</v>
      </c>
      <c r="D6" s="573">
        <f>B6+C6</f>
        <v>26.5</v>
      </c>
      <c r="E6" s="328">
        <v>0</v>
      </c>
      <c r="F6" s="573">
        <f aca="true" t="shared" si="0" ref="F6:F17">D6+E6</f>
        <v>26.5</v>
      </c>
      <c r="G6" s="330">
        <v>0</v>
      </c>
      <c r="H6" s="573">
        <f aca="true" t="shared" si="1" ref="H6:H17">F6+G6</f>
        <v>26.5</v>
      </c>
      <c r="I6" s="318"/>
      <c r="J6" s="318" t="s">
        <v>24</v>
      </c>
      <c r="K6" s="255" t="s">
        <v>24</v>
      </c>
      <c r="L6" s="255"/>
      <c r="M6" s="255"/>
      <c r="N6" s="255"/>
      <c r="O6" s="255"/>
      <c r="P6" s="255"/>
      <c r="Q6" s="255"/>
      <c r="R6" s="255"/>
      <c r="S6" s="255"/>
      <c r="T6" s="255"/>
      <c r="U6" s="255"/>
      <c r="V6" s="255"/>
      <c r="W6" s="255"/>
      <c r="X6" s="255"/>
      <c r="Y6" s="255"/>
    </row>
    <row r="7" spans="1:25" ht="13.5">
      <c r="A7" s="327" t="s">
        <v>39</v>
      </c>
      <c r="B7" s="328">
        <f aca="true" t="shared" si="2" ref="B7:B17">$B$5</f>
        <v>26.5</v>
      </c>
      <c r="C7" s="328">
        <v>0</v>
      </c>
      <c r="D7" s="573">
        <f>B7+C6+C7</f>
        <v>26.5</v>
      </c>
      <c r="E7" s="328">
        <v>0</v>
      </c>
      <c r="F7" s="573">
        <f t="shared" si="0"/>
        <v>26.5</v>
      </c>
      <c r="G7" s="330">
        <v>0</v>
      </c>
      <c r="H7" s="573">
        <f t="shared" si="1"/>
        <v>26.5</v>
      </c>
      <c r="I7" s="318"/>
      <c r="J7" s="318"/>
      <c r="K7" s="255"/>
      <c r="L7" s="255"/>
      <c r="M7" s="255"/>
      <c r="N7" s="255"/>
      <c r="O7" s="255"/>
      <c r="P7" s="255"/>
      <c r="Q7" s="255"/>
      <c r="R7" s="255"/>
      <c r="S7" s="255"/>
      <c r="T7" s="255"/>
      <c r="U7" s="255"/>
      <c r="V7" s="255"/>
      <c r="W7" s="255"/>
      <c r="X7" s="255"/>
      <c r="Y7" s="255"/>
    </row>
    <row r="8" spans="1:25" ht="13.5">
      <c r="A8" s="327" t="s">
        <v>5</v>
      </c>
      <c r="B8" s="328">
        <f t="shared" si="2"/>
        <v>26.5</v>
      </c>
      <c r="C8" s="328">
        <v>0</v>
      </c>
      <c r="D8" s="573">
        <f>B8+C6+C8</f>
        <v>26.5</v>
      </c>
      <c r="E8" s="328">
        <v>0</v>
      </c>
      <c r="F8" s="573">
        <f t="shared" si="0"/>
        <v>26.5</v>
      </c>
      <c r="G8" s="330">
        <v>0</v>
      </c>
      <c r="H8" s="573">
        <f t="shared" si="1"/>
        <v>26.5</v>
      </c>
      <c r="I8" s="318" t="s">
        <v>24</v>
      </c>
      <c r="J8" s="318" t="s">
        <v>24</v>
      </c>
      <c r="K8" s="255"/>
      <c r="L8" s="255"/>
      <c r="M8" s="255"/>
      <c r="N8" s="255"/>
      <c r="O8" s="255"/>
      <c r="P8" s="255"/>
      <c r="Q8" s="255"/>
      <c r="R8" s="255"/>
      <c r="S8" s="255"/>
      <c r="T8" s="255"/>
      <c r="U8" s="255"/>
      <c r="V8" s="255"/>
      <c r="W8" s="255"/>
      <c r="X8" s="255"/>
      <c r="Y8" s="255"/>
    </row>
    <row r="9" spans="1:25" ht="13.5">
      <c r="A9" s="327" t="s">
        <v>8</v>
      </c>
      <c r="B9" s="328">
        <f t="shared" si="2"/>
        <v>26.5</v>
      </c>
      <c r="C9" s="328">
        <v>93.93</v>
      </c>
      <c r="D9" s="573">
        <f>B9+C6+C7+C9</f>
        <v>120.43</v>
      </c>
      <c r="E9" s="328">
        <v>0</v>
      </c>
      <c r="F9" s="573">
        <f t="shared" si="0"/>
        <v>120.43</v>
      </c>
      <c r="G9" s="330">
        <v>0</v>
      </c>
      <c r="H9" s="573">
        <f t="shared" si="1"/>
        <v>120.43</v>
      </c>
      <c r="I9" s="318"/>
      <c r="J9" s="318"/>
      <c r="K9" s="255"/>
      <c r="L9" s="255"/>
      <c r="M9" s="255"/>
      <c r="N9" s="255"/>
      <c r="O9" s="255"/>
      <c r="P9" s="255"/>
      <c r="Q9" s="255"/>
      <c r="R9" s="255"/>
      <c r="S9" s="255"/>
      <c r="T9" s="255"/>
      <c r="U9" s="255"/>
      <c r="V9" s="255"/>
      <c r="W9" s="255"/>
      <c r="X9" s="255"/>
      <c r="Y9" s="255"/>
    </row>
    <row r="10" spans="1:25" ht="13.5">
      <c r="A10" s="327" t="s">
        <v>40</v>
      </c>
      <c r="B10" s="328">
        <f t="shared" si="2"/>
        <v>26.5</v>
      </c>
      <c r="C10" s="328">
        <v>58.56999999999999</v>
      </c>
      <c r="D10" s="573">
        <f>B10+C6+C7+C9+C10</f>
        <v>179</v>
      </c>
      <c r="E10" s="328">
        <v>0</v>
      </c>
      <c r="F10" s="573">
        <f t="shared" si="0"/>
        <v>179</v>
      </c>
      <c r="G10" s="330">
        <v>0</v>
      </c>
      <c r="H10" s="573">
        <f t="shared" si="1"/>
        <v>179</v>
      </c>
      <c r="I10" s="318"/>
      <c r="J10" s="318" t="s">
        <v>24</v>
      </c>
      <c r="K10" s="255"/>
      <c r="L10" s="255"/>
      <c r="M10" s="255"/>
      <c r="N10" s="255"/>
      <c r="O10" s="255"/>
      <c r="P10" s="255"/>
      <c r="Q10" s="255"/>
      <c r="R10" s="255"/>
      <c r="S10" s="255"/>
      <c r="T10" s="255"/>
      <c r="U10" s="255"/>
      <c r="V10" s="255"/>
      <c r="W10" s="255"/>
      <c r="X10" s="255"/>
      <c r="Y10" s="255"/>
    </row>
    <row r="11" spans="1:25" ht="13.5">
      <c r="A11" s="327" t="s">
        <v>41</v>
      </c>
      <c r="B11" s="328">
        <f t="shared" si="2"/>
        <v>26.5</v>
      </c>
      <c r="C11" s="328">
        <v>0</v>
      </c>
      <c r="D11" s="573">
        <f>B11+C6+C7+C11</f>
        <v>26.5</v>
      </c>
      <c r="E11" s="328">
        <v>0</v>
      </c>
      <c r="F11" s="573">
        <f t="shared" si="0"/>
        <v>26.5</v>
      </c>
      <c r="G11" s="330">
        <v>0</v>
      </c>
      <c r="H11" s="573">
        <f t="shared" si="1"/>
        <v>26.5</v>
      </c>
      <c r="I11" s="318"/>
      <c r="J11" s="318"/>
      <c r="K11" s="255"/>
      <c r="L11" s="255"/>
      <c r="M11" s="255"/>
      <c r="N11" s="255"/>
      <c r="O11" s="255"/>
      <c r="P11" s="255"/>
      <c r="Q11" s="255"/>
      <c r="R11" s="255"/>
      <c r="S11" s="255"/>
      <c r="T11" s="255"/>
      <c r="U11" s="255"/>
      <c r="V11" s="255"/>
      <c r="W11" s="255"/>
      <c r="X11" s="255"/>
      <c r="Y11" s="255"/>
    </row>
    <row r="12" spans="1:25" ht="13.5">
      <c r="A12" s="333" t="s">
        <v>15</v>
      </c>
      <c r="B12" s="328">
        <f t="shared" si="2"/>
        <v>26.5</v>
      </c>
      <c r="C12" s="334">
        <v>0</v>
      </c>
      <c r="D12" s="573">
        <f>B12+C6+C8+C12</f>
        <v>26.5</v>
      </c>
      <c r="E12" s="328">
        <v>0</v>
      </c>
      <c r="F12" s="573">
        <f t="shared" si="0"/>
        <v>26.5</v>
      </c>
      <c r="G12" s="330">
        <v>0</v>
      </c>
      <c r="H12" s="573">
        <f t="shared" si="1"/>
        <v>26.5</v>
      </c>
      <c r="I12" s="318"/>
      <c r="J12" s="318"/>
      <c r="K12" s="255"/>
      <c r="L12" s="255"/>
      <c r="M12" s="255"/>
      <c r="N12" s="255"/>
      <c r="O12" s="255"/>
      <c r="P12" s="255"/>
      <c r="Q12" s="255"/>
      <c r="R12" s="255"/>
      <c r="S12" s="255"/>
      <c r="T12" s="255"/>
      <c r="U12" s="255"/>
      <c r="V12" s="255"/>
      <c r="W12" s="255"/>
      <c r="X12" s="255"/>
      <c r="Y12" s="255"/>
    </row>
    <row r="13" spans="1:25" ht="13.5">
      <c r="A13" s="333" t="s">
        <v>49</v>
      </c>
      <c r="B13" s="328">
        <f t="shared" si="2"/>
        <v>26.5</v>
      </c>
      <c r="C13" s="334">
        <v>0</v>
      </c>
      <c r="D13" s="573">
        <f>B13+C13</f>
        <v>26.5</v>
      </c>
      <c r="E13" s="328">
        <v>0</v>
      </c>
      <c r="F13" s="573">
        <f t="shared" si="0"/>
        <v>26.5</v>
      </c>
      <c r="G13" s="330">
        <v>0</v>
      </c>
      <c r="H13" s="573">
        <f>F13+G13</f>
        <v>26.5</v>
      </c>
      <c r="I13" s="318"/>
      <c r="J13" s="318" t="s">
        <v>24</v>
      </c>
      <c r="K13" s="255" t="s">
        <v>24</v>
      </c>
      <c r="L13" s="255"/>
      <c r="M13" s="255"/>
      <c r="N13" s="255"/>
      <c r="O13" s="255"/>
      <c r="P13" s="255"/>
      <c r="Q13" s="255"/>
      <c r="R13" s="255"/>
      <c r="S13" s="255"/>
      <c r="T13" s="255"/>
      <c r="U13" s="255"/>
      <c r="V13" s="255"/>
      <c r="W13" s="255"/>
      <c r="X13" s="255"/>
      <c r="Y13" s="255"/>
    </row>
    <row r="14" spans="1:25" ht="13.5">
      <c r="A14" s="333" t="s">
        <v>156</v>
      </c>
      <c r="B14" s="328">
        <f t="shared" si="2"/>
        <v>26.5</v>
      </c>
      <c r="C14" s="334">
        <v>0</v>
      </c>
      <c r="D14" s="573">
        <f>B14+C13+C14</f>
        <v>26.5</v>
      </c>
      <c r="E14" s="328">
        <v>0</v>
      </c>
      <c r="F14" s="573">
        <f t="shared" si="0"/>
        <v>26.5</v>
      </c>
      <c r="G14" s="330">
        <v>0</v>
      </c>
      <c r="H14" s="573">
        <f t="shared" si="1"/>
        <v>26.5</v>
      </c>
      <c r="I14" s="335"/>
      <c r="J14" s="318"/>
      <c r="K14" s="255"/>
      <c r="L14" s="255"/>
      <c r="M14" s="255"/>
      <c r="N14" s="255"/>
      <c r="O14" s="255"/>
      <c r="P14" s="255"/>
      <c r="Q14" s="255"/>
      <c r="R14" s="255"/>
      <c r="S14" s="255"/>
      <c r="T14" s="255"/>
      <c r="U14" s="255"/>
      <c r="V14" s="255"/>
      <c r="W14" s="255"/>
      <c r="X14" s="255"/>
      <c r="Y14" s="255"/>
    </row>
    <row r="15" spans="1:25" ht="13.5">
      <c r="A15" s="333" t="s">
        <v>20</v>
      </c>
      <c r="B15" s="328">
        <f t="shared" si="2"/>
        <v>26.5</v>
      </c>
      <c r="C15" s="334">
        <v>0</v>
      </c>
      <c r="D15" s="573">
        <f>B15+C15</f>
        <v>26.5</v>
      </c>
      <c r="E15" s="328">
        <v>0</v>
      </c>
      <c r="F15" s="573">
        <f t="shared" si="0"/>
        <v>26.5</v>
      </c>
      <c r="G15" s="330">
        <v>0</v>
      </c>
      <c r="H15" s="573">
        <f t="shared" si="1"/>
        <v>26.5</v>
      </c>
      <c r="I15" s="340" t="s">
        <v>24</v>
      </c>
      <c r="J15" s="340"/>
      <c r="K15" s="255"/>
      <c r="L15" s="255"/>
      <c r="M15" s="255"/>
      <c r="N15" s="255"/>
      <c r="O15" s="255"/>
      <c r="P15" s="255"/>
      <c r="Q15" s="255"/>
      <c r="R15" s="255"/>
      <c r="S15" s="255"/>
      <c r="T15" s="255"/>
      <c r="U15" s="255"/>
      <c r="V15" s="255"/>
      <c r="W15" s="255"/>
      <c r="X15" s="255"/>
      <c r="Y15" s="255"/>
    </row>
    <row r="16" spans="1:25" ht="13.5">
      <c r="A16" s="333" t="s">
        <v>11</v>
      </c>
      <c r="B16" s="328">
        <f t="shared" si="2"/>
        <v>26.5</v>
      </c>
      <c r="C16" s="334">
        <v>0</v>
      </c>
      <c r="D16" s="573">
        <f>B16+C6+C8+C16</f>
        <v>26.5</v>
      </c>
      <c r="E16" s="328">
        <v>0</v>
      </c>
      <c r="F16" s="573">
        <f t="shared" si="0"/>
        <v>26.5</v>
      </c>
      <c r="G16" s="330">
        <v>0</v>
      </c>
      <c r="H16" s="573">
        <f t="shared" si="1"/>
        <v>26.5</v>
      </c>
      <c r="I16" s="340"/>
      <c r="J16" s="340"/>
      <c r="K16" s="255"/>
      <c r="L16" s="255"/>
      <c r="M16" s="255"/>
      <c r="N16" s="255"/>
      <c r="O16" s="255"/>
      <c r="P16" s="255"/>
      <c r="Q16" s="255"/>
      <c r="R16" s="255"/>
      <c r="S16" s="255"/>
      <c r="T16" s="255"/>
      <c r="U16" s="255"/>
      <c r="V16" s="255"/>
      <c r="W16" s="255"/>
      <c r="X16" s="255"/>
      <c r="Y16" s="255"/>
    </row>
    <row r="17" spans="1:25" ht="13.5">
      <c r="A17" s="333" t="s">
        <v>10</v>
      </c>
      <c r="B17" s="328">
        <f t="shared" si="2"/>
        <v>26.5</v>
      </c>
      <c r="C17" s="334">
        <v>0</v>
      </c>
      <c r="D17" s="573">
        <f>B17+C6+C17</f>
        <v>26.5</v>
      </c>
      <c r="E17" s="330">
        <v>0</v>
      </c>
      <c r="F17" s="573">
        <f t="shared" si="0"/>
        <v>26.5</v>
      </c>
      <c r="G17" s="330">
        <v>0</v>
      </c>
      <c r="H17" s="573">
        <f t="shared" si="1"/>
        <v>26.5</v>
      </c>
      <c r="I17" s="340"/>
      <c r="J17" s="340"/>
      <c r="K17" s="255"/>
      <c r="L17" s="255"/>
      <c r="M17" s="255"/>
      <c r="N17" s="255"/>
      <c r="O17" s="255"/>
      <c r="P17" s="255"/>
      <c r="Q17" s="255"/>
      <c r="R17" s="255"/>
      <c r="S17" s="255"/>
      <c r="T17" s="255"/>
      <c r="U17" s="255"/>
      <c r="V17" s="255"/>
      <c r="W17" s="255"/>
      <c r="X17" s="255"/>
      <c r="Y17" s="255"/>
    </row>
    <row r="18" spans="1:25" ht="13.5">
      <c r="A18" s="333" t="s">
        <v>326</v>
      </c>
      <c r="B18" s="328" t="s">
        <v>180</v>
      </c>
      <c r="C18" s="328" t="s">
        <v>180</v>
      </c>
      <c r="D18" s="573" t="s">
        <v>180</v>
      </c>
      <c r="E18" s="328" t="s">
        <v>180</v>
      </c>
      <c r="F18" s="573" t="s">
        <v>180</v>
      </c>
      <c r="G18" s="328" t="s">
        <v>180</v>
      </c>
      <c r="H18" s="573" t="s">
        <v>180</v>
      </c>
      <c r="I18" s="340"/>
      <c r="J18" s="340"/>
      <c r="K18" s="255"/>
      <c r="L18" s="255"/>
      <c r="M18" s="255"/>
      <c r="N18" s="255"/>
      <c r="O18" s="255"/>
      <c r="P18" s="255"/>
      <c r="Q18" s="255"/>
      <c r="R18" s="255"/>
      <c r="S18" s="255"/>
      <c r="T18" s="255"/>
      <c r="U18" s="255"/>
      <c r="V18" s="255"/>
      <c r="W18" s="255"/>
      <c r="X18" s="255"/>
      <c r="Y18" s="255"/>
    </row>
    <row r="19" spans="1:25" ht="13.5">
      <c r="A19" s="333" t="s">
        <v>327</v>
      </c>
      <c r="B19" s="328" t="s">
        <v>180</v>
      </c>
      <c r="C19" s="328" t="s">
        <v>180</v>
      </c>
      <c r="D19" s="573" t="s">
        <v>180</v>
      </c>
      <c r="E19" s="328" t="s">
        <v>180</v>
      </c>
      <c r="F19" s="573" t="s">
        <v>180</v>
      </c>
      <c r="G19" s="328" t="s">
        <v>180</v>
      </c>
      <c r="H19" s="573" t="s">
        <v>180</v>
      </c>
      <c r="I19" s="340"/>
      <c r="J19" s="340"/>
      <c r="K19" s="255"/>
      <c r="L19" s="255"/>
      <c r="M19" s="255"/>
      <c r="N19" s="255"/>
      <c r="O19" s="255"/>
      <c r="P19" s="255"/>
      <c r="Q19" s="255"/>
      <c r="R19" s="255"/>
      <c r="S19" s="255"/>
      <c r="T19" s="255"/>
      <c r="U19" s="255"/>
      <c r="V19" s="255"/>
      <c r="W19" s="255"/>
      <c r="X19" s="255"/>
      <c r="Y19" s="255"/>
    </row>
    <row r="20" spans="1:25" ht="13.5">
      <c r="A20" s="333" t="s">
        <v>328</v>
      </c>
      <c r="B20" s="328" t="s">
        <v>180</v>
      </c>
      <c r="C20" s="328" t="s">
        <v>180</v>
      </c>
      <c r="D20" s="573" t="s">
        <v>180</v>
      </c>
      <c r="E20" s="328" t="s">
        <v>180</v>
      </c>
      <c r="F20" s="573" t="s">
        <v>180</v>
      </c>
      <c r="G20" s="328" t="s">
        <v>180</v>
      </c>
      <c r="H20" s="573" t="s">
        <v>180</v>
      </c>
      <c r="I20" s="340"/>
      <c r="J20" s="340"/>
      <c r="K20" s="255"/>
      <c r="L20" s="255"/>
      <c r="M20" s="255"/>
      <c r="N20" s="255"/>
      <c r="O20" s="255"/>
      <c r="P20" s="255"/>
      <c r="Q20" s="255"/>
      <c r="R20" s="255"/>
      <c r="S20" s="255"/>
      <c r="T20" s="255"/>
      <c r="U20" s="255"/>
      <c r="V20" s="255"/>
      <c r="W20" s="255"/>
      <c r="X20" s="255"/>
      <c r="Y20" s="255"/>
    </row>
    <row r="21" spans="1:25" ht="13.5">
      <c r="A21" s="333" t="s">
        <v>178</v>
      </c>
      <c r="B21" s="328">
        <v>26.5</v>
      </c>
      <c r="C21" s="328">
        <v>0</v>
      </c>
      <c r="D21" s="573">
        <f>B21+C21</f>
        <v>26.5</v>
      </c>
      <c r="E21" s="328" t="s">
        <v>180</v>
      </c>
      <c r="F21" s="573" t="s">
        <v>180</v>
      </c>
      <c r="G21" s="328" t="s">
        <v>180</v>
      </c>
      <c r="H21" s="573" t="s">
        <v>180</v>
      </c>
      <c r="I21" s="340"/>
      <c r="J21" s="340"/>
      <c r="K21" s="255"/>
      <c r="L21" s="255"/>
      <c r="M21" s="255"/>
      <c r="N21" s="255"/>
      <c r="O21" s="255"/>
      <c r="P21" s="255"/>
      <c r="Q21" s="255"/>
      <c r="R21" s="255"/>
      <c r="S21" s="255"/>
      <c r="T21" s="255"/>
      <c r="U21" s="255"/>
      <c r="V21" s="255"/>
      <c r="W21" s="255"/>
      <c r="X21" s="255"/>
      <c r="Y21" s="255"/>
    </row>
    <row r="22" spans="1:25" ht="13.5">
      <c r="A22" s="333" t="s">
        <v>330</v>
      </c>
      <c r="B22" s="328" t="s">
        <v>180</v>
      </c>
      <c r="C22" s="328" t="s">
        <v>180</v>
      </c>
      <c r="D22" s="573" t="s">
        <v>180</v>
      </c>
      <c r="E22" s="328" t="s">
        <v>180</v>
      </c>
      <c r="F22" s="573" t="s">
        <v>180</v>
      </c>
      <c r="G22" s="328" t="s">
        <v>180</v>
      </c>
      <c r="H22" s="573" t="s">
        <v>180</v>
      </c>
      <c r="I22" s="340"/>
      <c r="J22" s="340"/>
      <c r="K22" s="255"/>
      <c r="L22" s="255"/>
      <c r="M22" s="255"/>
      <c r="N22" s="255"/>
      <c r="O22" s="255"/>
      <c r="P22" s="255"/>
      <c r="Q22" s="255"/>
      <c r="R22" s="255"/>
      <c r="S22" s="255"/>
      <c r="T22" s="255"/>
      <c r="U22" s="255"/>
      <c r="V22" s="255"/>
      <c r="W22" s="255"/>
      <c r="X22" s="255"/>
      <c r="Y22" s="255"/>
    </row>
    <row r="23" spans="1:25" ht="13.5">
      <c r="A23" s="336" t="s">
        <v>198</v>
      </c>
      <c r="B23" s="337"/>
      <c r="C23" s="338"/>
      <c r="D23" s="338"/>
      <c r="E23" s="338"/>
      <c r="F23" s="338"/>
      <c r="G23" s="338"/>
      <c r="H23" s="338"/>
      <c r="I23" s="340"/>
      <c r="J23" s="340"/>
      <c r="K23" s="255"/>
      <c r="L23" s="255"/>
      <c r="M23" s="255"/>
      <c r="N23" s="255"/>
      <c r="O23" s="255"/>
      <c r="P23" s="255"/>
      <c r="Q23" s="255"/>
      <c r="R23" s="255"/>
      <c r="S23" s="255"/>
      <c r="T23" s="255"/>
      <c r="U23" s="255"/>
      <c r="V23" s="255"/>
      <c r="W23" s="255"/>
      <c r="X23" s="255"/>
      <c r="Y23" s="255"/>
    </row>
    <row r="24" spans="1:25" ht="24.75" customHeight="1">
      <c r="A24" s="636" t="s">
        <v>199</v>
      </c>
      <c r="B24" s="636"/>
      <c r="C24" s="636"/>
      <c r="D24" s="636"/>
      <c r="E24" s="636"/>
      <c r="F24" s="636"/>
      <c r="G24" s="636"/>
      <c r="H24" s="636"/>
      <c r="I24" s="340"/>
      <c r="J24" s="340"/>
      <c r="K24" s="255"/>
      <c r="L24" s="255"/>
      <c r="M24" s="255"/>
      <c r="N24" s="255"/>
      <c r="O24" s="255"/>
      <c r="P24" s="255"/>
      <c r="Q24" s="255"/>
      <c r="R24" s="255"/>
      <c r="S24" s="255"/>
      <c r="T24" s="255"/>
      <c r="U24" s="255"/>
      <c r="V24" s="255"/>
      <c r="W24" s="255"/>
      <c r="X24" s="255"/>
      <c r="Y24" s="255"/>
    </row>
    <row r="25" spans="1:25" ht="13.5">
      <c r="A25" s="336" t="s">
        <v>370</v>
      </c>
      <c r="B25" s="337"/>
      <c r="C25" s="337"/>
      <c r="D25" s="337" t="s">
        <v>24</v>
      </c>
      <c r="E25" s="341"/>
      <c r="F25" s="342"/>
      <c r="G25" s="342"/>
      <c r="H25" s="342"/>
      <c r="I25" s="340"/>
      <c r="J25" s="340"/>
      <c r="K25" s="255"/>
      <c r="L25" s="255"/>
      <c r="M25" s="255"/>
      <c r="N25" s="255"/>
      <c r="O25" s="255"/>
      <c r="P25" s="255"/>
      <c r="Q25" s="255"/>
      <c r="R25" s="255"/>
      <c r="S25" s="255"/>
      <c r="T25" s="255"/>
      <c r="U25" s="255"/>
      <c r="V25" s="255"/>
      <c r="W25" s="255"/>
      <c r="X25" s="255"/>
      <c r="Y25" s="255"/>
    </row>
    <row r="26" spans="1:25" ht="13.5">
      <c r="A26" s="336"/>
      <c r="B26" s="337"/>
      <c r="C26" s="337"/>
      <c r="D26" s="337" t="s">
        <v>24</v>
      </c>
      <c r="E26" s="341"/>
      <c r="F26" s="342"/>
      <c r="G26" s="342"/>
      <c r="H26" s="342"/>
      <c r="I26" s="340"/>
      <c r="J26" s="340"/>
      <c r="K26" s="255"/>
      <c r="L26" s="255"/>
      <c r="M26" s="255"/>
      <c r="N26" s="255"/>
      <c r="O26" s="255"/>
      <c r="P26" s="255"/>
      <c r="Q26" s="255"/>
      <c r="R26" s="255"/>
      <c r="S26" s="255"/>
      <c r="T26" s="255"/>
      <c r="U26" s="255"/>
      <c r="V26" s="255"/>
      <c r="W26" s="255"/>
      <c r="X26" s="255"/>
      <c r="Y26" s="255"/>
    </row>
    <row r="27" spans="1:25" ht="15">
      <c r="A27" s="685" t="s">
        <v>238</v>
      </c>
      <c r="B27" s="685"/>
      <c r="C27" s="685"/>
      <c r="D27" s="685"/>
      <c r="E27" s="341"/>
      <c r="F27" s="342"/>
      <c r="G27" s="342"/>
      <c r="H27" s="342"/>
      <c r="I27" s="340"/>
      <c r="J27" s="340"/>
      <c r="K27" s="255"/>
      <c r="L27" s="255"/>
      <c r="M27" s="255"/>
      <c r="N27" s="255"/>
      <c r="O27" s="255"/>
      <c r="P27" s="255"/>
      <c r="Q27" s="255"/>
      <c r="R27" s="255"/>
      <c r="S27" s="255"/>
      <c r="T27" s="255"/>
      <c r="U27" s="255"/>
      <c r="V27" s="255"/>
      <c r="W27" s="255"/>
      <c r="X27" s="255"/>
      <c r="Y27" s="255"/>
    </row>
    <row r="28" spans="1:25" ht="13.5">
      <c r="A28" s="680" t="s">
        <v>3</v>
      </c>
      <c r="B28" s="679" t="s">
        <v>239</v>
      </c>
      <c r="C28" s="679"/>
      <c r="D28" s="679"/>
      <c r="E28" s="679"/>
      <c r="F28" s="679" t="s">
        <v>240</v>
      </c>
      <c r="G28" s="679"/>
      <c r="H28" s="679"/>
      <c r="I28" s="679"/>
      <c r="J28" s="679" t="s">
        <v>241</v>
      </c>
      <c r="K28" s="679"/>
      <c r="L28" s="679"/>
      <c r="M28" s="679"/>
      <c r="N28" s="679" t="s">
        <v>242</v>
      </c>
      <c r="O28" s="679"/>
      <c r="P28" s="679"/>
      <c r="Q28" s="679"/>
      <c r="R28" s="340"/>
      <c r="S28" s="255"/>
      <c r="T28" s="255"/>
      <c r="U28" s="255"/>
      <c r="V28" s="255"/>
      <c r="W28" s="255"/>
      <c r="X28" s="255"/>
      <c r="Y28" s="255"/>
    </row>
    <row r="29" spans="1:25" ht="27">
      <c r="A29" s="680"/>
      <c r="B29" s="374" t="s">
        <v>245</v>
      </c>
      <c r="C29" s="374" t="s">
        <v>244</v>
      </c>
      <c r="D29" s="374" t="s">
        <v>243</v>
      </c>
      <c r="E29" s="374" t="s">
        <v>246</v>
      </c>
      <c r="F29" s="374" t="s">
        <v>372</v>
      </c>
      <c r="G29" s="374" t="s">
        <v>244</v>
      </c>
      <c r="H29" s="374" t="s">
        <v>243</v>
      </c>
      <c r="I29" s="374" t="s">
        <v>246</v>
      </c>
      <c r="J29" s="374" t="s">
        <v>245</v>
      </c>
      <c r="K29" s="374" t="s">
        <v>244</v>
      </c>
      <c r="L29" s="374" t="s">
        <v>243</v>
      </c>
      <c r="M29" s="374" t="s">
        <v>246</v>
      </c>
      <c r="N29" s="374" t="s">
        <v>245</v>
      </c>
      <c r="O29" s="374" t="s">
        <v>244</v>
      </c>
      <c r="P29" s="374" t="s">
        <v>243</v>
      </c>
      <c r="Q29" s="374" t="s">
        <v>246</v>
      </c>
      <c r="R29" s="255"/>
      <c r="S29" s="255"/>
      <c r="T29" s="255"/>
      <c r="U29" s="255"/>
      <c r="V29" s="255"/>
      <c r="W29" s="255"/>
      <c r="X29" s="255"/>
      <c r="Y29" s="255"/>
    </row>
    <row r="30" spans="1:25" ht="13.5">
      <c r="A30" s="327" t="s">
        <v>6</v>
      </c>
      <c r="B30" s="375">
        <v>3623.2</v>
      </c>
      <c r="C30" s="375">
        <v>437.4</v>
      </c>
      <c r="D30" s="375">
        <v>150.7</v>
      </c>
      <c r="E30" s="347">
        <f>B30+C30+D30</f>
        <v>4211.3</v>
      </c>
      <c r="F30" s="376">
        <v>1341.9</v>
      </c>
      <c r="G30" s="376">
        <v>18.7</v>
      </c>
      <c r="H30" s="376">
        <v>87.3</v>
      </c>
      <c r="I30" s="347">
        <f>F30+G30+H30</f>
        <v>1447.9</v>
      </c>
      <c r="J30" s="376">
        <f>B30-F30</f>
        <v>2281.2999999999997</v>
      </c>
      <c r="K30" s="376">
        <f>C30-G30</f>
        <v>418.7</v>
      </c>
      <c r="L30" s="376">
        <f>D30-H30</f>
        <v>63.39999999999999</v>
      </c>
      <c r="M30" s="377">
        <f>J30+K30+L30</f>
        <v>2763.3999999999996</v>
      </c>
      <c r="N30" s="354">
        <v>0</v>
      </c>
      <c r="O30" s="354">
        <v>0</v>
      </c>
      <c r="P30" s="354">
        <v>0</v>
      </c>
      <c r="Q30" s="347">
        <f>N30+O30+P30</f>
        <v>0</v>
      </c>
      <c r="R30" s="255"/>
      <c r="S30" s="255"/>
      <c r="T30" s="255"/>
      <c r="U30" s="255"/>
      <c r="V30" s="255"/>
      <c r="W30" s="255"/>
      <c r="X30" s="255"/>
      <c r="Y30" s="255"/>
    </row>
    <row r="31" spans="1:25" ht="13.5">
      <c r="A31" s="327" t="s">
        <v>29</v>
      </c>
      <c r="B31" s="375">
        <v>1900.2</v>
      </c>
      <c r="C31" s="375">
        <v>43.7</v>
      </c>
      <c r="D31" s="375">
        <v>119.9</v>
      </c>
      <c r="E31" s="347">
        <f aca="true" t="shared" si="3" ref="E31:E37">B31+C31+D31</f>
        <v>2063.8</v>
      </c>
      <c r="F31" s="376">
        <v>337.3</v>
      </c>
      <c r="G31" s="376">
        <v>18.7</v>
      </c>
      <c r="H31" s="376">
        <v>7.2</v>
      </c>
      <c r="I31" s="347">
        <f aca="true" t="shared" si="4" ref="I31:I42">F31+G31+H31</f>
        <v>363.2</v>
      </c>
      <c r="J31" s="376">
        <f>B31-F31</f>
        <v>1562.9</v>
      </c>
      <c r="K31" s="376">
        <f>C31-G31</f>
        <v>25.000000000000004</v>
      </c>
      <c r="L31" s="376">
        <f aca="true" t="shared" si="5" ref="K31:L42">D31-H31</f>
        <v>112.7</v>
      </c>
      <c r="M31" s="347">
        <f>J31+K31+L31</f>
        <v>1700.6000000000001</v>
      </c>
      <c r="N31" s="354">
        <v>0</v>
      </c>
      <c r="O31" s="354">
        <v>0</v>
      </c>
      <c r="P31" s="354">
        <v>0</v>
      </c>
      <c r="Q31" s="347">
        <f aca="true" t="shared" si="6" ref="Q31:Q37">N31+O31+P31</f>
        <v>0</v>
      </c>
      <c r="R31" s="255"/>
      <c r="S31" s="255"/>
      <c r="T31" s="255"/>
      <c r="U31" s="255"/>
      <c r="V31" s="255"/>
      <c r="W31" s="255"/>
      <c r="X31" s="255"/>
      <c r="Y31" s="255"/>
    </row>
    <row r="32" spans="1:25" ht="13.5">
      <c r="A32" s="327" t="s">
        <v>39</v>
      </c>
      <c r="B32" s="375">
        <v>1379.5</v>
      </c>
      <c r="C32" s="375">
        <v>8.1</v>
      </c>
      <c r="D32" s="375">
        <v>42.4</v>
      </c>
      <c r="E32" s="347">
        <f t="shared" si="3"/>
        <v>1430</v>
      </c>
      <c r="F32" s="376">
        <v>167.6</v>
      </c>
      <c r="G32" s="376">
        <v>0</v>
      </c>
      <c r="H32" s="376">
        <v>7.2</v>
      </c>
      <c r="I32" s="347">
        <f t="shared" si="4"/>
        <v>174.79999999999998</v>
      </c>
      <c r="J32" s="376">
        <f aca="true" t="shared" si="7" ref="J32:J42">B32-F32</f>
        <v>1211.9</v>
      </c>
      <c r="K32" s="376">
        <f t="shared" si="5"/>
        <v>8.1</v>
      </c>
      <c r="L32" s="376">
        <f t="shared" si="5"/>
        <v>35.199999999999996</v>
      </c>
      <c r="M32" s="347">
        <f aca="true" t="shared" si="8" ref="M32:M37">J32+K32+L32</f>
        <v>1255.2</v>
      </c>
      <c r="N32" s="354">
        <v>0</v>
      </c>
      <c r="O32" s="354">
        <v>0</v>
      </c>
      <c r="P32" s="354">
        <v>0</v>
      </c>
      <c r="Q32" s="347">
        <f t="shared" si="6"/>
        <v>0</v>
      </c>
      <c r="R32" s="255"/>
      <c r="S32" s="255"/>
      <c r="T32" s="255"/>
      <c r="U32" s="255"/>
      <c r="V32" s="255"/>
      <c r="W32" s="255"/>
      <c r="X32" s="255"/>
      <c r="Y32" s="255"/>
    </row>
    <row r="33" spans="1:25" ht="13.5">
      <c r="A33" s="327" t="s">
        <v>5</v>
      </c>
      <c r="B33" s="375">
        <v>222.1</v>
      </c>
      <c r="C33" s="375">
        <v>35.6</v>
      </c>
      <c r="D33" s="375">
        <v>22.2</v>
      </c>
      <c r="E33" s="347">
        <f t="shared" si="3"/>
        <v>279.9</v>
      </c>
      <c r="F33" s="376">
        <v>74.9</v>
      </c>
      <c r="G33" s="376">
        <v>18.7</v>
      </c>
      <c r="H33" s="376">
        <v>0</v>
      </c>
      <c r="I33" s="347">
        <f t="shared" si="4"/>
        <v>93.60000000000001</v>
      </c>
      <c r="J33" s="376">
        <f t="shared" si="7"/>
        <v>147.2</v>
      </c>
      <c r="K33" s="376">
        <f t="shared" si="5"/>
        <v>16.900000000000002</v>
      </c>
      <c r="L33" s="376">
        <f t="shared" si="5"/>
        <v>22.2</v>
      </c>
      <c r="M33" s="347">
        <f t="shared" si="8"/>
        <v>186.29999999999998</v>
      </c>
      <c r="N33" s="378">
        <v>0</v>
      </c>
      <c r="O33" s="378">
        <v>0</v>
      </c>
      <c r="P33" s="378">
        <v>0</v>
      </c>
      <c r="Q33" s="347">
        <f t="shared" si="6"/>
        <v>0</v>
      </c>
      <c r="R33" s="255"/>
      <c r="S33" s="255"/>
      <c r="T33" s="255"/>
      <c r="U33" s="255"/>
      <c r="V33" s="255"/>
      <c r="W33" s="255"/>
      <c r="X33" s="255"/>
      <c r="Y33" s="255"/>
    </row>
    <row r="34" spans="1:25" ht="13.5">
      <c r="A34" s="327" t="s">
        <v>8</v>
      </c>
      <c r="B34" s="375">
        <v>277.5</v>
      </c>
      <c r="C34" s="375">
        <v>0</v>
      </c>
      <c r="D34" s="375">
        <v>7</v>
      </c>
      <c r="E34" s="347">
        <f t="shared" si="3"/>
        <v>284.5</v>
      </c>
      <c r="F34" s="376">
        <v>53.5</v>
      </c>
      <c r="G34" s="376">
        <v>0</v>
      </c>
      <c r="H34" s="376">
        <v>7.2</v>
      </c>
      <c r="I34" s="347">
        <f>F34+G34+H34</f>
        <v>60.7</v>
      </c>
      <c r="J34" s="376">
        <f t="shared" si="7"/>
        <v>224</v>
      </c>
      <c r="K34" s="376">
        <f t="shared" si="5"/>
        <v>0</v>
      </c>
      <c r="L34" s="376">
        <f>D34-H34</f>
        <v>-0.20000000000000018</v>
      </c>
      <c r="M34" s="347">
        <f t="shared" si="8"/>
        <v>223.8</v>
      </c>
      <c r="N34" s="378">
        <v>0</v>
      </c>
      <c r="O34" s="378">
        <v>0</v>
      </c>
      <c r="P34" s="378">
        <v>0</v>
      </c>
      <c r="Q34" s="347">
        <f t="shared" si="6"/>
        <v>0</v>
      </c>
      <c r="R34" s="255"/>
      <c r="S34" s="255"/>
      <c r="T34" s="255"/>
      <c r="U34" s="255"/>
      <c r="V34" s="255"/>
      <c r="W34" s="255"/>
      <c r="X34" s="255"/>
      <c r="Y34" s="255"/>
    </row>
    <row r="35" spans="1:25" ht="13.5">
      <c r="A35" s="327" t="s">
        <v>40</v>
      </c>
      <c r="B35" s="375">
        <v>87.5</v>
      </c>
      <c r="C35" s="375">
        <v>0</v>
      </c>
      <c r="D35" s="375">
        <v>1.4</v>
      </c>
      <c r="E35" s="347">
        <f t="shared" si="3"/>
        <v>88.9</v>
      </c>
      <c r="F35" s="376">
        <v>30.5</v>
      </c>
      <c r="G35" s="376">
        <v>0</v>
      </c>
      <c r="H35" s="376">
        <v>2.5</v>
      </c>
      <c r="I35" s="347">
        <f t="shared" si="4"/>
        <v>33</v>
      </c>
      <c r="J35" s="376">
        <f t="shared" si="7"/>
        <v>57</v>
      </c>
      <c r="K35" s="376">
        <f>C35-G35</f>
        <v>0</v>
      </c>
      <c r="L35" s="376">
        <f t="shared" si="5"/>
        <v>-1.1</v>
      </c>
      <c r="M35" s="347">
        <f t="shared" si="8"/>
        <v>55.9</v>
      </c>
      <c r="N35" s="378">
        <v>0</v>
      </c>
      <c r="O35" s="378">
        <v>0</v>
      </c>
      <c r="P35" s="378">
        <v>0</v>
      </c>
      <c r="Q35" s="347">
        <f t="shared" si="6"/>
        <v>0</v>
      </c>
      <c r="R35" s="255"/>
      <c r="S35" s="255"/>
      <c r="T35" s="255"/>
      <c r="U35" s="255"/>
      <c r="V35" s="255"/>
      <c r="W35" s="255"/>
      <c r="X35" s="255"/>
      <c r="Y35" s="255"/>
    </row>
    <row r="36" spans="1:25" ht="13.5">
      <c r="A36" s="327" t="s">
        <v>41</v>
      </c>
      <c r="B36" s="375">
        <v>58.5</v>
      </c>
      <c r="C36" s="375">
        <v>0</v>
      </c>
      <c r="D36" s="375">
        <v>1.9</v>
      </c>
      <c r="E36" s="347">
        <f t="shared" si="3"/>
        <v>60.4</v>
      </c>
      <c r="F36" s="376">
        <v>2.9</v>
      </c>
      <c r="G36" s="376">
        <v>0</v>
      </c>
      <c r="H36" s="376">
        <v>0</v>
      </c>
      <c r="I36" s="347">
        <f t="shared" si="4"/>
        <v>2.9</v>
      </c>
      <c r="J36" s="376">
        <f t="shared" si="7"/>
        <v>55.6</v>
      </c>
      <c r="K36" s="376">
        <f t="shared" si="5"/>
        <v>0</v>
      </c>
      <c r="L36" s="376">
        <f t="shared" si="5"/>
        <v>1.9</v>
      </c>
      <c r="M36" s="347">
        <f t="shared" si="8"/>
        <v>57.5</v>
      </c>
      <c r="N36" s="378">
        <v>0</v>
      </c>
      <c r="O36" s="378">
        <v>0</v>
      </c>
      <c r="P36" s="378">
        <v>0</v>
      </c>
      <c r="Q36" s="347">
        <f t="shared" si="6"/>
        <v>0</v>
      </c>
      <c r="R36" s="255"/>
      <c r="S36" s="255"/>
      <c r="T36" s="255"/>
      <c r="U36" s="255"/>
      <c r="V36" s="255"/>
      <c r="W36" s="255"/>
      <c r="X36" s="255"/>
      <c r="Y36" s="255"/>
    </row>
    <row r="37" spans="1:25" ht="13.5">
      <c r="A37" s="333" t="s">
        <v>15</v>
      </c>
      <c r="B37" s="375">
        <v>50.1</v>
      </c>
      <c r="C37" s="375">
        <v>24.1</v>
      </c>
      <c r="D37" s="375">
        <v>3.9</v>
      </c>
      <c r="E37" s="347">
        <f t="shared" si="3"/>
        <v>78.10000000000001</v>
      </c>
      <c r="F37" s="376">
        <v>40.8</v>
      </c>
      <c r="G37" s="376">
        <v>18.7</v>
      </c>
      <c r="H37" s="376">
        <v>0</v>
      </c>
      <c r="I37" s="347">
        <f t="shared" si="4"/>
        <v>59.5</v>
      </c>
      <c r="J37" s="376">
        <f t="shared" si="7"/>
        <v>9.300000000000004</v>
      </c>
      <c r="K37" s="376">
        <f t="shared" si="5"/>
        <v>5.400000000000002</v>
      </c>
      <c r="L37" s="376">
        <f t="shared" si="5"/>
        <v>3.9</v>
      </c>
      <c r="M37" s="347">
        <f t="shared" si="8"/>
        <v>18.600000000000005</v>
      </c>
      <c r="N37" s="378">
        <v>0</v>
      </c>
      <c r="O37" s="378">
        <v>0</v>
      </c>
      <c r="P37" s="378">
        <v>0</v>
      </c>
      <c r="Q37" s="347">
        <f t="shared" si="6"/>
        <v>0</v>
      </c>
      <c r="R37" s="255"/>
      <c r="S37" s="255"/>
      <c r="T37" s="255"/>
      <c r="U37" s="255"/>
      <c r="V37" s="255"/>
      <c r="W37" s="255"/>
      <c r="X37" s="255"/>
      <c r="Y37" s="255"/>
    </row>
    <row r="38" spans="1:25" ht="13.5">
      <c r="A38" s="333" t="s">
        <v>49</v>
      </c>
      <c r="B38" s="375">
        <v>202.5</v>
      </c>
      <c r="C38" s="375">
        <v>70.1</v>
      </c>
      <c r="D38" s="375">
        <v>13</v>
      </c>
      <c r="E38" s="347">
        <f>B38+C38+D38</f>
        <v>285.6</v>
      </c>
      <c r="F38" s="376">
        <v>22.9</v>
      </c>
      <c r="G38" s="376">
        <v>0</v>
      </c>
      <c r="H38" s="376">
        <v>78</v>
      </c>
      <c r="I38" s="347">
        <f t="shared" si="4"/>
        <v>100.9</v>
      </c>
      <c r="J38" s="376">
        <f t="shared" si="7"/>
        <v>179.6</v>
      </c>
      <c r="K38" s="376">
        <f t="shared" si="5"/>
        <v>70.1</v>
      </c>
      <c r="L38" s="376">
        <f t="shared" si="5"/>
        <v>-65</v>
      </c>
      <c r="M38" s="347">
        <f>J38+K38+L38</f>
        <v>184.7</v>
      </c>
      <c r="N38" s="378">
        <v>0</v>
      </c>
      <c r="O38" s="378">
        <v>0</v>
      </c>
      <c r="P38" s="378">
        <v>0</v>
      </c>
      <c r="Q38" s="347">
        <f>N38+O38+P38</f>
        <v>0</v>
      </c>
      <c r="R38" s="255"/>
      <c r="S38" s="255"/>
      <c r="T38" s="255"/>
      <c r="U38" s="255"/>
      <c r="V38" s="255"/>
      <c r="W38" s="255"/>
      <c r="X38" s="255"/>
      <c r="Y38" s="255"/>
    </row>
    <row r="39" spans="1:25" ht="13.5">
      <c r="A39" s="333" t="s">
        <v>156</v>
      </c>
      <c r="B39" s="375">
        <v>138.3</v>
      </c>
      <c r="C39" s="375">
        <v>31.5</v>
      </c>
      <c r="D39" s="375">
        <v>7.2</v>
      </c>
      <c r="E39" s="347">
        <f>B39+C39+D39</f>
        <v>177</v>
      </c>
      <c r="F39" s="376">
        <v>5.6</v>
      </c>
      <c r="G39" s="376">
        <v>0</v>
      </c>
      <c r="H39" s="376">
        <v>18.7</v>
      </c>
      <c r="I39" s="347">
        <f t="shared" si="4"/>
        <v>24.299999999999997</v>
      </c>
      <c r="J39" s="376">
        <f t="shared" si="7"/>
        <v>132.70000000000002</v>
      </c>
      <c r="K39" s="376">
        <f t="shared" si="5"/>
        <v>31.5</v>
      </c>
      <c r="L39" s="376">
        <f t="shared" si="5"/>
        <v>-11.5</v>
      </c>
      <c r="M39" s="347">
        <f>J39+K39+L39</f>
        <v>152.70000000000002</v>
      </c>
      <c r="N39" s="378">
        <v>0</v>
      </c>
      <c r="O39" s="378">
        <v>0</v>
      </c>
      <c r="P39" s="378">
        <v>0</v>
      </c>
      <c r="Q39" s="347">
        <f>N39+O39+P39</f>
        <v>0</v>
      </c>
      <c r="R39" s="255"/>
      <c r="S39" s="255"/>
      <c r="T39" s="255"/>
      <c r="U39" s="255"/>
      <c r="V39" s="255"/>
      <c r="W39" s="255"/>
      <c r="X39" s="255"/>
      <c r="Y39" s="255"/>
    </row>
    <row r="40" spans="1:25" ht="13.5">
      <c r="A40" s="333" t="s">
        <v>20</v>
      </c>
      <c r="B40" s="375">
        <v>158</v>
      </c>
      <c r="C40" s="375">
        <v>100</v>
      </c>
      <c r="D40" s="375">
        <v>13.4</v>
      </c>
      <c r="E40" s="347">
        <f>B40+C40+D40</f>
        <v>271.4</v>
      </c>
      <c r="F40" s="376">
        <v>18.8</v>
      </c>
      <c r="G40" s="376">
        <v>0</v>
      </c>
      <c r="H40" s="376">
        <v>2.1</v>
      </c>
      <c r="I40" s="347">
        <f t="shared" si="4"/>
        <v>20.900000000000002</v>
      </c>
      <c r="J40" s="376">
        <f t="shared" si="7"/>
        <v>139.2</v>
      </c>
      <c r="K40" s="376">
        <f t="shared" si="5"/>
        <v>100</v>
      </c>
      <c r="L40" s="376">
        <f t="shared" si="5"/>
        <v>11.3</v>
      </c>
      <c r="M40" s="347">
        <f>J40+K40+L40</f>
        <v>250.5</v>
      </c>
      <c r="N40" s="378">
        <v>0</v>
      </c>
      <c r="O40" s="378">
        <v>0</v>
      </c>
      <c r="P40" s="378">
        <v>0</v>
      </c>
      <c r="Q40" s="347">
        <f>N40+O40+P40</f>
        <v>0</v>
      </c>
      <c r="R40" s="255"/>
      <c r="S40" s="255"/>
      <c r="T40" s="255"/>
      <c r="U40" s="255"/>
      <c r="V40" s="255"/>
      <c r="W40" s="255"/>
      <c r="X40" s="255"/>
      <c r="Y40" s="255"/>
    </row>
    <row r="41" spans="1:25" ht="13.5">
      <c r="A41" s="333" t="s">
        <v>11</v>
      </c>
      <c r="B41" s="375">
        <v>22</v>
      </c>
      <c r="C41" s="375">
        <v>11.5</v>
      </c>
      <c r="D41" s="375">
        <v>0</v>
      </c>
      <c r="E41" s="347">
        <f>B41+C41+D41</f>
        <v>33.5</v>
      </c>
      <c r="F41" s="376">
        <v>34.1</v>
      </c>
      <c r="G41" s="376">
        <v>0</v>
      </c>
      <c r="H41" s="376">
        <v>0</v>
      </c>
      <c r="I41" s="347">
        <f t="shared" si="4"/>
        <v>34.1</v>
      </c>
      <c r="J41" s="376">
        <f t="shared" si="7"/>
        <v>-12.100000000000001</v>
      </c>
      <c r="K41" s="376">
        <f t="shared" si="5"/>
        <v>11.5</v>
      </c>
      <c r="L41" s="376">
        <f t="shared" si="5"/>
        <v>0</v>
      </c>
      <c r="M41" s="347">
        <f>J41+K41+L41</f>
        <v>-0.6000000000000014</v>
      </c>
      <c r="N41" s="378">
        <v>0</v>
      </c>
      <c r="O41" s="378">
        <v>0</v>
      </c>
      <c r="P41" s="378">
        <v>0</v>
      </c>
      <c r="Q41" s="347">
        <f>N41+O41+P41</f>
        <v>0</v>
      </c>
      <c r="R41" s="255"/>
      <c r="S41" s="255"/>
      <c r="T41" s="255"/>
      <c r="U41" s="255"/>
      <c r="V41" s="255"/>
      <c r="W41" s="255"/>
      <c r="X41" s="255"/>
      <c r="Y41" s="255"/>
    </row>
    <row r="42" spans="1:25" ht="13.5">
      <c r="A42" s="333" t="s">
        <v>10</v>
      </c>
      <c r="B42" s="375">
        <v>267.6</v>
      </c>
      <c r="C42" s="375">
        <v>0</v>
      </c>
      <c r="D42" s="375">
        <v>27.5</v>
      </c>
      <c r="E42" s="347">
        <f>B42+C42+D42</f>
        <v>295.1</v>
      </c>
      <c r="F42" s="376">
        <v>4.5</v>
      </c>
      <c r="G42" s="376">
        <v>0</v>
      </c>
      <c r="H42" s="376">
        <v>0</v>
      </c>
      <c r="I42" s="347">
        <f t="shared" si="4"/>
        <v>4.5</v>
      </c>
      <c r="J42" s="376">
        <f t="shared" si="7"/>
        <v>263.1</v>
      </c>
      <c r="K42" s="376">
        <f t="shared" si="5"/>
        <v>0</v>
      </c>
      <c r="L42" s="376">
        <f t="shared" si="5"/>
        <v>27.5</v>
      </c>
      <c r="M42" s="347">
        <f>J42+K42+L42</f>
        <v>290.6</v>
      </c>
      <c r="N42" s="378">
        <v>0</v>
      </c>
      <c r="O42" s="378">
        <v>0</v>
      </c>
      <c r="P42" s="378">
        <v>0</v>
      </c>
      <c r="Q42" s="347">
        <f>N42+O42+P42</f>
        <v>0</v>
      </c>
      <c r="R42" s="255"/>
      <c r="S42" s="255"/>
      <c r="T42" s="255"/>
      <c r="U42" s="255"/>
      <c r="V42" s="255"/>
      <c r="W42" s="255"/>
      <c r="X42" s="255"/>
      <c r="Y42" s="255"/>
    </row>
    <row r="43" spans="1:25" ht="13.5">
      <c r="A43" s="336"/>
      <c r="B43" s="379"/>
      <c r="C43" s="380"/>
      <c r="D43" s="379"/>
      <c r="E43" s="381"/>
      <c r="F43" s="600" t="s">
        <v>373</v>
      </c>
      <c r="G43" s="380"/>
      <c r="H43" s="379"/>
      <c r="I43" s="381"/>
      <c r="J43" s="382"/>
      <c r="K43" s="382"/>
      <c r="L43" s="382"/>
      <c r="M43" s="381"/>
      <c r="N43" s="336"/>
      <c r="O43" s="336"/>
      <c r="P43" s="336"/>
      <c r="Q43" s="336"/>
      <c r="R43" s="255"/>
      <c r="S43" s="255"/>
      <c r="T43" s="255"/>
      <c r="U43" s="255"/>
      <c r="V43" s="255"/>
      <c r="W43" s="255"/>
      <c r="X43" s="255"/>
      <c r="Y43" s="255"/>
    </row>
    <row r="44" spans="1:25" ht="15">
      <c r="A44" s="686" t="s">
        <v>247</v>
      </c>
      <c r="B44" s="686"/>
      <c r="C44" s="686"/>
      <c r="D44" s="379"/>
      <c r="E44" s="381"/>
      <c r="F44" s="379"/>
      <c r="G44" s="380"/>
      <c r="H44" s="379"/>
      <c r="I44" s="381"/>
      <c r="J44" s="382"/>
      <c r="K44" s="382"/>
      <c r="L44" s="382"/>
      <c r="M44" s="381"/>
      <c r="N44" s="336"/>
      <c r="O44" s="336"/>
      <c r="P44" s="336"/>
      <c r="Q44" s="318"/>
      <c r="R44" s="255"/>
      <c r="S44" s="255"/>
      <c r="T44" s="255"/>
      <c r="U44" s="255"/>
      <c r="V44" s="255"/>
      <c r="W44" s="255"/>
      <c r="X44" s="255"/>
      <c r="Y44" s="255"/>
    </row>
    <row r="45" spans="1:25" ht="13.5">
      <c r="A45" s="680" t="s">
        <v>3</v>
      </c>
      <c r="B45" s="679" t="s">
        <v>248</v>
      </c>
      <c r="C45" s="679"/>
      <c r="D45" s="679"/>
      <c r="E45" s="679"/>
      <c r="F45" s="679" t="s">
        <v>249</v>
      </c>
      <c r="G45" s="679"/>
      <c r="H45" s="679"/>
      <c r="I45" s="679"/>
      <c r="J45" s="679" t="s">
        <v>250</v>
      </c>
      <c r="K45" s="679"/>
      <c r="L45" s="679"/>
      <c r="M45" s="679"/>
      <c r="N45" s="383"/>
      <c r="O45" s="384"/>
      <c r="P45" s="384"/>
      <c r="Q45" s="384"/>
      <c r="R45" s="340"/>
      <c r="S45" s="255"/>
      <c r="T45" s="255"/>
      <c r="U45" s="255"/>
      <c r="V45" s="255"/>
      <c r="W45" s="255"/>
      <c r="X45" s="255"/>
      <c r="Y45" s="255"/>
    </row>
    <row r="46" spans="1:25" ht="27">
      <c r="A46" s="680"/>
      <c r="B46" s="374" t="s">
        <v>245</v>
      </c>
      <c r="C46" s="374" t="s">
        <v>244</v>
      </c>
      <c r="D46" s="374" t="s">
        <v>243</v>
      </c>
      <c r="E46" s="374" t="s">
        <v>246</v>
      </c>
      <c r="F46" s="374" t="s">
        <v>245</v>
      </c>
      <c r="G46" s="374" t="s">
        <v>244</v>
      </c>
      <c r="H46" s="374" t="s">
        <v>243</v>
      </c>
      <c r="I46" s="374" t="s">
        <v>246</v>
      </c>
      <c r="J46" s="374" t="s">
        <v>245</v>
      </c>
      <c r="K46" s="374" t="s">
        <v>244</v>
      </c>
      <c r="L46" s="374" t="s">
        <v>243</v>
      </c>
      <c r="M46" s="374" t="s">
        <v>246</v>
      </c>
      <c r="N46" s="385"/>
      <c r="O46" s="281"/>
      <c r="P46" s="281"/>
      <c r="Q46" s="281"/>
      <c r="R46" s="255"/>
      <c r="S46" s="255"/>
      <c r="T46" s="255"/>
      <c r="U46" s="255"/>
      <c r="V46" s="255"/>
      <c r="W46" s="255"/>
      <c r="X46" s="255"/>
      <c r="Y46" s="255"/>
    </row>
    <row r="47" spans="1:25" ht="13.5">
      <c r="A47" s="327" t="s">
        <v>6</v>
      </c>
      <c r="B47" s="376">
        <v>232.9</v>
      </c>
      <c r="C47" s="376">
        <v>0</v>
      </c>
      <c r="D47" s="376">
        <v>0</v>
      </c>
      <c r="E47" s="347">
        <f aca="true" t="shared" si="9" ref="E47:E54">B47+C47+D47</f>
        <v>232.9</v>
      </c>
      <c r="F47" s="376">
        <v>2926.8</v>
      </c>
      <c r="G47" s="376">
        <v>69.5</v>
      </c>
      <c r="H47" s="376">
        <v>0</v>
      </c>
      <c r="I47" s="347">
        <f aca="true" t="shared" si="10" ref="I47:I54">F47+G47+H47</f>
        <v>2996.3</v>
      </c>
      <c r="J47" s="375">
        <f aca="true" t="shared" si="11" ref="J47:L59">B47-F47</f>
        <v>-2693.9</v>
      </c>
      <c r="K47" s="376">
        <f t="shared" si="11"/>
        <v>-69.5</v>
      </c>
      <c r="L47" s="376">
        <f t="shared" si="11"/>
        <v>0</v>
      </c>
      <c r="M47" s="377">
        <f>J47+K47+L47</f>
        <v>-2763.4</v>
      </c>
      <c r="N47" s="386" t="s">
        <v>24</v>
      </c>
      <c r="O47" s="387" t="s">
        <v>24</v>
      </c>
      <c r="P47" s="388"/>
      <c r="Q47" s="388"/>
      <c r="R47" s="389"/>
      <c r="S47" s="356"/>
      <c r="T47" s="255"/>
      <c r="U47" s="255"/>
      <c r="V47" s="255"/>
      <c r="W47" s="255"/>
      <c r="X47" s="255"/>
      <c r="Y47" s="255"/>
    </row>
    <row r="48" spans="1:25" ht="13.5">
      <c r="A48" s="327" t="s">
        <v>29</v>
      </c>
      <c r="B48" s="376">
        <v>97.7</v>
      </c>
      <c r="C48" s="376">
        <v>0</v>
      </c>
      <c r="D48" s="376">
        <v>0</v>
      </c>
      <c r="E48" s="347">
        <f t="shared" si="9"/>
        <v>97.7</v>
      </c>
      <c r="F48" s="376">
        <v>1796.1</v>
      </c>
      <c r="G48" s="376">
        <v>69.5</v>
      </c>
      <c r="H48" s="376">
        <v>0</v>
      </c>
      <c r="I48" s="347">
        <f t="shared" si="10"/>
        <v>1865.6</v>
      </c>
      <c r="J48" s="376">
        <f t="shared" si="11"/>
        <v>-1698.3999999999999</v>
      </c>
      <c r="K48" s="376">
        <f t="shared" si="11"/>
        <v>-69.5</v>
      </c>
      <c r="L48" s="376">
        <f t="shared" si="11"/>
        <v>0</v>
      </c>
      <c r="M48" s="347">
        <f aca="true" t="shared" si="12" ref="M48:M54">J48+K48+L48</f>
        <v>-1767.8999999999999</v>
      </c>
      <c r="N48" s="318"/>
      <c r="O48" s="336"/>
      <c r="P48" s="388"/>
      <c r="Q48" s="388"/>
      <c r="R48" s="390"/>
      <c r="S48" s="356"/>
      <c r="T48" s="255"/>
      <c r="U48" s="255"/>
      <c r="V48" s="255"/>
      <c r="W48" s="255"/>
      <c r="X48" s="255"/>
      <c r="Y48" s="255"/>
    </row>
    <row r="49" spans="1:25" ht="13.5">
      <c r="A49" s="327" t="s">
        <v>39</v>
      </c>
      <c r="B49" s="376">
        <v>48.6</v>
      </c>
      <c r="C49" s="376">
        <v>0</v>
      </c>
      <c r="D49" s="376">
        <v>0</v>
      </c>
      <c r="E49" s="347">
        <f t="shared" si="9"/>
        <v>48.6</v>
      </c>
      <c r="F49" s="376">
        <v>880.5</v>
      </c>
      <c r="G49" s="376">
        <v>0</v>
      </c>
      <c r="H49" s="376">
        <v>0</v>
      </c>
      <c r="I49" s="347">
        <f t="shared" si="10"/>
        <v>880.5</v>
      </c>
      <c r="J49" s="376">
        <f t="shared" si="11"/>
        <v>-831.9</v>
      </c>
      <c r="K49" s="376">
        <f t="shared" si="11"/>
        <v>0</v>
      </c>
      <c r="L49" s="376">
        <f t="shared" si="11"/>
        <v>0</v>
      </c>
      <c r="M49" s="347">
        <f t="shared" si="12"/>
        <v>-831.9</v>
      </c>
      <c r="N49" s="318"/>
      <c r="O49" s="336"/>
      <c r="P49" s="388"/>
      <c r="Q49" s="336"/>
      <c r="R49" s="390"/>
      <c r="S49" s="356"/>
      <c r="T49" s="255"/>
      <c r="U49" s="255"/>
      <c r="V49" s="255"/>
      <c r="W49" s="255"/>
      <c r="X49" s="255"/>
      <c r="Y49" s="255"/>
    </row>
    <row r="50" spans="1:25" ht="13.5">
      <c r="A50" s="327" t="s">
        <v>5</v>
      </c>
      <c r="B50" s="376">
        <v>45.7</v>
      </c>
      <c r="C50" s="376">
        <v>0</v>
      </c>
      <c r="D50" s="376">
        <v>0</v>
      </c>
      <c r="E50" s="347">
        <f t="shared" si="9"/>
        <v>45.7</v>
      </c>
      <c r="F50" s="376">
        <v>15.9</v>
      </c>
      <c r="G50" s="376">
        <v>69.5</v>
      </c>
      <c r="H50" s="376">
        <v>0</v>
      </c>
      <c r="I50" s="347">
        <f t="shared" si="10"/>
        <v>85.4</v>
      </c>
      <c r="J50" s="376">
        <f t="shared" si="11"/>
        <v>29.800000000000004</v>
      </c>
      <c r="K50" s="376">
        <f t="shared" si="11"/>
        <v>-69.5</v>
      </c>
      <c r="L50" s="376">
        <f t="shared" si="11"/>
        <v>0</v>
      </c>
      <c r="M50" s="347">
        <f t="shared" si="12"/>
        <v>-39.699999999999996</v>
      </c>
      <c r="N50" s="336"/>
      <c r="O50" s="336"/>
      <c r="P50" s="388"/>
      <c r="Q50" s="336"/>
      <c r="R50" s="390"/>
      <c r="S50" s="356"/>
      <c r="T50" s="255"/>
      <c r="U50" s="255"/>
      <c r="V50" s="255"/>
      <c r="W50" s="255"/>
      <c r="X50" s="255"/>
      <c r="Y50" s="255"/>
    </row>
    <row r="51" spans="1:25" ht="13.5">
      <c r="A51" s="327" t="s">
        <v>8</v>
      </c>
      <c r="B51" s="376">
        <v>13.4</v>
      </c>
      <c r="C51" s="376">
        <v>0</v>
      </c>
      <c r="D51" s="376">
        <v>0</v>
      </c>
      <c r="E51" s="347">
        <f t="shared" si="9"/>
        <v>13.4</v>
      </c>
      <c r="F51" s="376">
        <v>237.2</v>
      </c>
      <c r="G51" s="376">
        <v>0</v>
      </c>
      <c r="H51" s="376">
        <v>0</v>
      </c>
      <c r="I51" s="347">
        <f t="shared" si="10"/>
        <v>237.2</v>
      </c>
      <c r="J51" s="376">
        <f t="shared" si="11"/>
        <v>-223.79999999999998</v>
      </c>
      <c r="K51" s="376">
        <f t="shared" si="11"/>
        <v>0</v>
      </c>
      <c r="L51" s="376">
        <f t="shared" si="11"/>
        <v>0</v>
      </c>
      <c r="M51" s="347">
        <f t="shared" si="12"/>
        <v>-223.79999999999998</v>
      </c>
      <c r="N51" s="336"/>
      <c r="O51" s="336"/>
      <c r="P51" s="388"/>
      <c r="Q51" s="336"/>
      <c r="R51" s="390"/>
      <c r="S51" s="356"/>
      <c r="T51" s="255"/>
      <c r="U51" s="255"/>
      <c r="V51" s="255"/>
      <c r="W51" s="255"/>
      <c r="X51" s="255"/>
      <c r="Y51" s="255"/>
    </row>
    <row r="52" spans="1:25" ht="13.5">
      <c r="A52" s="327" t="s">
        <v>40</v>
      </c>
      <c r="B52" s="376">
        <v>4.3</v>
      </c>
      <c r="C52" s="376">
        <v>0</v>
      </c>
      <c r="D52" s="376">
        <v>0</v>
      </c>
      <c r="E52" s="347">
        <f t="shared" si="9"/>
        <v>4.3</v>
      </c>
      <c r="F52" s="376">
        <v>33.1</v>
      </c>
      <c r="G52" s="376">
        <v>0</v>
      </c>
      <c r="H52" s="376">
        <v>0</v>
      </c>
      <c r="I52" s="347">
        <f t="shared" si="10"/>
        <v>33.1</v>
      </c>
      <c r="J52" s="376">
        <f t="shared" si="11"/>
        <v>-28.8</v>
      </c>
      <c r="K52" s="376">
        <f t="shared" si="11"/>
        <v>0</v>
      </c>
      <c r="L52" s="376">
        <f t="shared" si="11"/>
        <v>0</v>
      </c>
      <c r="M52" s="347">
        <f t="shared" si="12"/>
        <v>-28.8</v>
      </c>
      <c r="N52" s="336"/>
      <c r="O52" s="388"/>
      <c r="P52" s="336"/>
      <c r="Q52" s="336"/>
      <c r="R52" s="255"/>
      <c r="S52" s="255"/>
      <c r="T52" s="255"/>
      <c r="U52" s="255"/>
      <c r="V52" s="255"/>
      <c r="W52" s="255"/>
      <c r="X52" s="255"/>
      <c r="Y52" s="255"/>
    </row>
    <row r="53" spans="1:25" ht="13.5">
      <c r="A53" s="327" t="s">
        <v>41</v>
      </c>
      <c r="B53" s="376">
        <v>2.9</v>
      </c>
      <c r="C53" s="376">
        <v>0</v>
      </c>
      <c r="D53" s="376">
        <v>0</v>
      </c>
      <c r="E53" s="347">
        <f t="shared" si="9"/>
        <v>2.9</v>
      </c>
      <c r="F53" s="376">
        <v>81.8</v>
      </c>
      <c r="G53" s="376">
        <v>0</v>
      </c>
      <c r="H53" s="376">
        <v>0</v>
      </c>
      <c r="I53" s="347">
        <f t="shared" si="10"/>
        <v>81.8</v>
      </c>
      <c r="J53" s="376">
        <f t="shared" si="11"/>
        <v>-78.89999999999999</v>
      </c>
      <c r="K53" s="376">
        <f t="shared" si="11"/>
        <v>0</v>
      </c>
      <c r="L53" s="376">
        <f t="shared" si="11"/>
        <v>0</v>
      </c>
      <c r="M53" s="347">
        <f t="shared" si="12"/>
        <v>-78.89999999999999</v>
      </c>
      <c r="N53" s="336"/>
      <c r="O53" s="336"/>
      <c r="P53" s="336"/>
      <c r="Q53" s="336"/>
      <c r="R53" s="255"/>
      <c r="S53" s="255"/>
      <c r="T53" s="255"/>
      <c r="U53" s="255"/>
      <c r="V53" s="255"/>
      <c r="W53" s="255"/>
      <c r="X53" s="255"/>
      <c r="Y53" s="255"/>
    </row>
    <row r="54" spans="1:25" ht="13.5">
      <c r="A54" s="333" t="s">
        <v>15</v>
      </c>
      <c r="B54" s="376">
        <v>40.8</v>
      </c>
      <c r="C54" s="376">
        <v>0</v>
      </c>
      <c r="D54" s="376">
        <v>0</v>
      </c>
      <c r="E54" s="347">
        <f t="shared" si="9"/>
        <v>40.8</v>
      </c>
      <c r="F54" s="376">
        <v>15.9</v>
      </c>
      <c r="G54" s="376">
        <v>0</v>
      </c>
      <c r="H54" s="376">
        <v>0</v>
      </c>
      <c r="I54" s="347">
        <f t="shared" si="10"/>
        <v>15.9</v>
      </c>
      <c r="J54" s="376">
        <f t="shared" si="11"/>
        <v>24.9</v>
      </c>
      <c r="K54" s="376">
        <f t="shared" si="11"/>
        <v>0</v>
      </c>
      <c r="L54" s="376">
        <f t="shared" si="11"/>
        <v>0</v>
      </c>
      <c r="M54" s="347">
        <f t="shared" si="12"/>
        <v>24.9</v>
      </c>
      <c r="N54" s="336"/>
      <c r="O54" s="391"/>
      <c r="P54" s="392"/>
      <c r="Q54" s="393"/>
      <c r="R54" s="255"/>
      <c r="S54" s="255"/>
      <c r="T54" s="255"/>
      <c r="U54" s="255"/>
      <c r="V54" s="255"/>
      <c r="W54" s="255"/>
      <c r="X54" s="255"/>
      <c r="Y54" s="255"/>
    </row>
    <row r="55" spans="1:25" ht="13.5">
      <c r="A55" s="333" t="s">
        <v>49</v>
      </c>
      <c r="B55" s="376">
        <v>22.9</v>
      </c>
      <c r="C55" s="376">
        <v>0</v>
      </c>
      <c r="D55" s="376">
        <v>0</v>
      </c>
      <c r="E55" s="347">
        <f>B55+C55+D55</f>
        <v>22.9</v>
      </c>
      <c r="F55" s="376">
        <v>250.4</v>
      </c>
      <c r="G55" s="376">
        <v>0</v>
      </c>
      <c r="H55" s="376">
        <v>0</v>
      </c>
      <c r="I55" s="347">
        <f>F55+G55+H55</f>
        <v>250.4</v>
      </c>
      <c r="J55" s="376">
        <f t="shared" si="11"/>
        <v>-227.5</v>
      </c>
      <c r="K55" s="376">
        <f t="shared" si="11"/>
        <v>0</v>
      </c>
      <c r="L55" s="376">
        <f t="shared" si="11"/>
        <v>0</v>
      </c>
      <c r="M55" s="347">
        <f>J55+K55+L55</f>
        <v>-227.5</v>
      </c>
      <c r="N55" s="336"/>
      <c r="O55" s="391"/>
      <c r="P55" s="392"/>
      <c r="Q55" s="393"/>
      <c r="R55" s="255"/>
      <c r="S55" s="255"/>
      <c r="T55" s="255"/>
      <c r="U55" s="255"/>
      <c r="V55" s="255"/>
      <c r="W55" s="255"/>
      <c r="X55" s="255"/>
      <c r="Y55" s="255"/>
    </row>
    <row r="56" spans="1:25" ht="13.5">
      <c r="A56" s="333" t="s">
        <v>156</v>
      </c>
      <c r="B56" s="376">
        <v>5.6</v>
      </c>
      <c r="C56" s="376">
        <v>0</v>
      </c>
      <c r="D56" s="376">
        <v>0</v>
      </c>
      <c r="E56" s="347">
        <f>B56+C56+D56</f>
        <v>5.6</v>
      </c>
      <c r="F56" s="376">
        <v>241.7</v>
      </c>
      <c r="G56" s="376">
        <v>0</v>
      </c>
      <c r="H56" s="376">
        <v>0</v>
      </c>
      <c r="I56" s="347">
        <f>F56+G56+H56</f>
        <v>241.7</v>
      </c>
      <c r="J56" s="376">
        <f t="shared" si="11"/>
        <v>-236.1</v>
      </c>
      <c r="K56" s="376">
        <f t="shared" si="11"/>
        <v>0</v>
      </c>
      <c r="L56" s="376">
        <f t="shared" si="11"/>
        <v>0</v>
      </c>
      <c r="M56" s="347">
        <f>J56+K56+L56</f>
        <v>-236.1</v>
      </c>
      <c r="N56" s="336"/>
      <c r="O56" s="391"/>
      <c r="P56" s="392"/>
      <c r="Q56" s="393"/>
      <c r="R56" s="255"/>
      <c r="S56" s="255"/>
      <c r="T56" s="255"/>
      <c r="U56" s="255"/>
      <c r="V56" s="255"/>
      <c r="W56" s="255"/>
      <c r="X56" s="255"/>
      <c r="Y56" s="255"/>
    </row>
    <row r="57" spans="1:25" ht="13.5">
      <c r="A57" s="333" t="s">
        <v>20</v>
      </c>
      <c r="B57" s="376">
        <v>9.1</v>
      </c>
      <c r="C57" s="376">
        <v>0</v>
      </c>
      <c r="D57" s="376">
        <v>0</v>
      </c>
      <c r="E57" s="347">
        <f>B57+C57+D57</f>
        <v>9.1</v>
      </c>
      <c r="F57" s="376">
        <v>880.3</v>
      </c>
      <c r="G57" s="376">
        <v>0</v>
      </c>
      <c r="H57" s="376">
        <v>0</v>
      </c>
      <c r="I57" s="347">
        <f>F57+G57+H57</f>
        <v>880.3</v>
      </c>
      <c r="J57" s="376">
        <f t="shared" si="11"/>
        <v>-871.1999999999999</v>
      </c>
      <c r="K57" s="376">
        <f t="shared" si="11"/>
        <v>0</v>
      </c>
      <c r="L57" s="376">
        <f t="shared" si="11"/>
        <v>0</v>
      </c>
      <c r="M57" s="347">
        <f>J57+K57+L57</f>
        <v>-871.1999999999999</v>
      </c>
      <c r="N57" s="336"/>
      <c r="O57" s="391"/>
      <c r="P57" s="392"/>
      <c r="Q57" s="393"/>
      <c r="R57" s="255"/>
      <c r="S57" s="255"/>
      <c r="T57" s="255"/>
      <c r="U57" s="255"/>
      <c r="V57" s="255"/>
      <c r="W57" s="255"/>
      <c r="X57" s="255"/>
      <c r="Y57" s="255"/>
    </row>
    <row r="58" spans="1:25" ht="13.5">
      <c r="A58" s="333" t="s">
        <v>11</v>
      </c>
      <c r="B58" s="376">
        <v>4.9</v>
      </c>
      <c r="C58" s="376">
        <v>0</v>
      </c>
      <c r="D58" s="376">
        <v>0</v>
      </c>
      <c r="E58" s="347">
        <f>B58+C58+D58</f>
        <v>4.9</v>
      </c>
      <c r="F58" s="376">
        <v>0</v>
      </c>
      <c r="G58" s="376">
        <v>69.5</v>
      </c>
      <c r="H58" s="376">
        <v>0</v>
      </c>
      <c r="I58" s="347">
        <f>F58+G58+H58</f>
        <v>69.5</v>
      </c>
      <c r="J58" s="376">
        <f t="shared" si="11"/>
        <v>4.9</v>
      </c>
      <c r="K58" s="376">
        <f t="shared" si="11"/>
        <v>-69.5</v>
      </c>
      <c r="L58" s="376">
        <f t="shared" si="11"/>
        <v>0</v>
      </c>
      <c r="M58" s="347">
        <f>J58+K58+L58</f>
        <v>-64.6</v>
      </c>
      <c r="N58" s="336"/>
      <c r="O58" s="391"/>
      <c r="P58" s="392"/>
      <c r="Q58" s="393"/>
      <c r="R58" s="255"/>
      <c r="S58" s="255"/>
      <c r="T58" s="255"/>
      <c r="U58" s="255"/>
      <c r="V58" s="255"/>
      <c r="W58" s="255"/>
      <c r="X58" s="255"/>
      <c r="Y58" s="255"/>
    </row>
    <row r="59" spans="1:25" ht="13.5">
      <c r="A59" s="333" t="s">
        <v>10</v>
      </c>
      <c r="B59" s="376">
        <v>1</v>
      </c>
      <c r="C59" s="376">
        <v>0</v>
      </c>
      <c r="D59" s="376">
        <v>0</v>
      </c>
      <c r="E59" s="347">
        <f>B59+C59+D59</f>
        <v>1</v>
      </c>
      <c r="F59" s="376">
        <v>0</v>
      </c>
      <c r="G59" s="376">
        <v>0</v>
      </c>
      <c r="H59" s="376">
        <v>0</v>
      </c>
      <c r="I59" s="347">
        <f>F59+G59+H59</f>
        <v>0</v>
      </c>
      <c r="J59" s="376">
        <f t="shared" si="11"/>
        <v>1</v>
      </c>
      <c r="K59" s="376">
        <f t="shared" si="11"/>
        <v>0</v>
      </c>
      <c r="L59" s="376">
        <f t="shared" si="11"/>
        <v>0</v>
      </c>
      <c r="M59" s="347">
        <f>J59+K59+L59</f>
        <v>1</v>
      </c>
      <c r="N59" s="336"/>
      <c r="O59" s="391"/>
      <c r="P59" s="392"/>
      <c r="Q59" s="393"/>
      <c r="R59" s="255"/>
      <c r="S59" s="255"/>
      <c r="T59" s="255"/>
      <c r="U59" s="255"/>
      <c r="V59" s="255"/>
      <c r="W59" s="255"/>
      <c r="X59" s="255"/>
      <c r="Y59" s="255"/>
    </row>
    <row r="60" spans="1:25" ht="13.5">
      <c r="A60" s="336"/>
      <c r="B60" s="379"/>
      <c r="C60" s="380"/>
      <c r="D60" s="379"/>
      <c r="E60" s="381"/>
      <c r="F60" s="379"/>
      <c r="G60" s="380"/>
      <c r="H60" s="379"/>
      <c r="I60" s="381"/>
      <c r="J60" s="382"/>
      <c r="K60" s="382"/>
      <c r="L60" s="382"/>
      <c r="M60" s="381"/>
      <c r="N60" s="336"/>
      <c r="O60" s="336"/>
      <c r="P60" s="336"/>
      <c r="Q60" s="318"/>
      <c r="R60" s="255"/>
      <c r="S60" s="255"/>
      <c r="T60" s="255"/>
      <c r="U60" s="255"/>
      <c r="V60" s="255"/>
      <c r="W60" s="255"/>
      <c r="X60" s="255"/>
      <c r="Y60" s="255"/>
    </row>
    <row r="61" spans="1:25" ht="15">
      <c r="A61" s="687" t="s">
        <v>251</v>
      </c>
      <c r="B61" s="687"/>
      <c r="C61" s="337"/>
      <c r="D61" s="337"/>
      <c r="E61" s="341"/>
      <c r="F61" s="342"/>
      <c r="G61" s="342"/>
      <c r="H61" s="342"/>
      <c r="I61" s="340"/>
      <c r="J61" s="340"/>
      <c r="K61" s="255"/>
      <c r="L61" s="255"/>
      <c r="M61" s="255"/>
      <c r="N61" s="255"/>
      <c r="O61" s="255"/>
      <c r="P61" s="255"/>
      <c r="Q61" s="255"/>
      <c r="R61" s="255"/>
      <c r="S61" s="255"/>
      <c r="T61" s="255"/>
      <c r="U61" s="255"/>
      <c r="V61" s="255"/>
      <c r="W61" s="255"/>
      <c r="X61" s="255"/>
      <c r="Y61" s="255"/>
    </row>
    <row r="62" spans="1:25" ht="13.5">
      <c r="A62" s="680" t="s">
        <v>3</v>
      </c>
      <c r="B62" s="679" t="s">
        <v>239</v>
      </c>
      <c r="C62" s="679"/>
      <c r="D62" s="679"/>
      <c r="E62" s="679"/>
      <c r="F62" s="679" t="s">
        <v>240</v>
      </c>
      <c r="G62" s="679"/>
      <c r="H62" s="679"/>
      <c r="I62" s="679"/>
      <c r="J62" s="679" t="s">
        <v>241</v>
      </c>
      <c r="K62" s="679"/>
      <c r="L62" s="679"/>
      <c r="M62" s="679"/>
      <c r="N62" s="681" t="s">
        <v>252</v>
      </c>
      <c r="O62" s="681"/>
      <c r="P62" s="681"/>
      <c r="Q62" s="681"/>
      <c r="R62" s="681" t="s">
        <v>253</v>
      </c>
      <c r="S62" s="681"/>
      <c r="T62" s="681"/>
      <c r="U62" s="681"/>
      <c r="V62" s="681" t="s">
        <v>254</v>
      </c>
      <c r="W62" s="681"/>
      <c r="X62" s="681"/>
      <c r="Y62" s="681"/>
    </row>
    <row r="63" spans="1:25" ht="27">
      <c r="A63" s="680"/>
      <c r="B63" s="374" t="s">
        <v>245</v>
      </c>
      <c r="C63" s="374" t="s">
        <v>244</v>
      </c>
      <c r="D63" s="374" t="s">
        <v>243</v>
      </c>
      <c r="E63" s="374" t="s">
        <v>246</v>
      </c>
      <c r="F63" s="374" t="s">
        <v>245</v>
      </c>
      <c r="G63" s="374" t="s">
        <v>244</v>
      </c>
      <c r="H63" s="374" t="s">
        <v>243</v>
      </c>
      <c r="I63" s="374" t="s">
        <v>246</v>
      </c>
      <c r="J63" s="374" t="s">
        <v>245</v>
      </c>
      <c r="K63" s="374" t="s">
        <v>244</v>
      </c>
      <c r="L63" s="374" t="s">
        <v>243</v>
      </c>
      <c r="M63" s="374" t="s">
        <v>246</v>
      </c>
      <c r="N63" s="374" t="s">
        <v>245</v>
      </c>
      <c r="O63" s="374" t="s">
        <v>244</v>
      </c>
      <c r="P63" s="374" t="s">
        <v>243</v>
      </c>
      <c r="Q63" s="374" t="s">
        <v>246</v>
      </c>
      <c r="R63" s="374" t="s">
        <v>245</v>
      </c>
      <c r="S63" s="374" t="s">
        <v>244</v>
      </c>
      <c r="T63" s="374" t="s">
        <v>243</v>
      </c>
      <c r="U63" s="374" t="s">
        <v>246</v>
      </c>
      <c r="V63" s="374" t="s">
        <v>245</v>
      </c>
      <c r="W63" s="374" t="s">
        <v>244</v>
      </c>
      <c r="X63" s="374" t="s">
        <v>243</v>
      </c>
      <c r="Y63" s="374" t="s">
        <v>246</v>
      </c>
    </row>
    <row r="64" spans="1:25" ht="13.5">
      <c r="A64" s="327" t="s">
        <v>50</v>
      </c>
      <c r="B64" s="353">
        <f>B30-B31-B38-B40</f>
        <v>1362.4999999999998</v>
      </c>
      <c r="C64" s="353">
        <f>C30-C31-C38-C40</f>
        <v>223.60000000000002</v>
      </c>
      <c r="D64" s="353">
        <f>D30-D31-D38-D40</f>
        <v>4.399999999999983</v>
      </c>
      <c r="E64" s="354">
        <f aca="true" t="shared" si="13" ref="E64:E76">B64+C64+D64</f>
        <v>1590.5</v>
      </c>
      <c r="F64" s="353">
        <f>F30-F31-F38-F40</f>
        <v>962.9000000000002</v>
      </c>
      <c r="G64" s="353">
        <f>G30-G31-G38-G40</f>
        <v>0</v>
      </c>
      <c r="H64" s="353">
        <f>H30-H31-H38-H40</f>
        <v>-5.773159728050814E-15</v>
      </c>
      <c r="I64" s="354">
        <f aca="true" t="shared" si="14" ref="I64:I76">F64+G64+H64</f>
        <v>962.9000000000002</v>
      </c>
      <c r="J64" s="394">
        <f>B64-F64</f>
        <v>399.59999999999957</v>
      </c>
      <c r="K64" s="394">
        <f>C64-G64</f>
        <v>223.60000000000002</v>
      </c>
      <c r="L64" s="394">
        <f>D64-H64</f>
        <v>4.399999999999988</v>
      </c>
      <c r="M64" s="347">
        <f>J64+K64+L64</f>
        <v>627.5999999999996</v>
      </c>
      <c r="N64" s="355">
        <f aca="true" t="shared" si="15" ref="N64:N76">B64*D5</f>
        <v>36106.24999999999</v>
      </c>
      <c r="O64" s="355">
        <f aca="true" t="shared" si="16" ref="O64:O76">C64*F5</f>
        <v>5925.400000000001</v>
      </c>
      <c r="P64" s="355">
        <f aca="true" t="shared" si="17" ref="P64:P76">D64*H5</f>
        <v>116.59999999999954</v>
      </c>
      <c r="Q64" s="355">
        <f aca="true" t="shared" si="18" ref="Q64:Q76">N64+O64+P64</f>
        <v>42148.24999999999</v>
      </c>
      <c r="R64" s="355">
        <f aca="true" t="shared" si="19" ref="R64:R76">F64*D5</f>
        <v>25516.850000000006</v>
      </c>
      <c r="S64" s="355">
        <f aca="true" t="shared" si="20" ref="S64:S76">G64*F5</f>
        <v>0</v>
      </c>
      <c r="T64" s="355">
        <f aca="true" t="shared" si="21" ref="T64:T76">H64*H5</f>
        <v>-1.5298873279334657E-13</v>
      </c>
      <c r="U64" s="355">
        <f aca="true" t="shared" si="22" ref="U64:U76">R64+S64+T64</f>
        <v>25516.850000000006</v>
      </c>
      <c r="V64" s="355">
        <f>N64-R64</f>
        <v>10589.399999999987</v>
      </c>
      <c r="W64" s="355">
        <f>O64-S64</f>
        <v>5925.400000000001</v>
      </c>
      <c r="X64" s="355">
        <f>P64-T64</f>
        <v>116.5999999999997</v>
      </c>
      <c r="Y64" s="355">
        <f>V64+W64+X64</f>
        <v>16631.399999999987</v>
      </c>
    </row>
    <row r="65" spans="1:25" ht="13.5">
      <c r="A65" s="327" t="s">
        <v>53</v>
      </c>
      <c r="B65" s="353">
        <f>B31-B32-B33-B42</f>
        <v>31</v>
      </c>
      <c r="C65" s="353">
        <f>C31-C32-C33-C42</f>
        <v>0</v>
      </c>
      <c r="D65" s="353">
        <f>D31-D32-D33-D42</f>
        <v>27.799999999999997</v>
      </c>
      <c r="E65" s="354">
        <f t="shared" si="13"/>
        <v>58.8</v>
      </c>
      <c r="F65" s="353">
        <f>F31-F32-F33-F42</f>
        <v>90.30000000000001</v>
      </c>
      <c r="G65" s="353">
        <f>G31-G32-G33-G42</f>
        <v>0</v>
      </c>
      <c r="H65" s="353">
        <f>H31-H32-H33-H42</f>
        <v>0</v>
      </c>
      <c r="I65" s="354">
        <f t="shared" si="14"/>
        <v>90.30000000000001</v>
      </c>
      <c r="J65" s="394">
        <f aca="true" t="shared" si="23" ref="J65:L76">B65-F65</f>
        <v>-59.30000000000001</v>
      </c>
      <c r="K65" s="394">
        <f t="shared" si="23"/>
        <v>0</v>
      </c>
      <c r="L65" s="394">
        <f t="shared" si="23"/>
        <v>27.799999999999997</v>
      </c>
      <c r="M65" s="347">
        <f aca="true" t="shared" si="24" ref="M65:M73">J65+K65+L65</f>
        <v>-31.500000000000014</v>
      </c>
      <c r="N65" s="355">
        <f t="shared" si="15"/>
        <v>821.5</v>
      </c>
      <c r="O65" s="355">
        <f t="shared" si="16"/>
        <v>0</v>
      </c>
      <c r="P65" s="355">
        <f t="shared" si="17"/>
        <v>736.6999999999999</v>
      </c>
      <c r="Q65" s="355">
        <f t="shared" si="18"/>
        <v>1558.1999999999998</v>
      </c>
      <c r="R65" s="355">
        <f t="shared" si="19"/>
        <v>2392.9500000000003</v>
      </c>
      <c r="S65" s="355">
        <f t="shared" si="20"/>
        <v>0</v>
      </c>
      <c r="T65" s="355">
        <f t="shared" si="21"/>
        <v>0</v>
      </c>
      <c r="U65" s="355">
        <f t="shared" si="22"/>
        <v>2392.9500000000003</v>
      </c>
      <c r="V65" s="355">
        <f aca="true" t="shared" si="25" ref="V65:X76">N65-R65</f>
        <v>-1571.4500000000003</v>
      </c>
      <c r="W65" s="355">
        <f t="shared" si="25"/>
        <v>0</v>
      </c>
      <c r="X65" s="355">
        <f t="shared" si="25"/>
        <v>736.6999999999999</v>
      </c>
      <c r="Y65" s="355">
        <f aca="true" t="shared" si="26" ref="Y65:Y73">V65+W65+X65</f>
        <v>-834.7500000000003</v>
      </c>
    </row>
    <row r="66" spans="1:25" ht="13.5">
      <c r="A66" s="327" t="s">
        <v>52</v>
      </c>
      <c r="B66" s="353">
        <f>B32-B34-B36</f>
        <v>1043.5</v>
      </c>
      <c r="C66" s="353">
        <f>C32-C34-C36</f>
        <v>8.1</v>
      </c>
      <c r="D66" s="353">
        <f>D32-D34-D36</f>
        <v>33.5</v>
      </c>
      <c r="E66" s="354">
        <f t="shared" si="13"/>
        <v>1085.1</v>
      </c>
      <c r="F66" s="353">
        <f>F32-F34-F36</f>
        <v>111.19999999999999</v>
      </c>
      <c r="G66" s="353">
        <f>G32-G34-G36</f>
        <v>0</v>
      </c>
      <c r="H66" s="353">
        <f>H32-H34-H36</f>
        <v>0</v>
      </c>
      <c r="I66" s="354">
        <f t="shared" si="14"/>
        <v>111.19999999999999</v>
      </c>
      <c r="J66" s="394">
        <f t="shared" si="23"/>
        <v>932.3</v>
      </c>
      <c r="K66" s="394">
        <f t="shared" si="23"/>
        <v>8.1</v>
      </c>
      <c r="L66" s="394">
        <f t="shared" si="23"/>
        <v>33.5</v>
      </c>
      <c r="M66" s="347">
        <f t="shared" si="24"/>
        <v>973.9</v>
      </c>
      <c r="N66" s="355">
        <f t="shared" si="15"/>
        <v>27652.75</v>
      </c>
      <c r="O66" s="355">
        <f t="shared" si="16"/>
        <v>214.64999999999998</v>
      </c>
      <c r="P66" s="355">
        <f t="shared" si="17"/>
        <v>887.75</v>
      </c>
      <c r="Q66" s="355">
        <f t="shared" si="18"/>
        <v>28755.15</v>
      </c>
      <c r="R66" s="355">
        <f t="shared" si="19"/>
        <v>2946.7999999999997</v>
      </c>
      <c r="S66" s="355">
        <f t="shared" si="20"/>
        <v>0</v>
      </c>
      <c r="T66" s="355">
        <f t="shared" si="21"/>
        <v>0</v>
      </c>
      <c r="U66" s="355">
        <f t="shared" si="22"/>
        <v>2946.7999999999997</v>
      </c>
      <c r="V66" s="355">
        <f t="shared" si="25"/>
        <v>24705.95</v>
      </c>
      <c r="W66" s="355">
        <f t="shared" si="25"/>
        <v>214.64999999999998</v>
      </c>
      <c r="X66" s="355">
        <f t="shared" si="25"/>
        <v>887.75</v>
      </c>
      <c r="Y66" s="355">
        <f t="shared" si="26"/>
        <v>25808.350000000002</v>
      </c>
    </row>
    <row r="67" spans="1:25" ht="13.5">
      <c r="A67" s="327" t="s">
        <v>51</v>
      </c>
      <c r="B67" s="353">
        <f>B33-B37-B41</f>
        <v>150</v>
      </c>
      <c r="C67" s="353">
        <f>C33-C37-C41</f>
        <v>0</v>
      </c>
      <c r="D67" s="353">
        <f>D33-D37-D41</f>
        <v>18.3</v>
      </c>
      <c r="E67" s="354">
        <f t="shared" si="13"/>
        <v>168.3</v>
      </c>
      <c r="F67" s="353">
        <f>F33-F37-F41</f>
        <v>0</v>
      </c>
      <c r="G67" s="353">
        <f>G33-G37-G41</f>
        <v>0</v>
      </c>
      <c r="H67" s="353">
        <f>H33-H37-H41</f>
        <v>0</v>
      </c>
      <c r="I67" s="354">
        <f t="shared" si="14"/>
        <v>0</v>
      </c>
      <c r="J67" s="394">
        <f t="shared" si="23"/>
        <v>150</v>
      </c>
      <c r="K67" s="394">
        <f t="shared" si="23"/>
        <v>0</v>
      </c>
      <c r="L67" s="394">
        <f t="shared" si="23"/>
        <v>18.3</v>
      </c>
      <c r="M67" s="347">
        <f t="shared" si="24"/>
        <v>168.3</v>
      </c>
      <c r="N67" s="355">
        <f t="shared" si="15"/>
        <v>3975</v>
      </c>
      <c r="O67" s="355">
        <f t="shared" si="16"/>
        <v>0</v>
      </c>
      <c r="P67" s="355">
        <f t="shared" si="17"/>
        <v>484.95000000000005</v>
      </c>
      <c r="Q67" s="355">
        <f t="shared" si="18"/>
        <v>4459.95</v>
      </c>
      <c r="R67" s="355">
        <f t="shared" si="19"/>
        <v>0</v>
      </c>
      <c r="S67" s="355">
        <f t="shared" si="20"/>
        <v>0</v>
      </c>
      <c r="T67" s="355">
        <f t="shared" si="21"/>
        <v>0</v>
      </c>
      <c r="U67" s="355">
        <f t="shared" si="22"/>
        <v>0</v>
      </c>
      <c r="V67" s="355">
        <f t="shared" si="25"/>
        <v>3975</v>
      </c>
      <c r="W67" s="355">
        <f t="shared" si="25"/>
        <v>0</v>
      </c>
      <c r="X67" s="355">
        <f t="shared" si="25"/>
        <v>484.95000000000005</v>
      </c>
      <c r="Y67" s="355">
        <f t="shared" si="26"/>
        <v>4459.95</v>
      </c>
    </row>
    <row r="68" spans="1:25" ht="13.5">
      <c r="A68" s="327" t="s">
        <v>43</v>
      </c>
      <c r="B68" s="353">
        <f>B34-B35</f>
        <v>190</v>
      </c>
      <c r="C68" s="353">
        <f>C34-C35</f>
        <v>0</v>
      </c>
      <c r="D68" s="353">
        <f>D34-D35</f>
        <v>5.6</v>
      </c>
      <c r="E68" s="354">
        <f t="shared" si="13"/>
        <v>195.6</v>
      </c>
      <c r="F68" s="353">
        <f>F34-F35</f>
        <v>23</v>
      </c>
      <c r="G68" s="353">
        <f>G34-G35</f>
        <v>0</v>
      </c>
      <c r="H68" s="353">
        <f>H34-H35</f>
        <v>4.7</v>
      </c>
      <c r="I68" s="354">
        <f t="shared" si="14"/>
        <v>27.7</v>
      </c>
      <c r="J68" s="394">
        <f t="shared" si="23"/>
        <v>167</v>
      </c>
      <c r="K68" s="394">
        <f t="shared" si="23"/>
        <v>0</v>
      </c>
      <c r="L68" s="394">
        <f t="shared" si="23"/>
        <v>0.8999999999999995</v>
      </c>
      <c r="M68" s="347">
        <f t="shared" si="24"/>
        <v>167.9</v>
      </c>
      <c r="N68" s="355">
        <f t="shared" si="15"/>
        <v>22881.7</v>
      </c>
      <c r="O68" s="355">
        <f t="shared" si="16"/>
        <v>0</v>
      </c>
      <c r="P68" s="355">
        <f t="shared" si="17"/>
        <v>674.408</v>
      </c>
      <c r="Q68" s="355">
        <f t="shared" si="18"/>
        <v>23556.108</v>
      </c>
      <c r="R68" s="355">
        <f t="shared" si="19"/>
        <v>2769.8900000000003</v>
      </c>
      <c r="S68" s="355">
        <f t="shared" si="20"/>
        <v>0</v>
      </c>
      <c r="T68" s="355">
        <f t="shared" si="21"/>
        <v>566.0210000000001</v>
      </c>
      <c r="U68" s="355">
        <f t="shared" si="22"/>
        <v>3335.9110000000005</v>
      </c>
      <c r="V68" s="355">
        <f t="shared" si="25"/>
        <v>20111.81</v>
      </c>
      <c r="W68" s="355">
        <f t="shared" si="25"/>
        <v>0</v>
      </c>
      <c r="X68" s="355">
        <f t="shared" si="25"/>
        <v>108.38699999999994</v>
      </c>
      <c r="Y68" s="355">
        <f t="shared" si="26"/>
        <v>20220.197</v>
      </c>
    </row>
    <row r="69" spans="1:25" ht="13.5">
      <c r="A69" s="327" t="s">
        <v>40</v>
      </c>
      <c r="B69" s="353">
        <f aca="true" t="shared" si="27" ref="B69:D71">B35</f>
        <v>87.5</v>
      </c>
      <c r="C69" s="353">
        <f t="shared" si="27"/>
        <v>0</v>
      </c>
      <c r="D69" s="353">
        <f t="shared" si="27"/>
        <v>1.4</v>
      </c>
      <c r="E69" s="354">
        <f t="shared" si="13"/>
        <v>88.9</v>
      </c>
      <c r="F69" s="353">
        <f aca="true" t="shared" si="28" ref="F69:H71">F35</f>
        <v>30.5</v>
      </c>
      <c r="G69" s="353">
        <f t="shared" si="28"/>
        <v>0</v>
      </c>
      <c r="H69" s="353">
        <f t="shared" si="28"/>
        <v>2.5</v>
      </c>
      <c r="I69" s="354">
        <f t="shared" si="14"/>
        <v>33</v>
      </c>
      <c r="J69" s="394">
        <f t="shared" si="23"/>
        <v>57</v>
      </c>
      <c r="K69" s="394">
        <f t="shared" si="23"/>
        <v>0</v>
      </c>
      <c r="L69" s="394">
        <f t="shared" si="23"/>
        <v>-1.1</v>
      </c>
      <c r="M69" s="347">
        <f t="shared" si="24"/>
        <v>55.9</v>
      </c>
      <c r="N69" s="355">
        <f t="shared" si="15"/>
        <v>15662.5</v>
      </c>
      <c r="O69" s="355">
        <f t="shared" si="16"/>
        <v>0</v>
      </c>
      <c r="P69" s="355">
        <f t="shared" si="17"/>
        <v>250.6</v>
      </c>
      <c r="Q69" s="355">
        <f t="shared" si="18"/>
        <v>15913.1</v>
      </c>
      <c r="R69" s="355">
        <f t="shared" si="19"/>
        <v>5459.5</v>
      </c>
      <c r="S69" s="355">
        <f t="shared" si="20"/>
        <v>0</v>
      </c>
      <c r="T69" s="355">
        <f t="shared" si="21"/>
        <v>447.5</v>
      </c>
      <c r="U69" s="355">
        <f t="shared" si="22"/>
        <v>5907</v>
      </c>
      <c r="V69" s="355">
        <f t="shared" si="25"/>
        <v>10203</v>
      </c>
      <c r="W69" s="355">
        <f t="shared" si="25"/>
        <v>0</v>
      </c>
      <c r="X69" s="355">
        <f t="shared" si="25"/>
        <v>-196.9</v>
      </c>
      <c r="Y69" s="355">
        <f t="shared" si="26"/>
        <v>10006.1</v>
      </c>
    </row>
    <row r="70" spans="1:25" ht="13.5">
      <c r="A70" s="327" t="s">
        <v>41</v>
      </c>
      <c r="B70" s="353">
        <f t="shared" si="27"/>
        <v>58.5</v>
      </c>
      <c r="C70" s="353">
        <f t="shared" si="27"/>
        <v>0</v>
      </c>
      <c r="D70" s="353">
        <f t="shared" si="27"/>
        <v>1.9</v>
      </c>
      <c r="E70" s="354">
        <f t="shared" si="13"/>
        <v>60.4</v>
      </c>
      <c r="F70" s="353">
        <f t="shared" si="28"/>
        <v>2.9</v>
      </c>
      <c r="G70" s="353">
        <f t="shared" si="28"/>
        <v>0</v>
      </c>
      <c r="H70" s="353">
        <f t="shared" si="28"/>
        <v>0</v>
      </c>
      <c r="I70" s="354">
        <f t="shared" si="14"/>
        <v>2.9</v>
      </c>
      <c r="J70" s="394">
        <f t="shared" si="23"/>
        <v>55.6</v>
      </c>
      <c r="K70" s="394">
        <f t="shared" si="23"/>
        <v>0</v>
      </c>
      <c r="L70" s="394">
        <f t="shared" si="23"/>
        <v>1.9</v>
      </c>
      <c r="M70" s="347">
        <f>J70+K70+L70</f>
        <v>57.5</v>
      </c>
      <c r="N70" s="355">
        <f t="shared" si="15"/>
        <v>1550.25</v>
      </c>
      <c r="O70" s="355">
        <f t="shared" si="16"/>
        <v>0</v>
      </c>
      <c r="P70" s="355">
        <f t="shared" si="17"/>
        <v>50.349999999999994</v>
      </c>
      <c r="Q70" s="355">
        <f t="shared" si="18"/>
        <v>1600.6</v>
      </c>
      <c r="R70" s="355">
        <f t="shared" si="19"/>
        <v>76.85</v>
      </c>
      <c r="S70" s="355">
        <f t="shared" si="20"/>
        <v>0</v>
      </c>
      <c r="T70" s="355">
        <f t="shared" si="21"/>
        <v>0</v>
      </c>
      <c r="U70" s="355">
        <f t="shared" si="22"/>
        <v>76.85</v>
      </c>
      <c r="V70" s="355">
        <f t="shared" si="25"/>
        <v>1473.4</v>
      </c>
      <c r="W70" s="355">
        <f t="shared" si="25"/>
        <v>0</v>
      </c>
      <c r="X70" s="355">
        <f t="shared" si="25"/>
        <v>50.349999999999994</v>
      </c>
      <c r="Y70" s="355">
        <f>V70+W70+X70</f>
        <v>1523.75</v>
      </c>
    </row>
    <row r="71" spans="1:25" ht="13.5">
      <c r="A71" s="327" t="s">
        <v>15</v>
      </c>
      <c r="B71" s="353">
        <f t="shared" si="27"/>
        <v>50.1</v>
      </c>
      <c r="C71" s="353">
        <f t="shared" si="27"/>
        <v>24.1</v>
      </c>
      <c r="D71" s="353">
        <f t="shared" si="27"/>
        <v>3.9</v>
      </c>
      <c r="E71" s="354">
        <f t="shared" si="13"/>
        <v>78.10000000000001</v>
      </c>
      <c r="F71" s="353">
        <f t="shared" si="28"/>
        <v>40.8</v>
      </c>
      <c r="G71" s="353">
        <f t="shared" si="28"/>
        <v>18.7</v>
      </c>
      <c r="H71" s="353">
        <f t="shared" si="28"/>
        <v>0</v>
      </c>
      <c r="I71" s="354">
        <f t="shared" si="14"/>
        <v>59.5</v>
      </c>
      <c r="J71" s="394">
        <f t="shared" si="23"/>
        <v>9.300000000000004</v>
      </c>
      <c r="K71" s="394">
        <f t="shared" si="23"/>
        <v>5.400000000000002</v>
      </c>
      <c r="L71" s="394">
        <f t="shared" si="23"/>
        <v>3.9</v>
      </c>
      <c r="M71" s="347">
        <f>J71+K71+L71</f>
        <v>18.600000000000005</v>
      </c>
      <c r="N71" s="355">
        <f t="shared" si="15"/>
        <v>1327.65</v>
      </c>
      <c r="O71" s="355">
        <f t="shared" si="16"/>
        <v>638.6500000000001</v>
      </c>
      <c r="P71" s="355">
        <f t="shared" si="17"/>
        <v>103.35</v>
      </c>
      <c r="Q71" s="355">
        <f t="shared" si="18"/>
        <v>2069.65</v>
      </c>
      <c r="R71" s="355">
        <f t="shared" si="19"/>
        <v>1081.1999999999998</v>
      </c>
      <c r="S71" s="355">
        <f t="shared" si="20"/>
        <v>495.54999999999995</v>
      </c>
      <c r="T71" s="355">
        <f t="shared" si="21"/>
        <v>0</v>
      </c>
      <c r="U71" s="355">
        <f t="shared" si="22"/>
        <v>1576.7499999999998</v>
      </c>
      <c r="V71" s="355">
        <f t="shared" si="25"/>
        <v>246.45000000000027</v>
      </c>
      <c r="W71" s="355">
        <f t="shared" si="25"/>
        <v>143.10000000000014</v>
      </c>
      <c r="X71" s="355">
        <f t="shared" si="25"/>
        <v>103.35</v>
      </c>
      <c r="Y71" s="355">
        <f>V71+W71+X71</f>
        <v>492.90000000000043</v>
      </c>
    </row>
    <row r="72" spans="1:25" ht="13.5">
      <c r="A72" s="327" t="s">
        <v>157</v>
      </c>
      <c r="B72" s="353">
        <f>B38-B39</f>
        <v>64.19999999999999</v>
      </c>
      <c r="C72" s="353">
        <f>C38-C39</f>
        <v>38.599999999999994</v>
      </c>
      <c r="D72" s="353">
        <f>D38-D39</f>
        <v>5.8</v>
      </c>
      <c r="E72" s="354">
        <f t="shared" si="13"/>
        <v>108.59999999999998</v>
      </c>
      <c r="F72" s="353">
        <f>F38-F39</f>
        <v>17.299999999999997</v>
      </c>
      <c r="G72" s="353">
        <f>G38-G39</f>
        <v>0</v>
      </c>
      <c r="H72" s="353">
        <f>H38-H39</f>
        <v>59.3</v>
      </c>
      <c r="I72" s="354">
        <f t="shared" si="14"/>
        <v>76.6</v>
      </c>
      <c r="J72" s="394">
        <f t="shared" si="23"/>
        <v>46.89999999999999</v>
      </c>
      <c r="K72" s="394">
        <f t="shared" si="23"/>
        <v>38.599999999999994</v>
      </c>
      <c r="L72" s="394">
        <f t="shared" si="23"/>
        <v>-53.5</v>
      </c>
      <c r="M72" s="347">
        <f t="shared" si="24"/>
        <v>31.999999999999986</v>
      </c>
      <c r="N72" s="355">
        <f t="shared" si="15"/>
        <v>1701.2999999999997</v>
      </c>
      <c r="O72" s="355">
        <f t="shared" si="16"/>
        <v>1022.8999999999999</v>
      </c>
      <c r="P72" s="355">
        <f t="shared" si="17"/>
        <v>153.7</v>
      </c>
      <c r="Q72" s="355">
        <f t="shared" si="18"/>
        <v>2877.8999999999996</v>
      </c>
      <c r="R72" s="355">
        <f t="shared" si="19"/>
        <v>458.44999999999993</v>
      </c>
      <c r="S72" s="355">
        <f t="shared" si="20"/>
        <v>0</v>
      </c>
      <c r="T72" s="355">
        <f t="shared" si="21"/>
        <v>1571.4499999999998</v>
      </c>
      <c r="U72" s="355">
        <f t="shared" si="22"/>
        <v>2029.8999999999996</v>
      </c>
      <c r="V72" s="355">
        <f t="shared" si="25"/>
        <v>1242.85</v>
      </c>
      <c r="W72" s="355">
        <f t="shared" si="25"/>
        <v>1022.8999999999999</v>
      </c>
      <c r="X72" s="355">
        <f t="shared" si="25"/>
        <v>-1417.7499999999998</v>
      </c>
      <c r="Y72" s="355">
        <f t="shared" si="26"/>
        <v>848.0000000000002</v>
      </c>
    </row>
    <row r="73" spans="1:25" ht="13.5">
      <c r="A73" s="327" t="s">
        <v>156</v>
      </c>
      <c r="B73" s="353">
        <f aca="true" t="shared" si="29" ref="B73:D76">B39</f>
        <v>138.3</v>
      </c>
      <c r="C73" s="353">
        <f t="shared" si="29"/>
        <v>31.5</v>
      </c>
      <c r="D73" s="353">
        <f t="shared" si="29"/>
        <v>7.2</v>
      </c>
      <c r="E73" s="354">
        <f t="shared" si="13"/>
        <v>177</v>
      </c>
      <c r="F73" s="353">
        <f aca="true" t="shared" si="30" ref="F73:H76">F39</f>
        <v>5.6</v>
      </c>
      <c r="G73" s="353">
        <f t="shared" si="30"/>
        <v>0</v>
      </c>
      <c r="H73" s="353">
        <f t="shared" si="30"/>
        <v>18.7</v>
      </c>
      <c r="I73" s="354">
        <f t="shared" si="14"/>
        <v>24.299999999999997</v>
      </c>
      <c r="J73" s="394">
        <f t="shared" si="23"/>
        <v>132.70000000000002</v>
      </c>
      <c r="K73" s="394">
        <f t="shared" si="23"/>
        <v>31.5</v>
      </c>
      <c r="L73" s="394">
        <f t="shared" si="23"/>
        <v>-11.5</v>
      </c>
      <c r="M73" s="347">
        <f t="shared" si="24"/>
        <v>152.70000000000002</v>
      </c>
      <c r="N73" s="355">
        <f t="shared" si="15"/>
        <v>3664.9500000000003</v>
      </c>
      <c r="O73" s="355">
        <f t="shared" si="16"/>
        <v>834.75</v>
      </c>
      <c r="P73" s="355">
        <f t="shared" si="17"/>
        <v>190.8</v>
      </c>
      <c r="Q73" s="355">
        <f t="shared" si="18"/>
        <v>4690.500000000001</v>
      </c>
      <c r="R73" s="355">
        <f t="shared" si="19"/>
        <v>148.39999999999998</v>
      </c>
      <c r="S73" s="355">
        <f t="shared" si="20"/>
        <v>0</v>
      </c>
      <c r="T73" s="355">
        <f t="shared" si="21"/>
        <v>495.54999999999995</v>
      </c>
      <c r="U73" s="355">
        <f t="shared" si="22"/>
        <v>643.9499999999999</v>
      </c>
      <c r="V73" s="355">
        <f t="shared" si="25"/>
        <v>3516.55</v>
      </c>
      <c r="W73" s="355">
        <f t="shared" si="25"/>
        <v>834.75</v>
      </c>
      <c r="X73" s="355">
        <f t="shared" si="25"/>
        <v>-304.74999999999994</v>
      </c>
      <c r="Y73" s="355">
        <f t="shared" si="26"/>
        <v>4046.55</v>
      </c>
    </row>
    <row r="74" spans="1:25" ht="13.5">
      <c r="A74" s="333" t="s">
        <v>20</v>
      </c>
      <c r="B74" s="353">
        <f t="shared" si="29"/>
        <v>158</v>
      </c>
      <c r="C74" s="353">
        <f t="shared" si="29"/>
        <v>100</v>
      </c>
      <c r="D74" s="353">
        <f t="shared" si="29"/>
        <v>13.4</v>
      </c>
      <c r="E74" s="354">
        <f t="shared" si="13"/>
        <v>271.4</v>
      </c>
      <c r="F74" s="353">
        <f t="shared" si="30"/>
        <v>18.8</v>
      </c>
      <c r="G74" s="353">
        <f t="shared" si="30"/>
        <v>0</v>
      </c>
      <c r="H74" s="353">
        <f t="shared" si="30"/>
        <v>2.1</v>
      </c>
      <c r="I74" s="354">
        <f t="shared" si="14"/>
        <v>20.900000000000002</v>
      </c>
      <c r="J74" s="394">
        <f t="shared" si="23"/>
        <v>139.2</v>
      </c>
      <c r="K74" s="394">
        <f t="shared" si="23"/>
        <v>100</v>
      </c>
      <c r="L74" s="394">
        <f t="shared" si="23"/>
        <v>11.3</v>
      </c>
      <c r="M74" s="347">
        <f>J74+K74+L74</f>
        <v>250.5</v>
      </c>
      <c r="N74" s="355">
        <f t="shared" si="15"/>
        <v>4187</v>
      </c>
      <c r="O74" s="355">
        <f t="shared" si="16"/>
        <v>2650</v>
      </c>
      <c r="P74" s="355">
        <f t="shared" si="17"/>
        <v>355.1</v>
      </c>
      <c r="Q74" s="355">
        <f t="shared" si="18"/>
        <v>7192.1</v>
      </c>
      <c r="R74" s="355">
        <f t="shared" si="19"/>
        <v>498.20000000000005</v>
      </c>
      <c r="S74" s="355">
        <f t="shared" si="20"/>
        <v>0</v>
      </c>
      <c r="T74" s="355">
        <f t="shared" si="21"/>
        <v>55.650000000000006</v>
      </c>
      <c r="U74" s="355">
        <f t="shared" si="22"/>
        <v>553.85</v>
      </c>
      <c r="V74" s="355">
        <f t="shared" si="25"/>
        <v>3688.8</v>
      </c>
      <c r="W74" s="355">
        <f t="shared" si="25"/>
        <v>2650</v>
      </c>
      <c r="X74" s="355">
        <f>P74-T74</f>
        <v>299.45000000000005</v>
      </c>
      <c r="Y74" s="355">
        <f>V74+W74+X74</f>
        <v>6638.25</v>
      </c>
    </row>
    <row r="75" spans="1:25" ht="13.5">
      <c r="A75" s="333" t="s">
        <v>11</v>
      </c>
      <c r="B75" s="353">
        <f t="shared" si="29"/>
        <v>22</v>
      </c>
      <c r="C75" s="353">
        <f t="shared" si="29"/>
        <v>11.5</v>
      </c>
      <c r="D75" s="353">
        <f t="shared" si="29"/>
        <v>0</v>
      </c>
      <c r="E75" s="354">
        <f t="shared" si="13"/>
        <v>33.5</v>
      </c>
      <c r="F75" s="353">
        <f t="shared" si="30"/>
        <v>34.1</v>
      </c>
      <c r="G75" s="353">
        <f t="shared" si="30"/>
        <v>0</v>
      </c>
      <c r="H75" s="353">
        <f t="shared" si="30"/>
        <v>0</v>
      </c>
      <c r="I75" s="354">
        <f t="shared" si="14"/>
        <v>34.1</v>
      </c>
      <c r="J75" s="394">
        <f t="shared" si="23"/>
        <v>-12.100000000000001</v>
      </c>
      <c r="K75" s="394">
        <f t="shared" si="23"/>
        <v>11.5</v>
      </c>
      <c r="L75" s="394">
        <f t="shared" si="23"/>
        <v>0</v>
      </c>
      <c r="M75" s="347">
        <f>J75+K75+L75</f>
        <v>-0.6000000000000014</v>
      </c>
      <c r="N75" s="355">
        <f t="shared" si="15"/>
        <v>583</v>
      </c>
      <c r="O75" s="355">
        <f t="shared" si="16"/>
        <v>304.75</v>
      </c>
      <c r="P75" s="355">
        <f t="shared" si="17"/>
        <v>0</v>
      </c>
      <c r="Q75" s="355">
        <f t="shared" si="18"/>
        <v>887.75</v>
      </c>
      <c r="R75" s="355">
        <f t="shared" si="19"/>
        <v>903.6500000000001</v>
      </c>
      <c r="S75" s="355">
        <f t="shared" si="20"/>
        <v>0</v>
      </c>
      <c r="T75" s="355">
        <f t="shared" si="21"/>
        <v>0</v>
      </c>
      <c r="U75" s="355">
        <f t="shared" si="22"/>
        <v>903.6500000000001</v>
      </c>
      <c r="V75" s="355">
        <f t="shared" si="25"/>
        <v>-320.6500000000001</v>
      </c>
      <c r="W75" s="355">
        <f t="shared" si="25"/>
        <v>304.75</v>
      </c>
      <c r="X75" s="355">
        <f t="shared" si="25"/>
        <v>0</v>
      </c>
      <c r="Y75" s="355">
        <f>V75+W75+X75</f>
        <v>-15.900000000000091</v>
      </c>
    </row>
    <row r="76" spans="1:25" ht="13.5">
      <c r="A76" s="333" t="s">
        <v>10</v>
      </c>
      <c r="B76" s="353">
        <f t="shared" si="29"/>
        <v>267.6</v>
      </c>
      <c r="C76" s="353">
        <f t="shared" si="29"/>
        <v>0</v>
      </c>
      <c r="D76" s="353">
        <f t="shared" si="29"/>
        <v>27.5</v>
      </c>
      <c r="E76" s="354">
        <f t="shared" si="13"/>
        <v>295.1</v>
      </c>
      <c r="F76" s="353">
        <f t="shared" si="30"/>
        <v>4.5</v>
      </c>
      <c r="G76" s="353">
        <f t="shared" si="30"/>
        <v>0</v>
      </c>
      <c r="H76" s="353">
        <f t="shared" si="30"/>
        <v>0</v>
      </c>
      <c r="I76" s="354">
        <f t="shared" si="14"/>
        <v>4.5</v>
      </c>
      <c r="J76" s="394">
        <f t="shared" si="23"/>
        <v>263.1</v>
      </c>
      <c r="K76" s="394">
        <f t="shared" si="23"/>
        <v>0</v>
      </c>
      <c r="L76" s="394">
        <f t="shared" si="23"/>
        <v>27.5</v>
      </c>
      <c r="M76" s="347">
        <f>J76+K76+L76</f>
        <v>290.6</v>
      </c>
      <c r="N76" s="355">
        <f t="shared" si="15"/>
        <v>7091.400000000001</v>
      </c>
      <c r="O76" s="355">
        <f t="shared" si="16"/>
        <v>0</v>
      </c>
      <c r="P76" s="355">
        <f t="shared" si="17"/>
        <v>728.75</v>
      </c>
      <c r="Q76" s="355">
        <f t="shared" si="18"/>
        <v>7820.150000000001</v>
      </c>
      <c r="R76" s="355">
        <f t="shared" si="19"/>
        <v>119.25</v>
      </c>
      <c r="S76" s="355">
        <f t="shared" si="20"/>
        <v>0</v>
      </c>
      <c r="T76" s="355">
        <f t="shared" si="21"/>
        <v>0</v>
      </c>
      <c r="U76" s="355">
        <f t="shared" si="22"/>
        <v>119.25</v>
      </c>
      <c r="V76" s="355">
        <f t="shared" si="25"/>
        <v>6972.150000000001</v>
      </c>
      <c r="W76" s="355">
        <f>O76-S76</f>
        <v>0</v>
      </c>
      <c r="X76" s="355">
        <f t="shared" si="25"/>
        <v>728.75</v>
      </c>
      <c r="Y76" s="355">
        <f>V76+W76+X76</f>
        <v>7700.900000000001</v>
      </c>
    </row>
    <row r="77" spans="1:25" ht="13.5">
      <c r="A77" s="327" t="s">
        <v>54</v>
      </c>
      <c r="B77" s="359">
        <f aca="true" t="shared" si="31" ref="B77:N77">SUM(B64:B76)</f>
        <v>3623.2</v>
      </c>
      <c r="C77" s="359">
        <f t="shared" si="31"/>
        <v>437.4</v>
      </c>
      <c r="D77" s="359">
        <f t="shared" si="31"/>
        <v>150.7</v>
      </c>
      <c r="E77" s="367">
        <f t="shared" si="31"/>
        <v>4211.3</v>
      </c>
      <c r="F77" s="359">
        <f t="shared" si="31"/>
        <v>1341.9</v>
      </c>
      <c r="G77" s="359">
        <f t="shared" si="31"/>
        <v>18.7</v>
      </c>
      <c r="H77" s="359">
        <f t="shared" si="31"/>
        <v>87.29999999999998</v>
      </c>
      <c r="I77" s="367">
        <f t="shared" si="31"/>
        <v>1447.9000000000003</v>
      </c>
      <c r="J77" s="367">
        <f t="shared" si="31"/>
        <v>2281.2999999999997</v>
      </c>
      <c r="K77" s="367">
        <f t="shared" si="31"/>
        <v>418.70000000000005</v>
      </c>
      <c r="L77" s="367">
        <f t="shared" si="31"/>
        <v>63.400000000000006</v>
      </c>
      <c r="M77" s="367">
        <f t="shared" si="31"/>
        <v>2763.399999999999</v>
      </c>
      <c r="N77" s="368">
        <f t="shared" si="31"/>
        <v>127205.24999999999</v>
      </c>
      <c r="O77" s="368">
        <f aca="true" t="shared" si="32" ref="O77:W77">SUM(O64:O76)</f>
        <v>11591.1</v>
      </c>
      <c r="P77" s="368">
        <f t="shared" si="32"/>
        <v>4733.057999999999</v>
      </c>
      <c r="Q77" s="368">
        <f>SUM(Q64:Q76)</f>
        <v>143529.408</v>
      </c>
      <c r="R77" s="368">
        <f t="shared" si="32"/>
        <v>42371.99</v>
      </c>
      <c r="S77" s="368">
        <f t="shared" si="32"/>
        <v>495.54999999999995</v>
      </c>
      <c r="T77" s="368">
        <f t="shared" si="32"/>
        <v>3136.171</v>
      </c>
      <c r="U77" s="368">
        <f>SUM(U64:U76)</f>
        <v>46003.711</v>
      </c>
      <c r="V77" s="368">
        <f t="shared" si="32"/>
        <v>84833.26</v>
      </c>
      <c r="W77" s="368">
        <f t="shared" si="32"/>
        <v>11095.55</v>
      </c>
      <c r="X77" s="368">
        <f>SUM(X64:X76)</f>
        <v>1596.8869999999997</v>
      </c>
      <c r="Y77" s="368">
        <f>SUM(Y64:Y76)</f>
        <v>97525.69699999999</v>
      </c>
    </row>
    <row r="78" spans="1:25" ht="13.5">
      <c r="A78" s="318"/>
      <c r="B78" s="395"/>
      <c r="C78" s="395"/>
      <c r="D78" s="395"/>
      <c r="E78" s="396"/>
      <c r="F78" s="395"/>
      <c r="G78" s="395"/>
      <c r="H78" s="395"/>
      <c r="I78" s="396"/>
      <c r="J78" s="395"/>
      <c r="K78" s="395"/>
      <c r="L78" s="395"/>
      <c r="M78" s="395"/>
      <c r="N78" s="397"/>
      <c r="O78" s="397"/>
      <c r="P78" s="397"/>
      <c r="Q78" s="397"/>
      <c r="R78" s="397"/>
      <c r="S78" s="397"/>
      <c r="T78" s="397"/>
      <c r="U78" s="397"/>
      <c r="V78" s="397"/>
      <c r="W78" s="397"/>
      <c r="X78" s="397"/>
      <c r="Y78" s="397" t="s">
        <v>24</v>
      </c>
    </row>
    <row r="79" spans="1:25" ht="15">
      <c r="A79" s="688" t="s">
        <v>255</v>
      </c>
      <c r="B79" s="688"/>
      <c r="C79" s="361"/>
      <c r="D79" s="361"/>
      <c r="E79" s="255"/>
      <c r="F79" s="364"/>
      <c r="G79" s="337"/>
      <c r="H79" s="337"/>
      <c r="I79" s="335"/>
      <c r="J79" s="361"/>
      <c r="K79" s="255"/>
      <c r="L79" s="255"/>
      <c r="M79" s="255"/>
      <c r="N79" s="255"/>
      <c r="O79" s="255"/>
      <c r="P79" s="255"/>
      <c r="Q79" s="255"/>
      <c r="R79" s="255"/>
      <c r="S79" s="255"/>
      <c r="T79" s="255"/>
      <c r="U79" s="255"/>
      <c r="V79" s="255"/>
      <c r="W79" s="255"/>
      <c r="X79" s="255"/>
      <c r="Y79" s="255"/>
    </row>
    <row r="80" spans="1:25" ht="13.5">
      <c r="A80" s="682" t="s">
        <v>3</v>
      </c>
      <c r="B80" s="679" t="s">
        <v>242</v>
      </c>
      <c r="C80" s="679"/>
      <c r="D80" s="679"/>
      <c r="E80" s="679" t="s">
        <v>288</v>
      </c>
      <c r="F80" s="679"/>
      <c r="G80" s="679"/>
      <c r="H80" s="679"/>
      <c r="I80" s="335"/>
      <c r="J80" s="361"/>
      <c r="K80" s="255"/>
      <c r="L80" s="255"/>
      <c r="M80" s="255"/>
      <c r="N80" s="255"/>
      <c r="O80" s="255"/>
      <c r="P80" s="255"/>
      <c r="Q80" s="255"/>
      <c r="R80" s="255"/>
      <c r="S80" s="255"/>
      <c r="T80" s="255"/>
      <c r="U80" s="255"/>
      <c r="V80" s="255"/>
      <c r="W80" s="255"/>
      <c r="X80" s="255"/>
      <c r="Y80" s="255"/>
    </row>
    <row r="81" spans="1:25" ht="69">
      <c r="A81" s="683"/>
      <c r="B81" s="374" t="s">
        <v>245</v>
      </c>
      <c r="C81" s="374" t="s">
        <v>244</v>
      </c>
      <c r="D81" s="374" t="s">
        <v>243</v>
      </c>
      <c r="E81" s="374" t="s">
        <v>245</v>
      </c>
      <c r="F81" s="374" t="s">
        <v>244</v>
      </c>
      <c r="G81" s="374" t="s">
        <v>243</v>
      </c>
      <c r="H81" s="398" t="s">
        <v>206</v>
      </c>
      <c r="I81" s="577" t="s">
        <v>256</v>
      </c>
      <c r="J81" s="577" t="s">
        <v>257</v>
      </c>
      <c r="K81" s="255"/>
      <c r="L81" s="255"/>
      <c r="M81" s="255"/>
      <c r="N81" s="255"/>
      <c r="O81" s="255"/>
      <c r="P81" s="255"/>
      <c r="Q81" s="255"/>
      <c r="R81" s="255"/>
      <c r="S81" s="255"/>
      <c r="T81" s="255"/>
      <c r="U81" s="255"/>
      <c r="V81" s="255"/>
      <c r="W81" s="255"/>
      <c r="X81" s="255"/>
      <c r="Y81" s="255"/>
    </row>
    <row r="82" spans="1:25" ht="13.5">
      <c r="A82" s="327" t="s">
        <v>50</v>
      </c>
      <c r="B82" s="353">
        <f>N30-N31-N38-N40</f>
        <v>0</v>
      </c>
      <c r="C82" s="353">
        <f>O30-O31-O38-O40</f>
        <v>0</v>
      </c>
      <c r="D82" s="353">
        <f>P30-P31-P38-P40</f>
        <v>0</v>
      </c>
      <c r="E82" s="328">
        <f aca="true" t="shared" si="33" ref="E82:E94">B82*D5</f>
        <v>0</v>
      </c>
      <c r="F82" s="328">
        <f aca="true" t="shared" si="34" ref="F82:F94">C82*F5</f>
        <v>0</v>
      </c>
      <c r="G82" s="328">
        <f aca="true" t="shared" si="35" ref="G82:G94">D82*H5</f>
        <v>0</v>
      </c>
      <c r="H82" s="328">
        <f>E82+F82+G82</f>
        <v>0</v>
      </c>
      <c r="I82" s="328">
        <v>0</v>
      </c>
      <c r="J82" s="328">
        <v>0</v>
      </c>
      <c r="K82" s="255"/>
      <c r="L82" s="255"/>
      <c r="M82" s="255"/>
      <c r="N82" s="255"/>
      <c r="O82" s="255"/>
      <c r="P82" s="255"/>
      <c r="Q82" s="255"/>
      <c r="R82" s="255"/>
      <c r="S82" s="255"/>
      <c r="T82" s="255"/>
      <c r="U82" s="255"/>
      <c r="V82" s="255"/>
      <c r="W82" s="255"/>
      <c r="X82" s="255"/>
      <c r="Y82" s="255"/>
    </row>
    <row r="83" spans="1:25" ht="13.5">
      <c r="A83" s="327" t="s">
        <v>53</v>
      </c>
      <c r="B83" s="353">
        <f>N31-N32-N33-N42</f>
        <v>0</v>
      </c>
      <c r="C83" s="353">
        <f>O31-O32-O33-O42</f>
        <v>0</v>
      </c>
      <c r="D83" s="353">
        <f>P31-P32-P33-P42</f>
        <v>0</v>
      </c>
      <c r="E83" s="328">
        <f t="shared" si="33"/>
        <v>0</v>
      </c>
      <c r="F83" s="328">
        <f t="shared" si="34"/>
        <v>0</v>
      </c>
      <c r="G83" s="328">
        <f t="shared" si="35"/>
        <v>0</v>
      </c>
      <c r="H83" s="328">
        <f>E83+F83+G83</f>
        <v>0</v>
      </c>
      <c r="I83" s="328">
        <v>0</v>
      </c>
      <c r="J83" s="328">
        <v>0</v>
      </c>
      <c r="K83" s="255"/>
      <c r="L83" s="255"/>
      <c r="M83" s="255"/>
      <c r="N83" s="255"/>
      <c r="O83" s="255"/>
      <c r="P83" s="255"/>
      <c r="Q83" s="255"/>
      <c r="R83" s="255"/>
      <c r="S83" s="255"/>
      <c r="T83" s="255"/>
      <c r="U83" s="255"/>
      <c r="V83" s="255"/>
      <c r="W83" s="255"/>
      <c r="X83" s="255"/>
      <c r="Y83" s="255"/>
    </row>
    <row r="84" spans="1:25" ht="13.5">
      <c r="A84" s="327" t="s">
        <v>52</v>
      </c>
      <c r="B84" s="353">
        <f>N32-N34-N36</f>
        <v>0</v>
      </c>
      <c r="C84" s="353">
        <f>O32-O34-O36</f>
        <v>0</v>
      </c>
      <c r="D84" s="353">
        <f>P32-P34-P36</f>
        <v>0</v>
      </c>
      <c r="E84" s="328">
        <f t="shared" si="33"/>
        <v>0</v>
      </c>
      <c r="F84" s="328">
        <f t="shared" si="34"/>
        <v>0</v>
      </c>
      <c r="G84" s="328">
        <f t="shared" si="35"/>
        <v>0</v>
      </c>
      <c r="H84" s="328">
        <f>E84+F84+G84</f>
        <v>0</v>
      </c>
      <c r="I84" s="328">
        <v>0</v>
      </c>
      <c r="J84" s="328">
        <v>0</v>
      </c>
      <c r="K84" s="255"/>
      <c r="L84" s="255"/>
      <c r="M84" s="255"/>
      <c r="N84" s="255"/>
      <c r="O84" s="255"/>
      <c r="P84" s="255"/>
      <c r="Q84" s="255"/>
      <c r="R84" s="255"/>
      <c r="S84" s="255"/>
      <c r="T84" s="255"/>
      <c r="U84" s="255"/>
      <c r="V84" s="255"/>
      <c r="W84" s="255"/>
      <c r="X84" s="255"/>
      <c r="Y84" s="255"/>
    </row>
    <row r="85" spans="1:25" ht="13.5">
      <c r="A85" s="327" t="s">
        <v>51</v>
      </c>
      <c r="B85" s="353">
        <f>N33-N37-N41</f>
        <v>0</v>
      </c>
      <c r="C85" s="353">
        <f>O33-O37-O41</f>
        <v>0</v>
      </c>
      <c r="D85" s="353">
        <f>P33-P37-P41</f>
        <v>0</v>
      </c>
      <c r="E85" s="328">
        <f t="shared" si="33"/>
        <v>0</v>
      </c>
      <c r="F85" s="328">
        <f t="shared" si="34"/>
        <v>0</v>
      </c>
      <c r="G85" s="328">
        <f t="shared" si="35"/>
        <v>0</v>
      </c>
      <c r="H85" s="328">
        <f aca="true" t="shared" si="36" ref="H85:H90">E85+F85+G85</f>
        <v>0</v>
      </c>
      <c r="I85" s="328">
        <v>0</v>
      </c>
      <c r="J85" s="328">
        <v>0</v>
      </c>
      <c r="K85" s="255"/>
      <c r="L85" s="255"/>
      <c r="M85" s="255"/>
      <c r="N85" s="255"/>
      <c r="O85" s="255"/>
      <c r="P85" s="255"/>
      <c r="Q85" s="255"/>
      <c r="R85" s="255"/>
      <c r="S85" s="255"/>
      <c r="T85" s="255"/>
      <c r="U85" s="255"/>
      <c r="V85" s="255"/>
      <c r="W85" s="255"/>
      <c r="X85" s="255"/>
      <c r="Y85" s="255"/>
    </row>
    <row r="86" spans="1:25" ht="13.5">
      <c r="A86" s="327" t="s">
        <v>43</v>
      </c>
      <c r="B86" s="353">
        <f>N34-N35</f>
        <v>0</v>
      </c>
      <c r="C86" s="353">
        <f>O34-O35</f>
        <v>0</v>
      </c>
      <c r="D86" s="353">
        <f>P34-P35</f>
        <v>0</v>
      </c>
      <c r="E86" s="328">
        <f t="shared" si="33"/>
        <v>0</v>
      </c>
      <c r="F86" s="328">
        <f t="shared" si="34"/>
        <v>0</v>
      </c>
      <c r="G86" s="328">
        <f t="shared" si="35"/>
        <v>0</v>
      </c>
      <c r="H86" s="328">
        <f t="shared" si="36"/>
        <v>0</v>
      </c>
      <c r="I86" s="328">
        <v>0</v>
      </c>
      <c r="J86" s="328">
        <v>0</v>
      </c>
      <c r="K86" s="255"/>
      <c r="L86" s="255"/>
      <c r="M86" s="255"/>
      <c r="N86" s="255"/>
      <c r="O86" s="255"/>
      <c r="P86" s="255"/>
      <c r="Q86" s="255"/>
      <c r="R86" s="255"/>
      <c r="S86" s="255"/>
      <c r="T86" s="255"/>
      <c r="U86" s="255"/>
      <c r="V86" s="255"/>
      <c r="W86" s="255"/>
      <c r="X86" s="255"/>
      <c r="Y86" s="255"/>
    </row>
    <row r="87" spans="1:25" ht="13.5">
      <c r="A87" s="327" t="s">
        <v>40</v>
      </c>
      <c r="B87" s="353">
        <f aca="true" t="shared" si="37" ref="B87:D89">N35</f>
        <v>0</v>
      </c>
      <c r="C87" s="353">
        <f t="shared" si="37"/>
        <v>0</v>
      </c>
      <c r="D87" s="353">
        <f t="shared" si="37"/>
        <v>0</v>
      </c>
      <c r="E87" s="328">
        <f t="shared" si="33"/>
        <v>0</v>
      </c>
      <c r="F87" s="328">
        <f t="shared" si="34"/>
        <v>0</v>
      </c>
      <c r="G87" s="328">
        <f t="shared" si="35"/>
        <v>0</v>
      </c>
      <c r="H87" s="328">
        <f t="shared" si="36"/>
        <v>0</v>
      </c>
      <c r="I87" s="328">
        <v>0</v>
      </c>
      <c r="J87" s="328">
        <v>0</v>
      </c>
      <c r="K87" s="255"/>
      <c r="L87" s="255"/>
      <c r="M87" s="255"/>
      <c r="N87" s="255"/>
      <c r="O87" s="255"/>
      <c r="P87" s="255"/>
      <c r="Q87" s="255"/>
      <c r="R87" s="255"/>
      <c r="S87" s="255"/>
      <c r="T87" s="255"/>
      <c r="U87" s="255"/>
      <c r="V87" s="255"/>
      <c r="W87" s="255"/>
      <c r="X87" s="255"/>
      <c r="Y87" s="255"/>
    </row>
    <row r="88" spans="1:25" ht="13.5">
      <c r="A88" s="327" t="s">
        <v>41</v>
      </c>
      <c r="B88" s="353">
        <f t="shared" si="37"/>
        <v>0</v>
      </c>
      <c r="C88" s="353">
        <f t="shared" si="37"/>
        <v>0</v>
      </c>
      <c r="D88" s="353">
        <f t="shared" si="37"/>
        <v>0</v>
      </c>
      <c r="E88" s="328">
        <f t="shared" si="33"/>
        <v>0</v>
      </c>
      <c r="F88" s="328">
        <f t="shared" si="34"/>
        <v>0</v>
      </c>
      <c r="G88" s="328">
        <f t="shared" si="35"/>
        <v>0</v>
      </c>
      <c r="H88" s="328">
        <f t="shared" si="36"/>
        <v>0</v>
      </c>
      <c r="I88" s="328">
        <v>0</v>
      </c>
      <c r="J88" s="328">
        <v>0</v>
      </c>
      <c r="K88" s="255"/>
      <c r="L88" s="255"/>
      <c r="M88" s="255"/>
      <c r="N88" s="255"/>
      <c r="O88" s="255"/>
      <c r="P88" s="255"/>
      <c r="Q88" s="255"/>
      <c r="R88" s="255"/>
      <c r="S88" s="255"/>
      <c r="T88" s="255"/>
      <c r="U88" s="255"/>
      <c r="V88" s="255"/>
      <c r="W88" s="255"/>
      <c r="X88" s="255"/>
      <c r="Y88" s="255"/>
    </row>
    <row r="89" spans="1:25" ht="13.5">
      <c r="A89" s="327" t="s">
        <v>15</v>
      </c>
      <c r="B89" s="353">
        <f t="shared" si="37"/>
        <v>0</v>
      </c>
      <c r="C89" s="353">
        <f t="shared" si="37"/>
        <v>0</v>
      </c>
      <c r="D89" s="353">
        <f t="shared" si="37"/>
        <v>0</v>
      </c>
      <c r="E89" s="328">
        <f t="shared" si="33"/>
        <v>0</v>
      </c>
      <c r="F89" s="328">
        <f t="shared" si="34"/>
        <v>0</v>
      </c>
      <c r="G89" s="328">
        <f t="shared" si="35"/>
        <v>0</v>
      </c>
      <c r="H89" s="328">
        <f t="shared" si="36"/>
        <v>0</v>
      </c>
      <c r="I89" s="328">
        <v>0</v>
      </c>
      <c r="J89" s="328">
        <v>0</v>
      </c>
      <c r="K89" s="255"/>
      <c r="L89" s="255"/>
      <c r="M89" s="255"/>
      <c r="N89" s="255"/>
      <c r="O89" s="255"/>
      <c r="P89" s="255"/>
      <c r="Q89" s="255"/>
      <c r="R89" s="255"/>
      <c r="S89" s="255"/>
      <c r="T89" s="255"/>
      <c r="U89" s="255"/>
      <c r="V89" s="255"/>
      <c r="W89" s="255"/>
      <c r="X89" s="255"/>
      <c r="Y89" s="255"/>
    </row>
    <row r="90" spans="1:25" ht="13.5">
      <c r="A90" s="327" t="s">
        <v>157</v>
      </c>
      <c r="B90" s="353">
        <f>N38-N39</f>
        <v>0</v>
      </c>
      <c r="C90" s="353">
        <f>O38-O39</f>
        <v>0</v>
      </c>
      <c r="D90" s="353">
        <f>P38-P39</f>
        <v>0</v>
      </c>
      <c r="E90" s="328">
        <f t="shared" si="33"/>
        <v>0</v>
      </c>
      <c r="F90" s="328">
        <f t="shared" si="34"/>
        <v>0</v>
      </c>
      <c r="G90" s="328">
        <f t="shared" si="35"/>
        <v>0</v>
      </c>
      <c r="H90" s="328">
        <f t="shared" si="36"/>
        <v>0</v>
      </c>
      <c r="I90" s="328">
        <f>H90*0</f>
        <v>0</v>
      </c>
      <c r="J90" s="328">
        <f>H90*1</f>
        <v>0</v>
      </c>
      <c r="K90" s="255"/>
      <c r="L90" s="255"/>
      <c r="M90" s="255"/>
      <c r="N90" s="255"/>
      <c r="O90" s="255"/>
      <c r="P90" s="255"/>
      <c r="Q90" s="255"/>
      <c r="R90" s="255"/>
      <c r="S90" s="255"/>
      <c r="T90" s="255"/>
      <c r="U90" s="255"/>
      <c r="V90" s="255"/>
      <c r="W90" s="255"/>
      <c r="X90" s="255"/>
      <c r="Y90" s="255"/>
    </row>
    <row r="91" spans="1:25" ht="13.5">
      <c r="A91" s="333" t="s">
        <v>156</v>
      </c>
      <c r="B91" s="353">
        <f aca="true" t="shared" si="38" ref="B91:D94">N39</f>
        <v>0</v>
      </c>
      <c r="C91" s="353">
        <f t="shared" si="38"/>
        <v>0</v>
      </c>
      <c r="D91" s="353">
        <f t="shared" si="38"/>
        <v>0</v>
      </c>
      <c r="E91" s="328">
        <f t="shared" si="33"/>
        <v>0</v>
      </c>
      <c r="F91" s="328">
        <f t="shared" si="34"/>
        <v>0</v>
      </c>
      <c r="G91" s="328">
        <f t="shared" si="35"/>
        <v>0</v>
      </c>
      <c r="H91" s="328">
        <f>E91+F91+G91</f>
        <v>0</v>
      </c>
      <c r="I91" s="328">
        <f>H91*0</f>
        <v>0</v>
      </c>
      <c r="J91" s="328">
        <f>H91*1</f>
        <v>0</v>
      </c>
      <c r="K91" s="255"/>
      <c r="L91" s="255"/>
      <c r="M91" s="255"/>
      <c r="N91" s="255"/>
      <c r="O91" s="255"/>
      <c r="P91" s="255"/>
      <c r="Q91" s="255"/>
      <c r="R91" s="255"/>
      <c r="S91" s="255"/>
      <c r="T91" s="255"/>
      <c r="U91" s="255"/>
      <c r="V91" s="255"/>
      <c r="W91" s="255"/>
      <c r="X91" s="255"/>
      <c r="Y91" s="255"/>
    </row>
    <row r="92" spans="1:25" ht="13.5">
      <c r="A92" s="333" t="s">
        <v>20</v>
      </c>
      <c r="B92" s="353">
        <f t="shared" si="38"/>
        <v>0</v>
      </c>
      <c r="C92" s="353">
        <f t="shared" si="38"/>
        <v>0</v>
      </c>
      <c r="D92" s="353">
        <f t="shared" si="38"/>
        <v>0</v>
      </c>
      <c r="E92" s="328">
        <f t="shared" si="33"/>
        <v>0</v>
      </c>
      <c r="F92" s="328">
        <f t="shared" si="34"/>
        <v>0</v>
      </c>
      <c r="G92" s="328">
        <f t="shared" si="35"/>
        <v>0</v>
      </c>
      <c r="H92" s="328">
        <f>E92+F92+G92</f>
        <v>0</v>
      </c>
      <c r="I92" s="328">
        <f>H92*0</f>
        <v>0</v>
      </c>
      <c r="J92" s="328">
        <f>H92*1</f>
        <v>0</v>
      </c>
      <c r="K92" s="255"/>
      <c r="L92" s="255"/>
      <c r="M92" s="255"/>
      <c r="N92" s="255"/>
      <c r="O92" s="255"/>
      <c r="P92" s="255"/>
      <c r="Q92" s="255"/>
      <c r="R92" s="255"/>
      <c r="S92" s="255"/>
      <c r="T92" s="255"/>
      <c r="U92" s="255"/>
      <c r="V92" s="255"/>
      <c r="W92" s="255"/>
      <c r="X92" s="255"/>
      <c r="Y92" s="255"/>
    </row>
    <row r="93" spans="1:25" ht="13.5">
      <c r="A93" s="333" t="s">
        <v>11</v>
      </c>
      <c r="B93" s="353">
        <f t="shared" si="38"/>
        <v>0</v>
      </c>
      <c r="C93" s="353">
        <f t="shared" si="38"/>
        <v>0</v>
      </c>
      <c r="D93" s="353">
        <f t="shared" si="38"/>
        <v>0</v>
      </c>
      <c r="E93" s="328">
        <f t="shared" si="33"/>
        <v>0</v>
      </c>
      <c r="F93" s="328">
        <f t="shared" si="34"/>
        <v>0</v>
      </c>
      <c r="G93" s="328">
        <f t="shared" si="35"/>
        <v>0</v>
      </c>
      <c r="H93" s="328">
        <f>E93+F93+G93</f>
        <v>0</v>
      </c>
      <c r="I93" s="328">
        <f>H93*0</f>
        <v>0</v>
      </c>
      <c r="J93" s="328">
        <f>H93*1</f>
        <v>0</v>
      </c>
      <c r="K93" s="255"/>
      <c r="L93" s="255"/>
      <c r="M93" s="255"/>
      <c r="N93" s="255"/>
      <c r="O93" s="255"/>
      <c r="P93" s="255"/>
      <c r="Q93" s="255"/>
      <c r="R93" s="255"/>
      <c r="S93" s="255"/>
      <c r="T93" s="255"/>
      <c r="U93" s="255"/>
      <c r="V93" s="255"/>
      <c r="W93" s="255"/>
      <c r="X93" s="255"/>
      <c r="Y93" s="255"/>
    </row>
    <row r="94" spans="1:25" ht="13.5">
      <c r="A94" s="333" t="s">
        <v>10</v>
      </c>
      <c r="B94" s="353">
        <f t="shared" si="38"/>
        <v>0</v>
      </c>
      <c r="C94" s="353">
        <f t="shared" si="38"/>
        <v>0</v>
      </c>
      <c r="D94" s="353">
        <f t="shared" si="38"/>
        <v>0</v>
      </c>
      <c r="E94" s="328">
        <f t="shared" si="33"/>
        <v>0</v>
      </c>
      <c r="F94" s="328">
        <f t="shared" si="34"/>
        <v>0</v>
      </c>
      <c r="G94" s="328">
        <f t="shared" si="35"/>
        <v>0</v>
      </c>
      <c r="H94" s="328">
        <f>E94+F94+G94</f>
        <v>0</v>
      </c>
      <c r="I94" s="328">
        <f>H94*0</f>
        <v>0</v>
      </c>
      <c r="J94" s="328">
        <f>H94*1</f>
        <v>0</v>
      </c>
      <c r="K94" s="255"/>
      <c r="L94" s="255"/>
      <c r="M94" s="255"/>
      <c r="N94" s="255"/>
      <c r="O94" s="255"/>
      <c r="P94" s="255"/>
      <c r="Q94" s="255"/>
      <c r="R94" s="255"/>
      <c r="S94" s="255"/>
      <c r="T94" s="255"/>
      <c r="U94" s="255"/>
      <c r="V94" s="255"/>
      <c r="W94" s="255"/>
      <c r="X94" s="255"/>
      <c r="Y94" s="255"/>
    </row>
    <row r="95" spans="1:25" ht="13.5">
      <c r="A95" s="327" t="s">
        <v>54</v>
      </c>
      <c r="B95" s="359">
        <f aca="true" t="shared" si="39" ref="B95:J95">SUM(B82:B94)</f>
        <v>0</v>
      </c>
      <c r="C95" s="359">
        <f t="shared" si="39"/>
        <v>0</v>
      </c>
      <c r="D95" s="359">
        <f t="shared" si="39"/>
        <v>0</v>
      </c>
      <c r="E95" s="360">
        <f t="shared" si="39"/>
        <v>0</v>
      </c>
      <c r="F95" s="360">
        <f t="shared" si="39"/>
        <v>0</v>
      </c>
      <c r="G95" s="360">
        <f t="shared" si="39"/>
        <v>0</v>
      </c>
      <c r="H95" s="360">
        <f t="shared" si="39"/>
        <v>0</v>
      </c>
      <c r="I95" s="368">
        <f t="shared" si="39"/>
        <v>0</v>
      </c>
      <c r="J95" s="360">
        <f t="shared" si="39"/>
        <v>0</v>
      </c>
      <c r="K95" s="255"/>
      <c r="L95" s="255"/>
      <c r="M95" s="255"/>
      <c r="N95" s="255"/>
      <c r="O95" s="255"/>
      <c r="P95" s="255"/>
      <c r="Q95" s="255"/>
      <c r="R95" s="255"/>
      <c r="S95" s="255"/>
      <c r="T95" s="255"/>
      <c r="U95" s="255"/>
      <c r="V95" s="255"/>
      <c r="W95" s="255"/>
      <c r="X95" s="255"/>
      <c r="Y95" s="255"/>
    </row>
  </sheetData>
  <sheetProtection/>
  <mergeCells count="25">
    <mergeCell ref="A3:B3"/>
    <mergeCell ref="A24:H24"/>
    <mergeCell ref="A27:D27"/>
    <mergeCell ref="A28:A29"/>
    <mergeCell ref="B28:E28"/>
    <mergeCell ref="F28:I28"/>
    <mergeCell ref="J28:M28"/>
    <mergeCell ref="N28:Q28"/>
    <mergeCell ref="A44:C44"/>
    <mergeCell ref="A45:A46"/>
    <mergeCell ref="B45:E45"/>
    <mergeCell ref="F45:I45"/>
    <mergeCell ref="J45:M45"/>
    <mergeCell ref="A61:B61"/>
    <mergeCell ref="A62:A63"/>
    <mergeCell ref="B62:E62"/>
    <mergeCell ref="F62:I62"/>
    <mergeCell ref="J62:M62"/>
    <mergeCell ref="N62:Q62"/>
    <mergeCell ref="R62:U62"/>
    <mergeCell ref="V62:Y62"/>
    <mergeCell ref="A79:B79"/>
    <mergeCell ref="A80:A81"/>
    <mergeCell ref="B80:D80"/>
    <mergeCell ref="E80:H80"/>
  </mergeCells>
  <printOptions/>
  <pageMargins left="1.3541666666666667" right="0.364582239720035" top="0.44" bottom="0.34" header="0.3" footer="0.3"/>
  <pageSetup fitToHeight="1" fitToWidth="1" horizontalDpi="600" verticalDpi="600" orientation="landscape" paperSize="17" scale="46" r:id="rId1"/>
</worksheet>
</file>

<file path=xl/worksheets/sheet13.xml><?xml version="1.0" encoding="utf-8"?>
<worksheet xmlns="http://schemas.openxmlformats.org/spreadsheetml/2006/main" xmlns:r="http://schemas.openxmlformats.org/officeDocument/2006/relationships">
  <sheetPr>
    <pageSetUpPr fitToPage="1"/>
  </sheetPr>
  <dimension ref="A1:M65"/>
  <sheetViews>
    <sheetView zoomScale="90" zoomScaleNormal="90" zoomScalePageLayoutView="0" workbookViewId="0" topLeftCell="A1">
      <selection activeCell="A1" sqref="A1"/>
    </sheetView>
  </sheetViews>
  <sheetFormatPr defaultColWidth="9.140625" defaultRowHeight="12.75"/>
  <cols>
    <col min="1" max="1" width="40.7109375" style="0" customWidth="1"/>
    <col min="2" max="15" width="16.7109375" style="0" customWidth="1"/>
  </cols>
  <sheetData>
    <row r="1" spans="1:13" ht="18">
      <c r="A1" s="370" t="s">
        <v>356</v>
      </c>
      <c r="B1" s="255"/>
      <c r="C1" s="255"/>
      <c r="D1" s="255"/>
      <c r="E1" s="255"/>
      <c r="F1" s="255"/>
      <c r="G1" s="321" t="s">
        <v>24</v>
      </c>
      <c r="H1" s="255"/>
      <c r="I1" s="255"/>
      <c r="J1" s="255"/>
      <c r="K1" s="255"/>
      <c r="L1" s="255"/>
      <c r="M1" s="255"/>
    </row>
    <row r="2" spans="1:13" ht="14.25" thickBot="1">
      <c r="A2" s="400"/>
      <c r="B2" s="255"/>
      <c r="C2" s="255"/>
      <c r="D2" s="255"/>
      <c r="E2" s="255"/>
      <c r="F2" s="255"/>
      <c r="G2" s="255"/>
      <c r="H2" s="255"/>
      <c r="I2" s="255"/>
      <c r="J2" s="255"/>
      <c r="K2" s="255"/>
      <c r="L2" s="255"/>
      <c r="M2" s="255"/>
    </row>
    <row r="3" spans="1:13" ht="18" thickBot="1">
      <c r="A3" s="574" t="s">
        <v>0</v>
      </c>
      <c r="B3" s="255"/>
      <c r="C3" s="255"/>
      <c r="D3" s="307" t="s">
        <v>24</v>
      </c>
      <c r="E3" s="255"/>
      <c r="F3" s="255"/>
      <c r="G3" s="255"/>
      <c r="H3" s="255"/>
      <c r="I3" s="255" t="s">
        <v>24</v>
      </c>
      <c r="J3" s="255" t="s">
        <v>24</v>
      </c>
      <c r="K3" s="255"/>
      <c r="L3" s="255"/>
      <c r="M3" s="255"/>
    </row>
    <row r="4" spans="1:13" ht="13.5">
      <c r="A4" s="401" t="s">
        <v>1</v>
      </c>
      <c r="B4" s="402">
        <v>0.165</v>
      </c>
      <c r="C4" s="255"/>
      <c r="D4" s="403" t="s">
        <v>24</v>
      </c>
      <c r="E4" s="385" t="s">
        <v>24</v>
      </c>
      <c r="F4" s="385" t="s">
        <v>24</v>
      </c>
      <c r="G4" s="385" t="s">
        <v>24</v>
      </c>
      <c r="H4" s="385" t="s">
        <v>24</v>
      </c>
      <c r="I4" s="385" t="s">
        <v>24</v>
      </c>
      <c r="J4" s="385" t="s">
        <v>24</v>
      </c>
      <c r="K4" s="255"/>
      <c r="L4" s="385" t="s">
        <v>24</v>
      </c>
      <c r="M4" s="255"/>
    </row>
    <row r="5" spans="1:13" ht="13.5">
      <c r="A5" s="404" t="s">
        <v>2</v>
      </c>
      <c r="B5" s="405">
        <v>0.0593</v>
      </c>
      <c r="C5" s="255"/>
      <c r="D5" s="331" t="s">
        <v>24</v>
      </c>
      <c r="E5" s="406" t="s">
        <v>24</v>
      </c>
      <c r="F5" s="407" t="s">
        <v>24</v>
      </c>
      <c r="G5" s="407" t="s">
        <v>24</v>
      </c>
      <c r="H5" s="407" t="s">
        <v>24</v>
      </c>
      <c r="I5" s="407" t="s">
        <v>24</v>
      </c>
      <c r="J5" s="385" t="s">
        <v>24</v>
      </c>
      <c r="K5" s="601" t="s">
        <v>24</v>
      </c>
      <c r="L5" s="406" t="s">
        <v>24</v>
      </c>
      <c r="M5" s="255"/>
    </row>
    <row r="6" spans="1:13" ht="13.5">
      <c r="A6" s="408" t="s">
        <v>4</v>
      </c>
      <c r="B6" s="409">
        <v>1.0959</v>
      </c>
      <c r="C6" s="255"/>
      <c r="D6" s="351" t="s">
        <v>24</v>
      </c>
      <c r="E6" s="410" t="s">
        <v>24</v>
      </c>
      <c r="F6" s="411" t="s">
        <v>24</v>
      </c>
      <c r="G6" s="412" t="s">
        <v>24</v>
      </c>
      <c r="H6" s="413" t="s">
        <v>24</v>
      </c>
      <c r="I6" s="413" t="s">
        <v>24</v>
      </c>
      <c r="J6" s="413" t="s">
        <v>24</v>
      </c>
      <c r="K6" s="414" t="s">
        <v>24</v>
      </c>
      <c r="L6" s="415" t="s">
        <v>24</v>
      </c>
      <c r="M6" s="255"/>
    </row>
    <row r="7" spans="1:13" ht="13.5">
      <c r="A7" s="408" t="s">
        <v>363</v>
      </c>
      <c r="B7" s="416">
        <f>154899.7+1611.2+232.9</f>
        <v>156743.80000000002</v>
      </c>
      <c r="C7" s="255"/>
      <c r="D7" s="318" t="s">
        <v>24</v>
      </c>
      <c r="E7" s="406" t="s">
        <v>24</v>
      </c>
      <c r="F7" s="417" t="s">
        <v>24</v>
      </c>
      <c r="G7" s="411" t="s">
        <v>24</v>
      </c>
      <c r="H7" s="411" t="s">
        <v>24</v>
      </c>
      <c r="I7" s="411" t="s">
        <v>24</v>
      </c>
      <c r="J7" s="412" t="s">
        <v>24</v>
      </c>
      <c r="K7" s="413"/>
      <c r="L7" s="406" t="s">
        <v>24</v>
      </c>
      <c r="M7" s="255"/>
    </row>
    <row r="8" spans="1:13" ht="13.5">
      <c r="A8" s="408" t="s">
        <v>37</v>
      </c>
      <c r="B8" s="418" t="s">
        <v>362</v>
      </c>
      <c r="C8" s="255"/>
      <c r="D8" s="318" t="s">
        <v>24</v>
      </c>
      <c r="E8" s="406" t="s">
        <v>24</v>
      </c>
      <c r="F8" s="411" t="s">
        <v>24</v>
      </c>
      <c r="G8" s="412" t="s">
        <v>24</v>
      </c>
      <c r="H8" s="412" t="s">
        <v>24</v>
      </c>
      <c r="I8" s="412" t="s">
        <v>24</v>
      </c>
      <c r="J8" s="413" t="s">
        <v>24</v>
      </c>
      <c r="K8" s="413"/>
      <c r="L8" s="406" t="s">
        <v>33</v>
      </c>
      <c r="M8" s="255"/>
    </row>
    <row r="9" spans="1:13" ht="13.5">
      <c r="A9" s="408" t="s">
        <v>38</v>
      </c>
      <c r="B9" s="419">
        <f>0.6*'BRA Load Pricing Results'!B9</f>
        <v>2475.1065000000003</v>
      </c>
      <c r="C9" s="255" t="s">
        <v>24</v>
      </c>
      <c r="D9" s="335" t="s">
        <v>24</v>
      </c>
      <c r="E9" s="415" t="s">
        <v>24</v>
      </c>
      <c r="F9" s="411" t="s">
        <v>24</v>
      </c>
      <c r="G9" s="412" t="s">
        <v>24</v>
      </c>
      <c r="H9" s="412" t="s">
        <v>24</v>
      </c>
      <c r="I9" s="412" t="s">
        <v>24</v>
      </c>
      <c r="J9" s="413" t="s">
        <v>24</v>
      </c>
      <c r="K9" s="413"/>
      <c r="L9" s="415" t="s">
        <v>24</v>
      </c>
      <c r="M9" s="255"/>
    </row>
    <row r="10" spans="1:13" ht="14.25" thickBot="1">
      <c r="A10" s="420" t="s">
        <v>23</v>
      </c>
      <c r="B10" s="421">
        <f>(B15-B9)/(G62*B6)</f>
        <v>1.0371940882694117</v>
      </c>
      <c r="C10" s="422" t="s">
        <v>24</v>
      </c>
      <c r="D10" s="423" t="s">
        <v>24</v>
      </c>
      <c r="E10" s="406" t="s">
        <v>24</v>
      </c>
      <c r="F10" s="417" t="s">
        <v>24</v>
      </c>
      <c r="G10" s="412" t="s">
        <v>24</v>
      </c>
      <c r="H10" s="412" t="s">
        <v>24</v>
      </c>
      <c r="I10" s="412" t="s">
        <v>24</v>
      </c>
      <c r="J10" s="412" t="s">
        <v>24</v>
      </c>
      <c r="K10" s="413" t="s">
        <v>24</v>
      </c>
      <c r="L10" s="406" t="s">
        <v>24</v>
      </c>
      <c r="M10" s="255"/>
    </row>
    <row r="11" spans="1:13" ht="13.5">
      <c r="A11" s="255" t="s">
        <v>364</v>
      </c>
      <c r="B11" s="424"/>
      <c r="C11" s="255"/>
      <c r="D11" s="336" t="s">
        <v>24</v>
      </c>
      <c r="E11" s="424" t="s">
        <v>24</v>
      </c>
      <c r="F11" s="256" t="s">
        <v>24</v>
      </c>
      <c r="G11" s="424" t="s">
        <v>24</v>
      </c>
      <c r="H11" s="390" t="s">
        <v>24</v>
      </c>
      <c r="I11" s="255"/>
      <c r="J11" s="255"/>
      <c r="K11" s="255"/>
      <c r="L11" s="255" t="s">
        <v>24</v>
      </c>
      <c r="M11" s="255"/>
    </row>
    <row r="12" spans="1:13" ht="13.5">
      <c r="A12" s="336"/>
      <c r="B12" s="425"/>
      <c r="C12" s="425" t="s">
        <v>24</v>
      </c>
      <c r="D12" s="337" t="s">
        <v>24</v>
      </c>
      <c r="E12" s="341"/>
      <c r="F12" s="342"/>
      <c r="G12" s="426" t="s">
        <v>24</v>
      </c>
      <c r="H12" s="342"/>
      <c r="I12" s="340"/>
      <c r="J12" s="340"/>
      <c r="K12" s="340"/>
      <c r="L12" s="383"/>
      <c r="M12" s="255"/>
    </row>
    <row r="13" spans="1:13" ht="15">
      <c r="A13" s="427" t="s">
        <v>259</v>
      </c>
      <c r="B13" s="337"/>
      <c r="C13" s="608"/>
      <c r="D13" s="337"/>
      <c r="E13" s="428" t="s">
        <v>24</v>
      </c>
      <c r="F13" s="345"/>
      <c r="G13" s="345"/>
      <c r="H13" s="345"/>
      <c r="I13" s="340"/>
      <c r="J13" s="340"/>
      <c r="K13" s="340"/>
      <c r="L13" s="383"/>
      <c r="M13" s="255"/>
    </row>
    <row r="14" spans="1:13" ht="82.5">
      <c r="A14" s="577" t="s">
        <v>3</v>
      </c>
      <c r="B14" s="577" t="s">
        <v>260</v>
      </c>
      <c r="C14" s="577" t="s">
        <v>261</v>
      </c>
      <c r="D14" s="577" t="s">
        <v>262</v>
      </c>
      <c r="E14" s="485" t="s">
        <v>209</v>
      </c>
      <c r="F14" s="485" t="s">
        <v>214</v>
      </c>
      <c r="G14" s="485" t="s">
        <v>210</v>
      </c>
      <c r="H14" s="485" t="s">
        <v>215</v>
      </c>
      <c r="I14" s="399" t="s">
        <v>332</v>
      </c>
      <c r="J14" s="485" t="s">
        <v>213</v>
      </c>
      <c r="K14" s="577" t="s">
        <v>263</v>
      </c>
      <c r="L14" s="429"/>
      <c r="M14" s="255"/>
    </row>
    <row r="15" spans="1:13" ht="13.5">
      <c r="A15" s="327" t="s">
        <v>6</v>
      </c>
      <c r="B15" s="430">
        <f>'BRA Resource Clearing Results'!E68-'1stIA Resource Clearing Results'!M30-'2ndIA Resource Clearing Results'!M30+B9</f>
        <v>163136.10649999997</v>
      </c>
      <c r="C15" s="431">
        <f>('BRA Resource Clearing Results'!E68*'BRA Resource Clearing Results'!B5-'1stIA Resource Clearing Results'!M30*'1stIA Resource Clearing Results'!B5-'2ndIA Resource Clearing Results'!M30*'2ndIA Resource Clearing Results'!B5)/('BRA Resource Clearing Results'!E68-'1stIA Resource Clearing Results'!M30-'2ndIA Resource Clearing Results'!M30)</f>
        <v>122.4102470419081</v>
      </c>
      <c r="D15" s="431">
        <f>('BRA Resource Clearing Results'!E68*'BRA Resource Clearing Results'!C5-'1stIA Resource Clearing Results'!M30*'1stIA Resource Clearing Results'!C5-'2ndIA Resource Clearing Results'!M30*'2ndIA Resource Clearing Results'!C5)/('BRA Resource Clearing Results'!E68-'1stIA Resource Clearing Results'!M30-'2ndIA Resource Clearing Results'!M30)</f>
        <v>0</v>
      </c>
      <c r="E15" s="334">
        <f>('BRA Resource Clearing Results'!C28+'BRA Resource Clearing Results'!D28)*'BRA Resource Clearing Results'!E5-('1stIA Resource Clearing Results'!K30+'1stIA Resource Clearing Results'!L30)*'1stIA Resource Clearing Results'!E5-('2ndIA Resource Clearing Results'!K30+'2ndIA Resource Clearing Results'!L30)*'2ndIA Resource Clearing Results'!E5</f>
        <v>0</v>
      </c>
      <c r="F15" s="431">
        <f>E15/B15</f>
        <v>0</v>
      </c>
      <c r="G15" s="432">
        <f>'BRA Resource Clearing Results'!D28*'BRA Resource Clearing Results'!G5-'1stIA Resource Clearing Results'!L30*'1stIA Resource Clearing Results'!G5-'2ndIA Resource Clearing Results'!L30*'2ndIA Resource Clearing Results'!G5</f>
        <v>-32462.958</v>
      </c>
      <c r="H15" s="433">
        <f>G15/B15</f>
        <v>-0.1989930904719735</v>
      </c>
      <c r="I15" s="334">
        <f>'BRA Resource Clearing Results'!J72+'1stIA Resource Clearing Results'!J82+'2ndIA Resource Clearing Results'!J82</f>
        <v>0</v>
      </c>
      <c r="J15" s="431">
        <f>I15/B15</f>
        <v>0</v>
      </c>
      <c r="K15" s="434">
        <f aca="true" t="shared" si="0" ref="K15:K22">C15+D15+F15+H15+J15</f>
        <v>122.21125395143612</v>
      </c>
      <c r="L15" s="435"/>
      <c r="M15" s="255"/>
    </row>
    <row r="16" spans="1:13" ht="13.5">
      <c r="A16" s="327" t="s">
        <v>29</v>
      </c>
      <c r="B16" s="430">
        <f>K42+K46+K52+(SUM(K54:K61))</f>
        <v>65241.72648085382</v>
      </c>
      <c r="C16" s="431">
        <f aca="true" t="shared" si="1" ref="C16:C22">$C$15</f>
        <v>122.4102470419081</v>
      </c>
      <c r="D16" s="431">
        <f>D15+('BRA Resource Clearing Results'!E29*'BRA Resource Clearing Results'!C6-'1stIA Resource Clearing Results'!M31*'1stIA Resource Clearing Results'!C6-'2ndIA Resource Clearing Results'!M31*'2ndIA Resource Clearing Results'!C6)/('BRA Resource Clearing Results'!E29-'1stIA Resource Clearing Results'!M31-'2ndIA Resource Clearing Results'!M31)</f>
        <v>0</v>
      </c>
      <c r="E16" s="334">
        <f>('BRA Resource Clearing Results'!C29+'BRA Resource Clearing Results'!D29)*('BRA Resource Clearing Results'!E6-'BRA Resource Clearing Results'!E5)-('1stIA Resource Clearing Results'!K31+'1stIA Resource Clearing Results'!L31)*('1stIA Resource Clearing Results'!E6-'1stIA Resource Clearing Results'!E5)-('2ndIA Resource Clearing Results'!K31+'2ndIA Resource Clearing Results'!L31)*('2ndIA Resource Clearing Results'!E6-'2ndIA Resource Clearing Results'!E5)</f>
        <v>0</v>
      </c>
      <c r="F16" s="431">
        <f>F15+(E16/B16)</f>
        <v>0</v>
      </c>
      <c r="G16" s="334">
        <f>'BRA Resource Clearing Results'!D29*('BRA Resource Clearing Results'!G6-'BRA Resource Clearing Results'!G5)-'1stIA Resource Clearing Results'!L31*('1stIA Resource Clearing Results'!G6-'1stIA Resource Clearing Results'!G5)-'2ndIA Resource Clearing Results'!L31*('2ndIA Resource Clearing Results'!G6-'2ndIA Resource Clearing Results'!G5)</f>
        <v>0</v>
      </c>
      <c r="H16" s="433">
        <f>H15+(G16/B16)</f>
        <v>-0.1989930904719735</v>
      </c>
      <c r="I16" s="334">
        <f>'BRA Resource Clearing Results'!J73+'1stIA Resource Clearing Results'!J83+'2ndIA Resource Clearing Results'!J83</f>
        <v>7800</v>
      </c>
      <c r="J16" s="431">
        <f>J15+I16/B16</f>
        <v>0.11955538917703273</v>
      </c>
      <c r="K16" s="434">
        <f t="shared" si="0"/>
        <v>122.33080934061316</v>
      </c>
      <c r="L16" s="435"/>
      <c r="M16" s="255"/>
    </row>
    <row r="17" spans="1:13" ht="13.5">
      <c r="A17" s="327" t="s">
        <v>39</v>
      </c>
      <c r="B17" s="430">
        <f>K42+K52+K54+K56+K60+K61</f>
        <v>35415.33554930327</v>
      </c>
      <c r="C17" s="431">
        <f t="shared" si="1"/>
        <v>122.4102470419081</v>
      </c>
      <c r="D17" s="431">
        <f>D16+('BRA Resource Clearing Results'!E30*'BRA Resource Clearing Results'!C7-'1stIA Resource Clearing Results'!M32*'1stIA Resource Clearing Results'!C7-'2ndIA Resource Clearing Results'!M32*'2ndIA Resource Clearing Results'!C7)/('BRA Resource Clearing Results'!E30-'1stIA Resource Clearing Results'!M32-'2ndIA Resource Clearing Results'!M32)</f>
        <v>0</v>
      </c>
      <c r="E17" s="334">
        <f>('BRA Resource Clearing Results'!C30+'BRA Resource Clearing Results'!D30)*('BRA Resource Clearing Results'!E7-'BRA Resource Clearing Results'!E6)-('1stIA Resource Clearing Results'!K32+'1stIA Resource Clearing Results'!L32)*('1stIA Resource Clearing Results'!E7-'1stIA Resource Clearing Results'!E6)-('2ndIA Resource Clearing Results'!K32+'2ndIA Resource Clearing Results'!L32)*('2ndIA Resource Clearing Results'!E7-'2ndIA Resource Clearing Results'!E6)</f>
        <v>0</v>
      </c>
      <c r="F17" s="431">
        <f>F16+(E17/B17)</f>
        <v>0</v>
      </c>
      <c r="G17" s="334">
        <f>'BRA Resource Clearing Results'!D30*('BRA Resource Clearing Results'!G7-'BRA Resource Clearing Results'!G6)-'1stIA Resource Clearing Results'!L32*('1stIA Resource Clearing Results'!G7-'1stIA Resource Clearing Results'!G6)-'2ndIA Resource Clearing Results'!L32*('2ndIA Resource Clearing Results'!G7-'2ndIA Resource Clearing Results'!G6)</f>
        <v>0</v>
      </c>
      <c r="H17" s="433">
        <f>H16+(G17/B17)</f>
        <v>-0.1989930904719735</v>
      </c>
      <c r="I17" s="334">
        <f>'BRA Resource Clearing Results'!J74+'1stIA Resource Clearing Results'!J84+'2ndIA Resource Clearing Results'!J84</f>
        <v>0</v>
      </c>
      <c r="J17" s="431">
        <f>J16+I17/B17</f>
        <v>0.11955538917703273</v>
      </c>
      <c r="K17" s="434">
        <f t="shared" si="0"/>
        <v>122.33080934061316</v>
      </c>
      <c r="L17" s="435"/>
      <c r="M17" s="255"/>
    </row>
    <row r="18" spans="1:13" ht="13.5">
      <c r="A18" s="327" t="s">
        <v>5</v>
      </c>
      <c r="B18" s="430">
        <f>K46+K58</f>
        <v>15061.214431213622</v>
      </c>
      <c r="C18" s="431">
        <f t="shared" si="1"/>
        <v>122.4102470419081</v>
      </c>
      <c r="D18" s="431">
        <f>D16+('BRA Resource Clearing Results'!E31*'BRA Resource Clearing Results'!C8-'1stIA Resource Clearing Results'!M33*'1stIA Resource Clearing Results'!C8-'2ndIA Resource Clearing Results'!M33*'2ndIA Resource Clearing Results'!C8)/('BRA Resource Clearing Results'!E31-'1stIA Resource Clearing Results'!M33-'2ndIA Resource Clearing Results'!M33)</f>
        <v>0</v>
      </c>
      <c r="E18" s="334">
        <f>('BRA Resource Clearing Results'!C31+'BRA Resource Clearing Results'!D31)*('BRA Resource Clearing Results'!E8-'BRA Resource Clearing Results'!E6)-('1stIA Resource Clearing Results'!K33+'1stIA Resource Clearing Results'!L33)*('1stIA Resource Clearing Results'!E8-'1stIA Resource Clearing Results'!E6)-('2ndIA Resource Clearing Results'!K33+'2ndIA Resource Clearing Results'!L33)*('2ndIA Resource Clearing Results'!E8-'2ndIA Resource Clearing Results'!E6)</f>
        <v>0</v>
      </c>
      <c r="F18" s="431">
        <f>F16+(E18/B18)</f>
        <v>0</v>
      </c>
      <c r="G18" s="334">
        <f>'BRA Resource Clearing Results'!D31*('BRA Resource Clearing Results'!G8-'BRA Resource Clearing Results'!G6)-'1stIA Resource Clearing Results'!L33*('1stIA Resource Clearing Results'!G8-'1stIA Resource Clearing Results'!G6)-'2ndIA Resource Clearing Results'!L33*('2ndIA Resource Clearing Results'!G8-'2ndIA Resource Clearing Results'!G6)</f>
        <v>0</v>
      </c>
      <c r="H18" s="433">
        <f>H16+(G18/B18)</f>
        <v>-0.1989930904719735</v>
      </c>
      <c r="I18" s="334">
        <f>'BRA Resource Clearing Results'!J75+'1stIA Resource Clearing Results'!J85+'2ndIA Resource Clearing Results'!J85</f>
        <v>0</v>
      </c>
      <c r="J18" s="431">
        <f>J16+I18/B18</f>
        <v>0.11955538917703273</v>
      </c>
      <c r="K18" s="434">
        <f t="shared" si="0"/>
        <v>122.33080934061316</v>
      </c>
      <c r="L18" s="435"/>
      <c r="M18" s="255"/>
    </row>
    <row r="19" spans="1:13" ht="13.5">
      <c r="A19" s="327" t="s">
        <v>15</v>
      </c>
      <c r="B19" s="430">
        <f>K58</f>
        <v>7308.654830404778</v>
      </c>
      <c r="C19" s="431">
        <f t="shared" si="1"/>
        <v>122.4102470419081</v>
      </c>
      <c r="D19" s="431">
        <f>D18+('BRA Resource Clearing Results'!E35*'BRA Resource Clearing Results'!C12-'1stIA Resource Clearing Results'!M37*'1stIA Resource Clearing Results'!C12-'2ndIA Resource Clearing Results'!M37*'2ndIA Resource Clearing Results'!C12)/('BRA Resource Clearing Results'!E35-'1stIA Resource Clearing Results'!M37-'2ndIA Resource Clearing Results'!M37)</f>
        <v>0</v>
      </c>
      <c r="E19" s="334">
        <f>('BRA Resource Clearing Results'!C35+'BRA Resource Clearing Results'!D35)*('BRA Resource Clearing Results'!E12-'BRA Resource Clearing Results'!E8)-('1stIA Resource Clearing Results'!K37+'1stIA Resource Clearing Results'!L37)*('1stIA Resource Clearing Results'!E12-'1stIA Resource Clearing Results'!E8)-('2ndIA Resource Clearing Results'!K37+'2ndIA Resource Clearing Results'!L37)*('2ndIA Resource Clearing Results'!E12-'2ndIA Resource Clearing Results'!E8)</f>
        <v>0</v>
      </c>
      <c r="F19" s="431">
        <f>F18+(E19/B19)</f>
        <v>0</v>
      </c>
      <c r="G19" s="334">
        <f>'BRA Resource Clearing Results'!D35*('BRA Resource Clearing Results'!G12-'BRA Resource Clearing Results'!G8)-'1stIA Resource Clearing Results'!L37*('1stIA Resource Clearing Results'!G12-'1stIA Resource Clearing Results'!G8)-'2ndIA Resource Clearing Results'!L37*('2ndIA Resource Clearing Results'!G12-'2ndIA Resource Clearing Results'!G8)</f>
        <v>0</v>
      </c>
      <c r="H19" s="433">
        <f>H18+(G19/B19)</f>
        <v>-0.1989930904719735</v>
      </c>
      <c r="I19" s="334">
        <f>'BRA Resource Clearing Results'!J79+'1stIA Resource Clearing Results'!J89+'2ndIA Resource Clearing Results'!J89</f>
        <v>0</v>
      </c>
      <c r="J19" s="431">
        <f>J18+I19/B19</f>
        <v>0.11955538917703273</v>
      </c>
      <c r="K19" s="434">
        <f t="shared" si="0"/>
        <v>122.33080934061316</v>
      </c>
      <c r="L19" s="435"/>
      <c r="M19" s="255"/>
    </row>
    <row r="20" spans="1:13" ht="13.5">
      <c r="A20" s="327" t="s">
        <v>20</v>
      </c>
      <c r="B20" s="430">
        <f>K47</f>
        <v>24365.3256484031</v>
      </c>
      <c r="C20" s="431">
        <f t="shared" si="1"/>
        <v>122.4102470419081</v>
      </c>
      <c r="D20" s="431">
        <f>D15+('BRA Resource Clearing Results'!E38*'BRA Resource Clearing Results'!C15-'1stIA Resource Clearing Results'!M40*'1stIA Resource Clearing Results'!C15-'2ndIA Resource Clearing Results'!M40*'2ndIA Resource Clearing Results'!C15)/('BRA Resource Clearing Results'!E38-'1stIA Resource Clearing Results'!M40-'2ndIA Resource Clearing Results'!M40)</f>
        <v>0</v>
      </c>
      <c r="E20" s="334">
        <f>('BRA Resource Clearing Results'!C38+'BRA Resource Clearing Results'!D38)*('BRA Resource Clearing Results'!E15-'BRA Resource Clearing Results'!E5)-('1stIA Resource Clearing Results'!K40+'1stIA Resource Clearing Results'!L40)*('1stIA Resource Clearing Results'!E15-'1stIA Resource Clearing Results'!E5)-('2ndIA Resource Clearing Results'!K40+'2ndIA Resource Clearing Results'!L40)*('2ndIA Resource Clearing Results'!E15-'2ndIA Resource Clearing Results'!E5)</f>
        <v>0</v>
      </c>
      <c r="F20" s="431">
        <f>F15+(E20/B20)</f>
        <v>0</v>
      </c>
      <c r="G20" s="334">
        <f>'BRA Resource Clearing Results'!D38*('BRA Resource Clearing Results'!G15-'BRA Resource Clearing Results'!G5)-'1stIA Resource Clearing Results'!L40*('1stIA Resource Clearing Results'!G15-'1stIA Resource Clearing Results'!G5)-'2ndIA Resource Clearing Results'!L40*('2ndIA Resource Clearing Results'!G15-'2ndIA Resource Clearing Results'!G5)</f>
        <v>0</v>
      </c>
      <c r="H20" s="433">
        <f>H15+(G20/B20)</f>
        <v>-0.1989930904719735</v>
      </c>
      <c r="I20" s="334">
        <f>'BRA Resource Clearing Results'!J82+'1stIA Resource Clearing Results'!J92+'2ndIA Resource Clearing Results'!J92</f>
        <v>0</v>
      </c>
      <c r="J20" s="431">
        <f>J15+I20/B20</f>
        <v>0</v>
      </c>
      <c r="K20" s="434">
        <f t="shared" si="0"/>
        <v>122.21125395143612</v>
      </c>
      <c r="L20" s="435"/>
      <c r="M20" s="255"/>
    </row>
    <row r="21" spans="1:13" ht="13.5">
      <c r="A21" s="327" t="s">
        <v>11</v>
      </c>
      <c r="B21" s="430">
        <f>K46</f>
        <v>7752.559600808843</v>
      </c>
      <c r="C21" s="431">
        <f t="shared" si="1"/>
        <v>122.4102470419081</v>
      </c>
      <c r="D21" s="431">
        <f>D18+('BRA Resource Clearing Results'!E39*'BRA Resource Clearing Results'!C16-'1stIA Resource Clearing Results'!M41*'1stIA Resource Clearing Results'!C16-'2ndIA Resource Clearing Results'!M41*'2ndIA Resource Clearing Results'!C16)/('BRA Resource Clearing Results'!E39-'1stIA Resource Clearing Results'!M41-'2ndIA Resource Clearing Results'!M41)</f>
        <v>0</v>
      </c>
      <c r="E21" s="334">
        <f>('BRA Resource Clearing Results'!C39+'BRA Resource Clearing Results'!D39)*('BRA Resource Clearing Results'!E16-'BRA Resource Clearing Results'!E8)-('1stIA Resource Clearing Results'!K41+'1stIA Resource Clearing Results'!L41)*('1stIA Resource Clearing Results'!E16-'1stIA Resource Clearing Results'!E8)-('2ndIA Resource Clearing Results'!K41+'2ndIA Resource Clearing Results'!L41)*('2ndIA Resource Clearing Results'!E16-'2ndIA Resource Clearing Results'!E8)</f>
        <v>0</v>
      </c>
      <c r="F21" s="431">
        <f>F18+(E21/B21)</f>
        <v>0</v>
      </c>
      <c r="G21" s="334">
        <f>'BRA Resource Clearing Results'!D39*('BRA Resource Clearing Results'!G16-'BRA Resource Clearing Results'!G8)-'1stIA Resource Clearing Results'!L41*('1stIA Resource Clearing Results'!G16-'1stIA Resource Clearing Results'!G8)-'2ndIA Resource Clearing Results'!L41*('2ndIA Resource Clearing Results'!G16-'2ndIA Resource Clearing Results'!G8)</f>
        <v>0</v>
      </c>
      <c r="H21" s="433">
        <f>H18+(G21/B21)</f>
        <v>-0.1989930904719735</v>
      </c>
      <c r="I21" s="334">
        <f>'BRA Resource Clearing Results'!J83+'1stIA Resource Clearing Results'!J93+'2ndIA Resource Clearing Results'!J93</f>
        <v>0</v>
      </c>
      <c r="J21" s="431">
        <f>J18+I21/B21</f>
        <v>0.11955538917703273</v>
      </c>
      <c r="K21" s="434">
        <f t="shared" si="0"/>
        <v>122.33080934061316</v>
      </c>
      <c r="L21" s="435"/>
      <c r="M21" s="255"/>
    </row>
    <row r="22" spans="1:13" ht="13.5">
      <c r="A22" s="327" t="s">
        <v>10</v>
      </c>
      <c r="B22" s="430">
        <f>K59</f>
        <v>8266.122841885903</v>
      </c>
      <c r="C22" s="431">
        <f t="shared" si="1"/>
        <v>122.4102470419081</v>
      </c>
      <c r="D22" s="431">
        <f>D16+('BRA Resource Clearing Results'!E40*'BRA Resource Clearing Results'!C17-'1stIA Resource Clearing Results'!M42*'1stIA Resource Clearing Results'!C17-'2ndIA Resource Clearing Results'!M42*'2ndIA Resource Clearing Results'!C17)/('BRA Resource Clearing Results'!E40-'1stIA Resource Clearing Results'!M42-'2ndIA Resource Clearing Results'!M42)</f>
        <v>0</v>
      </c>
      <c r="E22" s="432">
        <f>('BRA Resource Clearing Results'!C40+'BRA Resource Clearing Results'!D40)*('BRA Resource Clearing Results'!E17-'BRA Resource Clearing Results'!E6)-('1stIA Resource Clearing Results'!K42+'1stIA Resource Clearing Results'!L42)*('1stIA Resource Clearing Results'!E17-'1stIA Resource Clearing Results'!E6)-('2ndIA Resource Clearing Results'!K42+'2ndIA Resource Clearing Results'!L42)*('2ndIA Resource Clearing Results'!E17-'2ndIA Resource Clearing Results'!E6)</f>
        <v>-14854.5</v>
      </c>
      <c r="F22" s="433">
        <f>F16+(E22/B22)</f>
        <v>-1.7970335408917018</v>
      </c>
      <c r="G22" s="334">
        <f>'BRA Resource Clearing Results'!D40*('BRA Resource Clearing Results'!G17-'BRA Resource Clearing Results'!G6)-'1stIA Resource Clearing Results'!L42*('1stIA Resource Clearing Results'!G17-'1stIA Resource Clearing Results'!G6)-'2ndIA Resource Clearing Results'!L42*('2ndIA Resource Clearing Results'!G17-'2ndIA Resource Clearing Results'!G6)</f>
        <v>0</v>
      </c>
      <c r="H22" s="433">
        <f>H15+(G22/B22)</f>
        <v>-0.1989930904719735</v>
      </c>
      <c r="I22" s="334">
        <f>'BRA Resource Clearing Results'!J84+'1stIA Resource Clearing Results'!J94+'2ndIA Resource Clearing Results'!J94</f>
        <v>8</v>
      </c>
      <c r="J22" s="431">
        <f>J16+I22/B22</f>
        <v>0.1205231947798557</v>
      </c>
      <c r="K22" s="434">
        <f t="shared" si="0"/>
        <v>120.53474360532427</v>
      </c>
      <c r="L22" s="435"/>
      <c r="M22" s="255"/>
    </row>
    <row r="23" spans="1:13" ht="13.5">
      <c r="A23" s="336" t="s">
        <v>110</v>
      </c>
      <c r="B23" s="337"/>
      <c r="C23" s="361"/>
      <c r="D23" s="436" t="s">
        <v>24</v>
      </c>
      <c r="E23" s="388" t="s">
        <v>24</v>
      </c>
      <c r="F23" s="364"/>
      <c r="G23" s="356" t="s">
        <v>24</v>
      </c>
      <c r="H23" s="338"/>
      <c r="I23" s="338"/>
      <c r="J23" s="381"/>
      <c r="K23" s="338"/>
      <c r="L23" s="609"/>
      <c r="M23" s="255"/>
    </row>
    <row r="24" spans="1:13" ht="13.5">
      <c r="A24" s="288"/>
      <c r="B24" s="337"/>
      <c r="C24" s="361"/>
      <c r="D24" s="361"/>
      <c r="E24" s="361"/>
      <c r="F24" s="364"/>
      <c r="G24" s="255"/>
      <c r="H24" s="337"/>
      <c r="I24" s="337"/>
      <c r="J24" s="361"/>
      <c r="K24" s="337"/>
      <c r="L24" s="411"/>
      <c r="M24" s="255"/>
    </row>
    <row r="25" spans="1:13" ht="13.5">
      <c r="A25" s="288"/>
      <c r="B25" s="337"/>
      <c r="C25" s="361"/>
      <c r="D25" s="361"/>
      <c r="E25" s="361"/>
      <c r="F25" s="364"/>
      <c r="G25" s="255"/>
      <c r="H25" s="337"/>
      <c r="I25" s="337"/>
      <c r="J25" s="361"/>
      <c r="K25" s="337"/>
      <c r="L25" s="411"/>
      <c r="M25" s="255"/>
    </row>
    <row r="26" spans="1:13" ht="30.75">
      <c r="A26" s="437" t="s">
        <v>163</v>
      </c>
      <c r="B26" s="255"/>
      <c r="C26" s="255" t="s">
        <v>24</v>
      </c>
      <c r="D26" s="438" t="s">
        <v>24</v>
      </c>
      <c r="E26" s="439" t="s">
        <v>24</v>
      </c>
      <c r="F26" s="255"/>
      <c r="G26" s="255"/>
      <c r="H26" s="255"/>
      <c r="I26" s="255"/>
      <c r="J26" s="282" t="s">
        <v>24</v>
      </c>
      <c r="K26" s="440" t="s">
        <v>24</v>
      </c>
      <c r="L26" s="255"/>
      <c r="M26" s="255"/>
    </row>
    <row r="27" spans="1:13" ht="96">
      <c r="A27" s="441" t="s">
        <v>68</v>
      </c>
      <c r="B27" s="577" t="s">
        <v>264</v>
      </c>
      <c r="C27" s="577" t="s">
        <v>276</v>
      </c>
      <c r="D27" s="374" t="s">
        <v>265</v>
      </c>
      <c r="E27" s="399" t="s">
        <v>333</v>
      </c>
      <c r="F27" s="399" t="s">
        <v>334</v>
      </c>
      <c r="G27" s="399" t="s">
        <v>335</v>
      </c>
      <c r="H27" s="399" t="s">
        <v>336</v>
      </c>
      <c r="I27" s="399" t="s">
        <v>337</v>
      </c>
      <c r="J27" s="399" t="s">
        <v>338</v>
      </c>
      <c r="K27" s="374" t="s">
        <v>266</v>
      </c>
      <c r="L27" s="255"/>
      <c r="M27" s="255"/>
    </row>
    <row r="28" spans="1:13" ht="13.5">
      <c r="A28" s="327" t="s">
        <v>43</v>
      </c>
      <c r="B28" s="327"/>
      <c r="C28" s="430">
        <f>'BRA Resource Clearing Results'!E54-'1stIA Resource Clearing Results'!M68-'2ndIA Resource Clearing Results'!M68</f>
        <v>2186.5999999999995</v>
      </c>
      <c r="D28" s="328">
        <f>('BRA Resource Clearing Results'!E32*'BRA Resource Clearing Results'!C9-'1stIA Resource Clearing Results'!M34*'1stIA Resource Clearing Results'!C9-'2ndIA Resource Clearing Results'!M34*'2ndIA Resource Clearing Results'!C9)/('BRA Resource Clearing Results'!E32-'1stIA Resource Clearing Results'!M34-'2ndIA Resource Clearing Results'!M34)</f>
        <v>94.9912661577608</v>
      </c>
      <c r="E28" s="328">
        <f>('BRA Resource Clearing Results'!C54+'BRA Resource Clearing Results'!D54)*('BRA Resource Clearing Results'!E9-'BRA Resource Clearing Results'!E7)-('1stIA Resource Clearing Results'!K68+'1stIA Resource Clearing Results'!L68)*('1stIA Resource Clearing Results'!E9-'1stIA Resource Clearing Results'!E7)-('2ndIA Resource Clearing Results'!K68+'2ndIA Resource Clearing Results'!L68)*('2ndIA Resource Clearing Results'!E9-'2ndIA Resource Clearing Results'!E7)</f>
        <v>0</v>
      </c>
      <c r="F28" s="328"/>
      <c r="G28" s="328">
        <f>'BRA Resource Clearing Results'!D54*('BRA Resource Clearing Results'!G9-'BRA Resource Clearing Results'!G7)-'1stIA Resource Clearing Results'!L68*('1stIA Resource Clearing Results'!G9-'1stIA Resource Clearing Results'!G7)-'2ndIA Resource Clearing Results'!L68*('2ndIA Resource Clearing Results'!G9-'2ndIA Resource Clearing Results'!G7)</f>
        <v>0</v>
      </c>
      <c r="H28" s="328"/>
      <c r="I28" s="334">
        <f>'BRA Resource Clearing Results'!J76+'1stIA Resource Clearing Results'!J86+'2ndIA Resource Clearing Results'!J86</f>
        <v>0</v>
      </c>
      <c r="J28" s="327"/>
      <c r="K28" s="327"/>
      <c r="L28" s="255"/>
      <c r="M28" s="255"/>
    </row>
    <row r="29" spans="1:13" ht="13.5">
      <c r="A29" s="327" t="s">
        <v>40</v>
      </c>
      <c r="B29" s="327"/>
      <c r="C29" s="430">
        <f>'BRA Resource Clearing Results'!E55-'1stIA Resource Clearing Results'!M69-'2ndIA Resource Clearing Results'!M69</f>
        <v>3708.4</v>
      </c>
      <c r="D29" s="328">
        <f>D28+('BRA Resource Clearing Results'!E33*'BRA Resource Clearing Results'!C10-'1stIA Resource Clearing Results'!M35*'1stIA Resource Clearing Results'!C10-'2ndIA Resource Clearing Results'!M35*'2ndIA Resource Clearing Results'!C10)/('BRA Resource Clearing Results'!E33-'1stIA Resource Clearing Results'!M35-'2ndIA Resource Clearing Results'!M35)</f>
        <v>94.10838863645782</v>
      </c>
      <c r="E29" s="328">
        <f>('BRA Resource Clearing Results'!C55+'BRA Resource Clearing Results'!D55)*('BRA Resource Clearing Results'!E10-'BRA Resource Clearing Results'!E7)-('1stIA Resource Clearing Results'!K69+'1stIA Resource Clearing Results'!L69)*('1stIA Resource Clearing Results'!E10-'1stIA Resource Clearing Results'!E7)-('2ndIA Resource Clearing Results'!K69+'2ndIA Resource Clearing Results'!L69)*('2ndIA Resource Clearing Results'!E10-'2ndIA Resource Clearing Results'!E7)</f>
        <v>0</v>
      </c>
      <c r="F29" s="328"/>
      <c r="G29" s="328">
        <f>'BRA Resource Clearing Results'!D55*('BRA Resource Clearing Results'!G10-'BRA Resource Clearing Results'!G7)-'1stIA Resource Clearing Results'!L69*('1stIA Resource Clearing Results'!G10-'1stIA Resource Clearing Results'!G7)-'2ndIA Resource Clearing Results'!L69*('2ndIA Resource Clearing Results'!G10-'2ndIA Resource Clearing Results'!G7)</f>
        <v>0</v>
      </c>
      <c r="H29" s="328"/>
      <c r="I29" s="334">
        <f>'BRA Resource Clearing Results'!J77+'1stIA Resource Clearing Results'!J87+'2ndIA Resource Clearing Results'!J87</f>
        <v>0</v>
      </c>
      <c r="J29" s="327"/>
      <c r="K29" s="327"/>
      <c r="L29" s="255"/>
      <c r="M29" s="255"/>
    </row>
    <row r="30" spans="1:13" ht="13.5">
      <c r="A30" s="358" t="s">
        <v>8</v>
      </c>
      <c r="B30" s="442">
        <f>K17</f>
        <v>122.33080934061316</v>
      </c>
      <c r="C30" s="347">
        <f>C29+C28</f>
        <v>5895</v>
      </c>
      <c r="D30" s="443">
        <f>(C29*D29+C28*D28)/C30</f>
        <v>94.43586955046648</v>
      </c>
      <c r="E30" s="444">
        <f>E28+E29</f>
        <v>0</v>
      </c>
      <c r="F30" s="443">
        <f>E30/K60</f>
        <v>0</v>
      </c>
      <c r="G30" s="444">
        <f>G28+G29</f>
        <v>0</v>
      </c>
      <c r="H30" s="443">
        <f>G30/K60</f>
        <v>0</v>
      </c>
      <c r="I30" s="445">
        <f>I28+I29</f>
        <v>0</v>
      </c>
      <c r="J30" s="446">
        <f>I30/K60</f>
        <v>0</v>
      </c>
      <c r="K30" s="447">
        <f>B30+D30+F30+H30+J30</f>
        <v>216.76667889107964</v>
      </c>
      <c r="L30" s="356"/>
      <c r="M30" s="255"/>
    </row>
    <row r="31" spans="1:13" ht="13.5">
      <c r="A31" s="327" t="s">
        <v>42</v>
      </c>
      <c r="B31" s="327"/>
      <c r="C31" s="347">
        <v>3930.7</v>
      </c>
      <c r="D31" s="328">
        <v>0</v>
      </c>
      <c r="E31" s="328">
        <v>0</v>
      </c>
      <c r="F31" s="328"/>
      <c r="G31" s="328">
        <v>0</v>
      </c>
      <c r="H31" s="328"/>
      <c r="I31" s="334">
        <v>0</v>
      </c>
      <c r="J31" s="327"/>
      <c r="K31" s="355"/>
      <c r="L31" s="255"/>
      <c r="M31" s="255"/>
    </row>
    <row r="32" spans="1:13" ht="13.5">
      <c r="A32" s="327" t="s">
        <v>41</v>
      </c>
      <c r="B32" s="327"/>
      <c r="C32" s="430">
        <f>'BRA Resource Clearing Results'!E56-'1stIA Resource Clearing Results'!M70-'2ndIA Resource Clearing Results'!M70</f>
        <v>1626.3999999999992</v>
      </c>
      <c r="D32" s="328">
        <f>('BRA Resource Clearing Results'!E34*'BRA Resource Clearing Results'!C11-'1stIA Resource Clearing Results'!M36*'1stIA Resource Clearing Results'!C11-'2ndIA Resource Clearing Results'!M36*'2ndIA Resource Clearing Results'!C11)/('BRA Resource Clearing Results'!E34-'1stIA Resource Clearing Results'!M36-'2ndIA Resource Clearing Results'!M36)</f>
        <v>0</v>
      </c>
      <c r="E32" s="328">
        <f>('BRA Resource Clearing Results'!C56+'BRA Resource Clearing Results'!D56)*('BRA Resource Clearing Results'!E11-'BRA Resource Clearing Results'!E7)-('1stIA Resource Clearing Results'!K70+'1stIA Resource Clearing Results'!L70)*('1stIA Resource Clearing Results'!E11-'1stIA Resource Clearing Results'!E7)-('2ndIA Resource Clearing Results'!K70+'2ndIA Resource Clearing Results'!L70)*('2ndIA Resource Clearing Results'!E11-'2ndIA Resource Clearing Results'!E7)</f>
        <v>0</v>
      </c>
      <c r="F32" s="448"/>
      <c r="G32" s="328">
        <f>'BRA Resource Clearing Results'!D56*('BRA Resource Clearing Results'!G11-'BRA Resource Clearing Results'!G7)-'1stIA Resource Clearing Results'!L70*('1stIA Resource Clearing Results'!G11-'1stIA Resource Clearing Results'!G7)-'2ndIA Resource Clearing Results'!L70*('2ndIA Resource Clearing Results'!G11-'2ndIA Resource Clearing Results'!G7)</f>
        <v>0</v>
      </c>
      <c r="H32" s="448"/>
      <c r="I32" s="334">
        <f>'BRA Resource Clearing Results'!J78+'1stIA Resource Clearing Results'!J88+'2ndIA Resource Clearing Results'!J88</f>
        <v>0</v>
      </c>
      <c r="J32" s="327"/>
      <c r="K32" s="355"/>
      <c r="L32" s="255"/>
      <c r="M32" s="255"/>
    </row>
    <row r="33" spans="1:13" ht="13.5">
      <c r="A33" s="358" t="s">
        <v>17</v>
      </c>
      <c r="B33" s="442">
        <f>K17</f>
        <v>122.33080934061316</v>
      </c>
      <c r="C33" s="347">
        <f>C31+C32</f>
        <v>5557.0999999999985</v>
      </c>
      <c r="D33" s="443">
        <f>(C32*D32+C31*D31)/C33</f>
        <v>0</v>
      </c>
      <c r="E33" s="444">
        <f>E31+E32</f>
        <v>0</v>
      </c>
      <c r="F33" s="443">
        <f>E33/K52</f>
        <v>0</v>
      </c>
      <c r="G33" s="444">
        <f>G31+G32</f>
        <v>0</v>
      </c>
      <c r="H33" s="443">
        <f>G33/K52</f>
        <v>0</v>
      </c>
      <c r="I33" s="445">
        <f>I31+I32</f>
        <v>0</v>
      </c>
      <c r="J33" s="446">
        <f>I33/K52</f>
        <v>0</v>
      </c>
      <c r="K33" s="447">
        <f>B33+D33+F33+H33+J33</f>
        <v>122.33080934061316</v>
      </c>
      <c r="L33" s="356"/>
      <c r="M33" s="255"/>
    </row>
    <row r="34" spans="1:13" ht="13.5">
      <c r="A34" s="327" t="s">
        <v>157</v>
      </c>
      <c r="B34" s="327"/>
      <c r="C34" s="430">
        <f>'BRA Resource Clearing Results'!E58-'1stIA Resource Clearing Results'!M72-'2ndIA Resource Clearing Results'!M72</f>
        <v>6202.200000000002</v>
      </c>
      <c r="D34" s="328">
        <f>('BRA Resource Clearing Results'!E36*'BRA Resource Clearing Results'!C13-'1stIA Resource Clearing Results'!M38*'1stIA Resource Clearing Results'!C13-'2ndIA Resource Clearing Results'!M38*'2ndIA Resource Clearing Results'!C13)/('BRA Resource Clearing Results'!E36-'1stIA Resource Clearing Results'!M38-'2ndIA Resource Clearing Results'!M38)</f>
        <v>0</v>
      </c>
      <c r="E34" s="328">
        <f>('BRA Resource Clearing Results'!C58+'BRA Resource Clearing Results'!D58)*('BRA Resource Clearing Results'!E13-'BRA Resource Clearing Results'!E5)-('1stIA Resource Clearing Results'!K72+'1stIA Resource Clearing Results'!L72)*('1stIA Resource Clearing Results'!E13-'1stIA Resource Clearing Results'!E5)-('2ndIA Resource Clearing Results'!K72+'2ndIA Resource Clearing Results'!L72)*('2ndIA Resource Clearing Results'!E13-'2ndIA Resource Clearing Results'!E5)</f>
        <v>0</v>
      </c>
      <c r="F34" s="328"/>
      <c r="G34" s="328">
        <f>'BRA Resource Clearing Results'!D58*('BRA Resource Clearing Results'!G13-'BRA Resource Clearing Results'!G5)-'1stIA Resource Clearing Results'!L72*('1stIA Resource Clearing Results'!G13-'1stIA Resource Clearing Results'!G5)-'2ndIA Resource Clearing Results'!L72*('2ndIA Resource Clearing Results'!G13-'2ndIA Resource Clearing Results'!G5)</f>
        <v>0</v>
      </c>
      <c r="H34" s="328"/>
      <c r="I34" s="334">
        <f>'BRA Resource Clearing Results'!J80+'1stIA Resource Clearing Results'!J90+'2ndIA Resource Clearing Results'!J90</f>
        <v>0</v>
      </c>
      <c r="J34" s="327"/>
      <c r="K34" s="355"/>
      <c r="L34" s="356"/>
      <c r="M34" s="255"/>
    </row>
    <row r="35" spans="1:13" ht="13.5">
      <c r="A35" s="327" t="s">
        <v>156</v>
      </c>
      <c r="B35" s="327"/>
      <c r="C35" s="430">
        <f>'BRA Resource Clearing Results'!E59-'1stIA Resource Clearing Results'!M73-'2ndIA Resource Clearing Results'!M73</f>
        <v>2126.5</v>
      </c>
      <c r="D35" s="328">
        <f>('BRA Resource Clearing Results'!E37*'BRA Resource Clearing Results'!C14-'1stIA Resource Clearing Results'!M39*'1stIA Resource Clearing Results'!C14-'2ndIA Resource Clearing Results'!M39*'2ndIA Resource Clearing Results'!C14)/('BRA Resource Clearing Results'!E37-'1stIA Resource Clearing Results'!M39-'2ndIA Resource Clearing Results'!M39)</f>
        <v>0</v>
      </c>
      <c r="E35" s="328">
        <f>('BRA Resource Clearing Results'!C59+'BRA Resource Clearing Results'!D59)*('BRA Resource Clearing Results'!E14-'BRA Resource Clearing Results'!E5)-('1stIA Resource Clearing Results'!K73+'1stIA Resource Clearing Results'!L73)*('1stIA Resource Clearing Results'!E14-'1stIA Resource Clearing Results'!E5)-('2ndIA Resource Clearing Results'!K73+'2ndIA Resource Clearing Results'!L73)*('2ndIA Resource Clearing Results'!E14-'2ndIA Resource Clearing Results'!E5)</f>
        <v>0</v>
      </c>
      <c r="F35" s="448"/>
      <c r="G35" s="328">
        <f>'BRA Resource Clearing Results'!D59*('BRA Resource Clearing Results'!G14-'BRA Resource Clearing Results'!G5)-'1stIA Resource Clearing Results'!L73*('1stIA Resource Clearing Results'!G14-'1stIA Resource Clearing Results'!G5)-'2ndIA Resource Clearing Results'!L73*('2ndIA Resource Clearing Results'!G14-'2ndIA Resource Clearing Results'!G5)</f>
        <v>0</v>
      </c>
      <c r="H35" s="448"/>
      <c r="I35" s="334">
        <f>'BRA Resource Clearing Results'!J81+'1stIA Resource Clearing Results'!J91+'2ndIA Resource Clearing Results'!J91</f>
        <v>0</v>
      </c>
      <c r="J35" s="327"/>
      <c r="K35" s="355"/>
      <c r="L35" s="356"/>
      <c r="M35" s="255"/>
    </row>
    <row r="36" spans="1:13" ht="13.5">
      <c r="A36" s="358" t="s">
        <v>49</v>
      </c>
      <c r="B36" s="442">
        <f>K15</f>
        <v>122.21125395143612</v>
      </c>
      <c r="C36" s="347">
        <f>C34+C35</f>
        <v>8328.7</v>
      </c>
      <c r="D36" s="443">
        <f>(C35*D35+C34*D34)/C36</f>
        <v>0</v>
      </c>
      <c r="E36" s="444">
        <f>E34+E35</f>
        <v>0</v>
      </c>
      <c r="F36" s="443">
        <f>E36/K45</f>
        <v>0</v>
      </c>
      <c r="G36" s="444">
        <f>G34+G35</f>
        <v>0</v>
      </c>
      <c r="H36" s="443">
        <f>G36/K45</f>
        <v>0</v>
      </c>
      <c r="I36" s="445">
        <f>I34+I35</f>
        <v>0</v>
      </c>
      <c r="J36" s="446">
        <f>I36/K45</f>
        <v>0</v>
      </c>
      <c r="K36" s="447">
        <f>B36+D36+F36+H36+J36</f>
        <v>122.21125395143612</v>
      </c>
      <c r="L36" s="356"/>
      <c r="M36" s="255"/>
    </row>
    <row r="37" spans="1:13" ht="13.5">
      <c r="A37" s="689" t="s">
        <v>267</v>
      </c>
      <c r="B37" s="689"/>
      <c r="C37" s="381"/>
      <c r="D37" s="449"/>
      <c r="E37" s="450"/>
      <c r="F37" s="449"/>
      <c r="G37" s="449"/>
      <c r="H37" s="449"/>
      <c r="I37" s="451"/>
      <c r="J37" s="451"/>
      <c r="K37" s="452"/>
      <c r="L37" s="356"/>
      <c r="M37" s="255"/>
    </row>
    <row r="38" spans="1:13" ht="13.5">
      <c r="A38" s="288" t="s">
        <v>24</v>
      </c>
      <c r="B38" s="288"/>
      <c r="C38" s="288"/>
      <c r="D38" s="288"/>
      <c r="E38" s="288"/>
      <c r="F38" s="288"/>
      <c r="G38" s="288"/>
      <c r="H38" s="321"/>
      <c r="I38" s="321"/>
      <c r="J38" s="321"/>
      <c r="K38" s="321"/>
      <c r="L38" s="255"/>
      <c r="M38" s="255"/>
    </row>
    <row r="39" spans="1:13" ht="13.5">
      <c r="A39" s="318"/>
      <c r="B39" s="335"/>
      <c r="C39" s="335" t="s">
        <v>24</v>
      </c>
      <c r="D39" s="335" t="s">
        <v>24</v>
      </c>
      <c r="E39" s="351" t="s">
        <v>24</v>
      </c>
      <c r="F39" s="453" t="s">
        <v>24</v>
      </c>
      <c r="G39" s="454"/>
      <c r="H39" s="454"/>
      <c r="I39" s="454"/>
      <c r="J39" s="454"/>
      <c r="K39" s="454"/>
      <c r="L39" s="455"/>
      <c r="M39" s="255"/>
    </row>
    <row r="40" spans="1:13" ht="18">
      <c r="A40" s="456" t="s">
        <v>268</v>
      </c>
      <c r="B40" s="317"/>
      <c r="C40" s="457"/>
      <c r="D40" s="457"/>
      <c r="E40" s="458"/>
      <c r="F40" s="458"/>
      <c r="G40" s="459"/>
      <c r="H40" s="458"/>
      <c r="I40" s="458"/>
      <c r="J40" s="458"/>
      <c r="K40" s="458"/>
      <c r="L40" s="460"/>
      <c r="M40" s="255"/>
    </row>
    <row r="41" spans="1:13" ht="69">
      <c r="A41" s="461" t="s">
        <v>7</v>
      </c>
      <c r="B41" s="461" t="s">
        <v>28</v>
      </c>
      <c r="C41" s="461" t="s">
        <v>27</v>
      </c>
      <c r="D41" s="461" t="s">
        <v>34</v>
      </c>
      <c r="E41" s="461" t="s">
        <v>365</v>
      </c>
      <c r="F41" s="461" t="s">
        <v>22</v>
      </c>
      <c r="G41" s="461" t="s">
        <v>366</v>
      </c>
      <c r="H41" s="461" t="s">
        <v>367</v>
      </c>
      <c r="I41" s="462" t="s">
        <v>23</v>
      </c>
      <c r="J41" s="462" t="s">
        <v>269</v>
      </c>
      <c r="K41" s="462" t="s">
        <v>340</v>
      </c>
      <c r="L41" s="604" t="s">
        <v>270</v>
      </c>
      <c r="M41" s="461" t="s">
        <v>7</v>
      </c>
    </row>
    <row r="42" spans="1:13" ht="13.5">
      <c r="A42" s="327" t="s">
        <v>16</v>
      </c>
      <c r="B42" s="464" t="s">
        <v>29</v>
      </c>
      <c r="C42" s="464" t="s">
        <v>39</v>
      </c>
      <c r="D42" s="464"/>
      <c r="E42" s="593">
        <v>2450</v>
      </c>
      <c r="F42" s="466">
        <f>G42/E42</f>
        <v>0.996734693877551</v>
      </c>
      <c r="G42" s="467">
        <v>2442</v>
      </c>
      <c r="H42" s="378">
        <f>0.6*'BRA Load Pricing Results'!H40</f>
        <v>45.02852572785272</v>
      </c>
      <c r="I42" s="468">
        <f>$B$10</f>
        <v>1.0371940882694117</v>
      </c>
      <c r="J42" s="468">
        <f>I42*F42</f>
        <v>1.0338073320628176</v>
      </c>
      <c r="K42" s="469">
        <f>E42*J42*$B$6+H42</f>
        <v>2820.7546909865755</v>
      </c>
      <c r="L42" s="605">
        <f>K17</f>
        <v>122.33080934061316</v>
      </c>
      <c r="M42" s="471" t="s">
        <v>16</v>
      </c>
    </row>
    <row r="43" spans="1:13" ht="13.5">
      <c r="A43" s="327" t="s">
        <v>271</v>
      </c>
      <c r="B43" s="464"/>
      <c r="C43" s="464"/>
      <c r="D43" s="464"/>
      <c r="E43" s="592">
        <v>10537.7</v>
      </c>
      <c r="F43" s="466">
        <v>1.0066846119336026</v>
      </c>
      <c r="G43" s="473">
        <f>E43*F43</f>
        <v>10608.140435172725</v>
      </c>
      <c r="H43" s="378">
        <f>0.6*'BRA Load Pricing Results'!H41</f>
        <v>185.11522857867723</v>
      </c>
      <c r="I43" s="468">
        <f aca="true" t="shared" si="2" ref="I43:I61">$B$10</f>
        <v>1.0371940882694117</v>
      </c>
      <c r="J43" s="468">
        <f>I43*F43</f>
        <v>1.0441273282493195</v>
      </c>
      <c r="K43" s="469">
        <f>E43*J43*$B$6+H43</f>
        <v>12242.974757918559</v>
      </c>
      <c r="L43" s="605">
        <f>K15</f>
        <v>122.21125395143612</v>
      </c>
      <c r="M43" s="471" t="s">
        <v>31</v>
      </c>
    </row>
    <row r="44" spans="1:13" ht="13.5">
      <c r="A44" s="327" t="s">
        <v>19</v>
      </c>
      <c r="B44" s="464" t="s">
        <v>24</v>
      </c>
      <c r="C44" s="464"/>
      <c r="D44" s="464"/>
      <c r="E44" s="592">
        <v>8350</v>
      </c>
      <c r="F44" s="466">
        <f aca="true" t="shared" si="3" ref="F44:F61">G44/E44</f>
        <v>1.041437125748503</v>
      </c>
      <c r="G44" s="473">
        <v>8696</v>
      </c>
      <c r="H44" s="378">
        <f>0.6*'BRA Load Pricing Results'!H42</f>
        <v>144.7626167127076</v>
      </c>
      <c r="I44" s="468">
        <f t="shared" si="2"/>
        <v>1.0371940882694117</v>
      </c>
      <c r="J44" s="468">
        <f>I44*F44</f>
        <v>1.0801724301306352</v>
      </c>
      <c r="K44" s="469">
        <f>E44*J44*$B$6+H44</f>
        <v>10029.166684317071</v>
      </c>
      <c r="L44" s="605">
        <f>K15</f>
        <v>122.21125395143612</v>
      </c>
      <c r="M44" s="471" t="s">
        <v>19</v>
      </c>
    </row>
    <row r="45" spans="1:13" ht="13.5">
      <c r="A45" s="327" t="s">
        <v>49</v>
      </c>
      <c r="B45" s="464"/>
      <c r="C45" s="464"/>
      <c r="D45" s="464" t="s">
        <v>49</v>
      </c>
      <c r="E45" s="592">
        <v>12640</v>
      </c>
      <c r="F45" s="466">
        <f t="shared" si="3"/>
        <v>0.9870253164556962</v>
      </c>
      <c r="G45" s="473">
        <v>12476</v>
      </c>
      <c r="H45" s="378">
        <f>0.6*'BRA Load Pricing Results'!H43</f>
        <v>214.22116439908987</v>
      </c>
      <c r="I45" s="468">
        <f t="shared" si="2"/>
        <v>1.0371940882694117</v>
      </c>
      <c r="J45" s="468">
        <f>I45*F45</f>
        <v>1.0237368232000934</v>
      </c>
      <c r="K45" s="469">
        <f>E45*J45*$B$6+H45</f>
        <v>14395.203817047668</v>
      </c>
      <c r="L45" s="605">
        <f>K36</f>
        <v>122.21125395143612</v>
      </c>
      <c r="M45" s="471" t="s">
        <v>49</v>
      </c>
    </row>
    <row r="46" spans="1:13" ht="13.5">
      <c r="A46" s="327" t="s">
        <v>11</v>
      </c>
      <c r="B46" s="464" t="s">
        <v>29</v>
      </c>
      <c r="C46" s="464" t="s">
        <v>5</v>
      </c>
      <c r="D46" s="471" t="s">
        <v>11</v>
      </c>
      <c r="E46" s="592">
        <v>6490</v>
      </c>
      <c r="F46" s="466">
        <f t="shared" si="3"/>
        <v>1.0348228043143297</v>
      </c>
      <c r="G46" s="473">
        <v>6716</v>
      </c>
      <c r="H46" s="378">
        <f>0.6*'BRA Load Pricing Results'!H44</f>
        <v>118.7443158466865</v>
      </c>
      <c r="I46" s="468">
        <f t="shared" si="2"/>
        <v>1.0371940882694117</v>
      </c>
      <c r="J46" s="468">
        <f>I46*F46</f>
        <v>1.0733120950411972</v>
      </c>
      <c r="K46" s="469">
        <f aca="true" t="shared" si="4" ref="K46:K61">E46*J46*$B$6+H46</f>
        <v>7752.559600808843</v>
      </c>
      <c r="L46" s="605">
        <f>K21</f>
        <v>122.33080934061316</v>
      </c>
      <c r="M46" s="471" t="s">
        <v>11</v>
      </c>
    </row>
    <row r="47" spans="1:13" ht="13.5">
      <c r="A47" s="327" t="s">
        <v>291</v>
      </c>
      <c r="B47" s="464"/>
      <c r="C47" s="464"/>
      <c r="D47" s="471" t="s">
        <v>20</v>
      </c>
      <c r="E47" s="592">
        <v>20556.7</v>
      </c>
      <c r="F47" s="466">
        <v>1.0266028708133972</v>
      </c>
      <c r="G47" s="473">
        <f>E47*F47</f>
        <v>21103.56723444976</v>
      </c>
      <c r="H47" s="378">
        <f>0.6*'BRA Load Pricing Results'!H45</f>
        <v>377.72378396457424</v>
      </c>
      <c r="I47" s="468">
        <f t="shared" si="2"/>
        <v>1.0371940882694117</v>
      </c>
      <c r="J47" s="468">
        <f aca="true" t="shared" si="5" ref="J47:J60">I47*F47</f>
        <v>1.0647864286080622</v>
      </c>
      <c r="K47" s="469">
        <f t="shared" si="4"/>
        <v>24365.3256484031</v>
      </c>
      <c r="L47" s="605">
        <f>K20</f>
        <v>122.21125395143612</v>
      </c>
      <c r="M47" s="471" t="s">
        <v>20</v>
      </c>
    </row>
    <row r="48" spans="1:13" ht="13.5">
      <c r="A48" s="327" t="s">
        <v>21</v>
      </c>
      <c r="B48" s="464"/>
      <c r="C48" s="464"/>
      <c r="D48" s="464"/>
      <c r="E48" s="592">
        <v>3170</v>
      </c>
      <c r="F48" s="466">
        <f t="shared" si="3"/>
        <v>1.0334384858044163</v>
      </c>
      <c r="G48" s="467">
        <v>3276</v>
      </c>
      <c r="H48" s="378">
        <f>0.6*'BRA Load Pricing Results'!H46</f>
        <v>57.358154772606575</v>
      </c>
      <c r="I48" s="468">
        <f t="shared" si="2"/>
        <v>1.0371940882694117</v>
      </c>
      <c r="J48" s="468">
        <f t="shared" si="5"/>
        <v>1.071876288066433</v>
      </c>
      <c r="K48" s="469">
        <f t="shared" si="4"/>
        <v>3781.059595144259</v>
      </c>
      <c r="L48" s="605">
        <f>K15</f>
        <v>122.21125395143612</v>
      </c>
      <c r="M48" s="471" t="s">
        <v>21</v>
      </c>
    </row>
    <row r="49" spans="1:13" ht="13.5">
      <c r="A49" s="327" t="s">
        <v>272</v>
      </c>
      <c r="B49" s="464"/>
      <c r="C49" s="464"/>
      <c r="D49" s="464"/>
      <c r="E49" s="592">
        <v>4277.9</v>
      </c>
      <c r="F49" s="466">
        <v>1.0350393700787401</v>
      </c>
      <c r="G49" s="473">
        <f>E49*F49</f>
        <v>4427.794921259842</v>
      </c>
      <c r="H49" s="378">
        <f>0.6*'BRA Load Pricing Results'!H47</f>
        <v>75.81299933608709</v>
      </c>
      <c r="I49" s="468">
        <f t="shared" si="2"/>
        <v>1.0371940882694117</v>
      </c>
      <c r="J49" s="468">
        <f>I49*F49</f>
        <v>1.073536715771765</v>
      </c>
      <c r="K49" s="469">
        <f>E49*J49*$B$6+H49</f>
        <v>5108.714808238884</v>
      </c>
      <c r="L49" s="605">
        <f>K15</f>
        <v>122.21125395143612</v>
      </c>
      <c r="M49" s="471" t="s">
        <v>63</v>
      </c>
    </row>
    <row r="50" spans="1:13" ht="13.5">
      <c r="A50" s="327" t="s">
        <v>48</v>
      </c>
      <c r="B50" s="464"/>
      <c r="C50" s="464"/>
      <c r="D50" s="464"/>
      <c r="E50" s="592">
        <v>2780</v>
      </c>
      <c r="F50" s="466">
        <f t="shared" si="3"/>
        <v>1.0057553956834533</v>
      </c>
      <c r="G50" s="467">
        <v>2796</v>
      </c>
      <c r="H50" s="378">
        <f>0.6*'BRA Load Pricing Results'!H48</f>
        <v>48.72905184221444</v>
      </c>
      <c r="I50" s="468">
        <f t="shared" si="2"/>
        <v>1.0371940882694117</v>
      </c>
      <c r="J50" s="468">
        <f t="shared" si="5"/>
        <v>1.0431635506479409</v>
      </c>
      <c r="K50" s="469">
        <f t="shared" si="4"/>
        <v>3226.833211573333</v>
      </c>
      <c r="L50" s="605">
        <f>K15</f>
        <v>122.21125395143612</v>
      </c>
      <c r="M50" s="471" t="s">
        <v>48</v>
      </c>
    </row>
    <row r="51" spans="1:13" ht="13.5">
      <c r="A51" s="327" t="s">
        <v>32</v>
      </c>
      <c r="B51" s="464"/>
      <c r="C51" s="464"/>
      <c r="D51" s="464"/>
      <c r="E51" s="592">
        <v>18350</v>
      </c>
      <c r="F51" s="466">
        <f t="shared" si="3"/>
        <v>1.0543324250681199</v>
      </c>
      <c r="G51" s="467">
        <v>19347</v>
      </c>
      <c r="H51" s="378">
        <f>0.6*'BRA Load Pricing Results'!H49</f>
        <v>343.4939682614161</v>
      </c>
      <c r="I51" s="468">
        <f t="shared" si="2"/>
        <v>1.0371940882694117</v>
      </c>
      <c r="J51" s="468">
        <f t="shared" si="5"/>
        <v>1.0935473583514064</v>
      </c>
      <c r="K51" s="469">
        <f t="shared" si="4"/>
        <v>22334.474361078985</v>
      </c>
      <c r="L51" s="605">
        <f>K15</f>
        <v>122.21125395143612</v>
      </c>
      <c r="M51" s="471" t="s">
        <v>32</v>
      </c>
    </row>
    <row r="52" spans="1:13" ht="13.5">
      <c r="A52" s="327" t="s">
        <v>17</v>
      </c>
      <c r="B52" s="464" t="s">
        <v>29</v>
      </c>
      <c r="C52" s="464" t="s">
        <v>39</v>
      </c>
      <c r="D52" s="464" t="s">
        <v>17</v>
      </c>
      <c r="E52" s="592">
        <v>3750</v>
      </c>
      <c r="F52" s="466">
        <f t="shared" si="3"/>
        <v>1.0341333333333333</v>
      </c>
      <c r="G52" s="467">
        <v>3878</v>
      </c>
      <c r="H52" s="378">
        <f>0.6*'BRA Load Pricing Results'!H50</f>
        <v>68.50885514375847</v>
      </c>
      <c r="I52" s="468">
        <f t="shared" si="2"/>
        <v>1.0371940882694117</v>
      </c>
      <c r="J52" s="468">
        <f t="shared" si="5"/>
        <v>1.0725969798156743</v>
      </c>
      <c r="K52" s="469">
        <f t="shared" si="4"/>
        <v>4476.480218318749</v>
      </c>
      <c r="L52" s="605">
        <f>K33</f>
        <v>122.33080934061316</v>
      </c>
      <c r="M52" s="471" t="s">
        <v>17</v>
      </c>
    </row>
    <row r="53" spans="1:13" ht="13.5">
      <c r="A53" s="327" t="s">
        <v>273</v>
      </c>
      <c r="B53" s="464"/>
      <c r="C53" s="464"/>
      <c r="D53" s="464"/>
      <c r="E53" s="592">
        <v>2034.6</v>
      </c>
      <c r="F53" s="466">
        <v>1.0273224043715847</v>
      </c>
      <c r="G53" s="473">
        <f>E53*F53</f>
        <v>2090.190163934426</v>
      </c>
      <c r="H53" s="378">
        <f>0.6*'BRA Load Pricing Results'!H51</f>
        <v>34.78949070717403</v>
      </c>
      <c r="I53" s="468">
        <f t="shared" si="2"/>
        <v>1.0371940882694117</v>
      </c>
      <c r="J53" s="468">
        <f t="shared" si="5"/>
        <v>1.0655327245609258</v>
      </c>
      <c r="K53" s="469">
        <f>E53*J53*$B$6+H53</f>
        <v>2410.627135424294</v>
      </c>
      <c r="L53" s="605">
        <f>K15</f>
        <v>122.21125395143612</v>
      </c>
      <c r="M53" s="471" t="s">
        <v>160</v>
      </c>
    </row>
    <row r="54" spans="1:13" ht="13.5">
      <c r="A54" s="327" t="s">
        <v>12</v>
      </c>
      <c r="B54" s="464" t="s">
        <v>29</v>
      </c>
      <c r="C54" s="464" t="s">
        <v>39</v>
      </c>
      <c r="D54" s="464"/>
      <c r="E54" s="592">
        <v>5740</v>
      </c>
      <c r="F54" s="466">
        <f t="shared" si="3"/>
        <v>1.0139372822299653</v>
      </c>
      <c r="G54" s="467">
        <v>5820</v>
      </c>
      <c r="H54" s="378">
        <f>0.6*'BRA Load Pricing Results'!H52</f>
        <v>104.28606558570691</v>
      </c>
      <c r="I54" s="468">
        <f t="shared" si="2"/>
        <v>1.0371940882694117</v>
      </c>
      <c r="J54" s="468">
        <f t="shared" si="5"/>
        <v>1.051649755004874</v>
      </c>
      <c r="K54" s="469">
        <f t="shared" si="4"/>
        <v>6719.653093352197</v>
      </c>
      <c r="L54" s="605">
        <f>K17</f>
        <v>122.33080934061316</v>
      </c>
      <c r="M54" s="471" t="s">
        <v>12</v>
      </c>
    </row>
    <row r="55" spans="1:13" ht="13.5">
      <c r="A55" s="327" t="s">
        <v>13</v>
      </c>
      <c r="B55" s="464" t="s">
        <v>29</v>
      </c>
      <c r="C55" s="464"/>
      <c r="D55" s="464"/>
      <c r="E55" s="592">
        <v>2800</v>
      </c>
      <c r="F55" s="466">
        <f t="shared" si="3"/>
        <v>1.02</v>
      </c>
      <c r="G55" s="467">
        <v>2856</v>
      </c>
      <c r="H55" s="378">
        <f>0.6*'BRA Load Pricing Results'!H53</f>
        <v>50.120842637438976</v>
      </c>
      <c r="I55" s="468">
        <f t="shared" si="2"/>
        <v>1.0371940882694117</v>
      </c>
      <c r="J55" s="468">
        <f t="shared" si="5"/>
        <v>1.0579379700348</v>
      </c>
      <c r="K55" s="469">
        <f t="shared" si="4"/>
        <v>3296.4246624486236</v>
      </c>
      <c r="L55" s="605">
        <f>K16</f>
        <v>122.33080934061316</v>
      </c>
      <c r="M55" s="471" t="s">
        <v>13</v>
      </c>
    </row>
    <row r="56" spans="1:13" ht="13.5">
      <c r="A56" s="327" t="s">
        <v>9</v>
      </c>
      <c r="B56" s="464" t="s">
        <v>29</v>
      </c>
      <c r="C56" s="464" t="s">
        <v>39</v>
      </c>
      <c r="D56" s="464"/>
      <c r="E56" s="592">
        <v>8060</v>
      </c>
      <c r="F56" s="466">
        <f t="shared" si="3"/>
        <v>1.0375930521091812</v>
      </c>
      <c r="G56" s="467">
        <v>8363</v>
      </c>
      <c r="H56" s="378">
        <f>0.6*'BRA Load Pricing Results'!H54</f>
        <v>145.41757708693092</v>
      </c>
      <c r="I56" s="468">
        <f t="shared" si="2"/>
        <v>1.0371940882694117</v>
      </c>
      <c r="J56" s="468">
        <f t="shared" si="5"/>
        <v>1.0761853796770584</v>
      </c>
      <c r="K56" s="469">
        <f t="shared" si="4"/>
        <v>9651.313531246924</v>
      </c>
      <c r="L56" s="605">
        <f>K17</f>
        <v>122.33080934061316</v>
      </c>
      <c r="M56" s="471" t="s">
        <v>9</v>
      </c>
    </row>
    <row r="57" spans="1:13" ht="13.5">
      <c r="A57" s="327" t="s">
        <v>14</v>
      </c>
      <c r="B57" s="464" t="s">
        <v>29</v>
      </c>
      <c r="C57" s="464"/>
      <c r="D57" s="464"/>
      <c r="E57" s="592">
        <v>2870</v>
      </c>
      <c r="F57" s="466">
        <f t="shared" si="3"/>
        <v>0.9665505226480836</v>
      </c>
      <c r="G57" s="467">
        <v>2774</v>
      </c>
      <c r="H57" s="378">
        <f>0.6*'BRA Load Pricing Results'!H55</f>
        <v>49.53137830063799</v>
      </c>
      <c r="I57" s="468">
        <f t="shared" si="2"/>
        <v>1.0371940882694117</v>
      </c>
      <c r="J57" s="468">
        <f t="shared" si="5"/>
        <v>1.0025004881043025</v>
      </c>
      <c r="K57" s="469">
        <f t="shared" si="4"/>
        <v>3202.6289960023983</v>
      </c>
      <c r="L57" s="605">
        <f>K16</f>
        <v>122.33080934061316</v>
      </c>
      <c r="M57" s="471" t="s">
        <v>14</v>
      </c>
    </row>
    <row r="58" spans="1:13" ht="13.5">
      <c r="A58" s="327" t="s">
        <v>15</v>
      </c>
      <c r="B58" s="464" t="s">
        <v>29</v>
      </c>
      <c r="C58" s="464" t="s">
        <v>5</v>
      </c>
      <c r="D58" s="464" t="s">
        <v>15</v>
      </c>
      <c r="E58" s="592">
        <v>5910</v>
      </c>
      <c r="F58" s="466">
        <f t="shared" si="3"/>
        <v>1.0715736040609136</v>
      </c>
      <c r="G58" s="467">
        <v>6333</v>
      </c>
      <c r="H58" s="378">
        <f>0.6*'BRA Load Pricing Results'!H56</f>
        <v>110.18070895371672</v>
      </c>
      <c r="I58" s="468">
        <f t="shared" si="2"/>
        <v>1.0371940882694117</v>
      </c>
      <c r="J58" s="468">
        <f t="shared" si="5"/>
        <v>1.1114298072775268</v>
      </c>
      <c r="K58" s="469">
        <f t="shared" si="4"/>
        <v>7308.654830404778</v>
      </c>
      <c r="L58" s="605">
        <f>K19</f>
        <v>122.33080934061316</v>
      </c>
      <c r="M58" s="471" t="s">
        <v>15</v>
      </c>
    </row>
    <row r="59" spans="1:13" ht="13.5">
      <c r="A59" s="327" t="s">
        <v>10</v>
      </c>
      <c r="B59" s="464" t="s">
        <v>29</v>
      </c>
      <c r="C59" s="464"/>
      <c r="D59" s="471" t="s">
        <v>10</v>
      </c>
      <c r="E59" s="592">
        <v>6960</v>
      </c>
      <c r="F59" s="466">
        <f t="shared" si="3"/>
        <v>1.0293103448275862</v>
      </c>
      <c r="G59" s="467">
        <v>7164</v>
      </c>
      <c r="H59" s="378">
        <f>0.6*'BRA Load Pricing Results'!H57</f>
        <v>123.08342832591596</v>
      </c>
      <c r="I59" s="468">
        <f t="shared" si="2"/>
        <v>1.0371940882694117</v>
      </c>
      <c r="J59" s="468">
        <f t="shared" si="5"/>
        <v>1.067594604649722</v>
      </c>
      <c r="K59" s="469">
        <f t="shared" si="4"/>
        <v>8266.122841885903</v>
      </c>
      <c r="L59" s="605">
        <f>K22</f>
        <v>120.53474360532427</v>
      </c>
      <c r="M59" s="471" t="s">
        <v>10</v>
      </c>
    </row>
    <row r="60" spans="1:13" ht="13.5">
      <c r="A60" s="327" t="s">
        <v>8</v>
      </c>
      <c r="B60" s="464" t="s">
        <v>29</v>
      </c>
      <c r="C60" s="464" t="s">
        <v>39</v>
      </c>
      <c r="D60" s="464" t="s">
        <v>8</v>
      </c>
      <c r="E60" s="592">
        <v>9490</v>
      </c>
      <c r="F60" s="466">
        <f t="shared" si="3"/>
        <v>1.0312961011591149</v>
      </c>
      <c r="G60" s="467">
        <v>9787</v>
      </c>
      <c r="H60" s="378">
        <f>0.6*'BRA Load Pricing Results'!H58</f>
        <v>171.43587795295198</v>
      </c>
      <c r="I60" s="468">
        <f t="shared" si="2"/>
        <v>1.0371940882694117</v>
      </c>
      <c r="J60" s="468">
        <f t="shared" si="5"/>
        <v>1.0696542193775271</v>
      </c>
      <c r="K60" s="469">
        <f t="shared" si="4"/>
        <v>11295.937098013199</v>
      </c>
      <c r="L60" s="605">
        <f>K30</f>
        <v>216.76667889107964</v>
      </c>
      <c r="M60" s="471" t="s">
        <v>8</v>
      </c>
    </row>
    <row r="61" spans="1:13" ht="13.5">
      <c r="A61" s="327" t="s">
        <v>18</v>
      </c>
      <c r="B61" s="464" t="s">
        <v>29</v>
      </c>
      <c r="C61" s="464" t="s">
        <v>39</v>
      </c>
      <c r="D61" s="464"/>
      <c r="E61" s="594">
        <v>385</v>
      </c>
      <c r="F61" s="466">
        <f t="shared" si="3"/>
        <v>1.0155844155844156</v>
      </c>
      <c r="G61" s="467">
        <v>391</v>
      </c>
      <c r="H61" s="378">
        <f>0.6*'BRA Load Pricing Results'!H59</f>
        <v>6.7624658638557</v>
      </c>
      <c r="I61" s="468">
        <f t="shared" si="2"/>
        <v>1.0371940882694117</v>
      </c>
      <c r="J61" s="468">
        <f>I61*F61</f>
        <v>1.0533581519827013</v>
      </c>
      <c r="K61" s="469">
        <f t="shared" si="4"/>
        <v>451.19691738562506</v>
      </c>
      <c r="L61" s="605">
        <f>K17</f>
        <v>122.33080934061316</v>
      </c>
      <c r="M61" s="471" t="s">
        <v>18</v>
      </c>
    </row>
    <row r="62" spans="1:13" ht="13.5">
      <c r="A62" s="255"/>
      <c r="B62" s="336"/>
      <c r="C62" s="255"/>
      <c r="D62" s="255"/>
      <c r="E62" s="474">
        <f>SUM(E42:E61)</f>
        <v>137601.9</v>
      </c>
      <c r="F62" s="475"/>
      <c r="G62" s="474">
        <f>SUM(G42:G61)</f>
        <v>141344.69275481676</v>
      </c>
      <c r="H62" s="474">
        <f>SUM(H42:H61)</f>
        <v>2475.1065000000003</v>
      </c>
      <c r="I62" s="476"/>
      <c r="J62" s="476"/>
      <c r="K62" s="477">
        <f>SUM(K42:K61)</f>
        <v>163136.1065</v>
      </c>
      <c r="L62" s="690" t="s">
        <v>24</v>
      </c>
      <c r="M62" s="690"/>
    </row>
    <row r="63" spans="1:13" ht="13.5">
      <c r="A63" s="478" t="s">
        <v>82</v>
      </c>
      <c r="B63" s="336"/>
      <c r="C63" s="255"/>
      <c r="D63" s="255" t="s">
        <v>24</v>
      </c>
      <c r="E63" s="479" t="s">
        <v>24</v>
      </c>
      <c r="F63" s="480"/>
      <c r="G63" s="481" t="s">
        <v>24</v>
      </c>
      <c r="H63" s="481"/>
      <c r="I63" s="256"/>
      <c r="J63" s="256"/>
      <c r="K63" s="482"/>
      <c r="L63" s="483"/>
      <c r="M63" s="255"/>
    </row>
    <row r="64" spans="1:13" ht="13.5">
      <c r="A64" s="691" t="s">
        <v>274</v>
      </c>
      <c r="B64" s="691"/>
      <c r="C64" s="255"/>
      <c r="D64" s="255"/>
      <c r="E64" s="484" t="s">
        <v>24</v>
      </c>
      <c r="F64" s="255"/>
      <c r="G64" s="484" t="s">
        <v>24</v>
      </c>
      <c r="H64" s="255"/>
      <c r="I64" s="255"/>
      <c r="J64" s="255"/>
      <c r="K64" s="255"/>
      <c r="L64" s="483"/>
      <c r="M64" s="255"/>
    </row>
    <row r="65" spans="1:13" ht="13.5">
      <c r="A65" s="700" t="s">
        <v>275</v>
      </c>
      <c r="B65" s="700"/>
      <c r="C65" s="700"/>
      <c r="D65" s="700"/>
      <c r="E65" s="700"/>
      <c r="F65" s="700"/>
      <c r="G65" s="700"/>
      <c r="H65" s="700"/>
      <c r="I65" s="700"/>
      <c r="J65" s="700"/>
      <c r="K65" s="700"/>
      <c r="L65" s="700"/>
      <c r="M65" s="700"/>
    </row>
  </sheetData>
  <sheetProtection/>
  <mergeCells count="4">
    <mergeCell ref="A37:B37"/>
    <mergeCell ref="L62:M62"/>
    <mergeCell ref="A64:B64"/>
    <mergeCell ref="A65:M65"/>
  </mergeCells>
  <printOptions/>
  <pageMargins left="0.7" right="0.7" top="0.75" bottom="0.75" header="0.3" footer="0.3"/>
  <pageSetup fitToHeight="1" fitToWidth="1" horizontalDpi="600" verticalDpi="600" orientation="landscape" paperSize="17" scale="65" r:id="rId1"/>
</worksheet>
</file>

<file path=xl/worksheets/sheet14.xml><?xml version="1.0" encoding="utf-8"?>
<worksheet xmlns="http://schemas.openxmlformats.org/spreadsheetml/2006/main" xmlns:r="http://schemas.openxmlformats.org/officeDocument/2006/relationships">
  <sheetPr>
    <pageSetUpPr fitToPage="1"/>
  </sheetPr>
  <dimension ref="A1:AB45"/>
  <sheetViews>
    <sheetView zoomScalePageLayoutView="0" workbookViewId="0" topLeftCell="A1">
      <selection activeCell="A1" sqref="A1"/>
    </sheetView>
  </sheetViews>
  <sheetFormatPr defaultColWidth="9.140625" defaultRowHeight="12.75"/>
  <cols>
    <col min="1" max="29" width="16.7109375" style="0" customWidth="1"/>
  </cols>
  <sheetData>
    <row r="1" spans="1:28" ht="18">
      <c r="A1" s="371" t="s">
        <v>357</v>
      </c>
      <c r="B1" s="255"/>
      <c r="C1" s="255"/>
      <c r="D1" s="255"/>
      <c r="E1" s="255"/>
      <c r="F1" s="486" t="s">
        <v>24</v>
      </c>
      <c r="G1" s="255"/>
      <c r="H1" s="255"/>
      <c r="I1" s="255"/>
      <c r="J1" s="255"/>
      <c r="K1" s="255"/>
      <c r="L1" s="255"/>
      <c r="M1" s="255"/>
      <c r="N1" s="255"/>
      <c r="O1" s="255"/>
      <c r="P1" s="255"/>
      <c r="Q1" s="255"/>
      <c r="R1" s="255"/>
      <c r="S1" s="255"/>
      <c r="T1" s="255"/>
      <c r="U1" s="255"/>
      <c r="V1" s="255"/>
      <c r="W1" s="255"/>
      <c r="X1" s="255"/>
      <c r="Y1" s="255"/>
      <c r="Z1" s="255"/>
      <c r="AA1" s="255"/>
      <c r="AB1" s="255"/>
    </row>
    <row r="2" spans="1:28" ht="18">
      <c r="A2" s="307" t="s">
        <v>24</v>
      </c>
      <c r="B2" s="255"/>
      <c r="C2" s="255" t="s">
        <v>24</v>
      </c>
      <c r="D2" s="282" t="s">
        <v>24</v>
      </c>
      <c r="E2" s="487" t="s">
        <v>24</v>
      </c>
      <c r="F2" s="255"/>
      <c r="G2" s="255"/>
      <c r="H2" s="255"/>
      <c r="I2" s="255"/>
      <c r="J2" s="255"/>
      <c r="K2" s="255"/>
      <c r="L2" s="255"/>
      <c r="M2" s="255"/>
      <c r="N2" s="255"/>
      <c r="O2" s="255"/>
      <c r="P2" s="255"/>
      <c r="Q2" s="255"/>
      <c r="R2" s="255"/>
      <c r="S2" s="255"/>
      <c r="T2" s="255"/>
      <c r="U2" s="255"/>
      <c r="V2" s="255"/>
      <c r="W2" s="255"/>
      <c r="X2" s="255"/>
      <c r="Y2" s="255"/>
      <c r="Z2" s="255"/>
      <c r="AA2" s="255"/>
      <c r="AB2" s="255"/>
    </row>
    <row r="3" spans="1:28" ht="18">
      <c r="A3" s="576" t="s">
        <v>77</v>
      </c>
      <c r="B3" s="307"/>
      <c r="C3" s="488" t="s">
        <v>24</v>
      </c>
      <c r="D3" s="307"/>
      <c r="E3" s="606" t="s">
        <v>24</v>
      </c>
      <c r="F3" s="319"/>
      <c r="G3" s="255"/>
      <c r="H3" s="255"/>
      <c r="I3" s="255" t="s">
        <v>24</v>
      </c>
      <c r="J3" s="255"/>
      <c r="K3" s="439"/>
      <c r="L3" s="439"/>
      <c r="M3" s="255"/>
      <c r="N3" s="255"/>
      <c r="O3" s="255"/>
      <c r="P3" s="255"/>
      <c r="Q3" s="255"/>
      <c r="R3" s="255"/>
      <c r="S3" s="255"/>
      <c r="T3" s="255"/>
      <c r="U3" s="255"/>
      <c r="V3" s="255"/>
      <c r="W3" s="255"/>
      <c r="X3" s="255"/>
      <c r="Y3" s="439"/>
      <c r="Z3" s="255"/>
      <c r="AA3" s="255"/>
      <c r="AB3" s="255"/>
    </row>
    <row r="4" spans="1:28" ht="96">
      <c r="A4" s="374" t="s">
        <v>3</v>
      </c>
      <c r="B4" s="577" t="s">
        <v>260</v>
      </c>
      <c r="C4" s="577" t="s">
        <v>276</v>
      </c>
      <c r="D4" s="577" t="s">
        <v>368</v>
      </c>
      <c r="E4" s="577" t="s">
        <v>278</v>
      </c>
      <c r="F4" s="374" t="s">
        <v>80</v>
      </c>
      <c r="G4" s="374" t="s">
        <v>279</v>
      </c>
      <c r="H4" s="374" t="s">
        <v>88</v>
      </c>
      <c r="I4" s="374" t="s">
        <v>280</v>
      </c>
      <c r="J4" s="374" t="s">
        <v>341</v>
      </c>
      <c r="K4" s="385"/>
      <c r="L4" s="255"/>
      <c r="M4" s="255"/>
      <c r="N4" s="385"/>
      <c r="O4" s="385"/>
      <c r="P4" s="385"/>
      <c r="Q4" s="385"/>
      <c r="R4" s="385"/>
      <c r="S4" s="385"/>
      <c r="T4" s="385"/>
      <c r="U4" s="385"/>
      <c r="V4" s="385"/>
      <c r="W4" s="385"/>
      <c r="X4" s="385"/>
      <c r="Y4" s="255"/>
      <c r="Z4" s="255"/>
      <c r="AA4" s="255"/>
      <c r="AB4" s="255"/>
    </row>
    <row r="5" spans="1:28" ht="13.5">
      <c r="A5" s="471" t="s">
        <v>29</v>
      </c>
      <c r="B5" s="489">
        <f>'2nd IA Load Pricing Results'!B16</f>
        <v>65241.72648085382</v>
      </c>
      <c r="C5" s="469">
        <f>'BRA Resource Clearing Results'!E29-'1stIA Resource Clearing Results'!M31-'2ndIA Resource Clearing Results'!M31</f>
        <v>64621.799999999996</v>
      </c>
      <c r="D5" s="353">
        <f>'2nd IA Load Pricing Results'!H55+'2nd IA Load Pricing Results'!H57+D6+D7+D14</f>
        <v>993.1000414254528</v>
      </c>
      <c r="E5" s="490">
        <f>MAX(0,B5-C5-D5)</f>
        <v>0</v>
      </c>
      <c r="F5" s="491">
        <v>0</v>
      </c>
      <c r="G5" s="353">
        <f aca="true" t="shared" si="0" ref="G5:G14">E5-F5</f>
        <v>0</v>
      </c>
      <c r="H5" s="353">
        <f>'2nd IA ICTRs'!C20</f>
        <v>0</v>
      </c>
      <c r="I5" s="353">
        <f>'2nd IA ICTRs'!C12+'2nd IA ICTRs'!C18</f>
        <v>0</v>
      </c>
      <c r="J5" s="353">
        <f aca="true" t="shared" si="1" ref="J5:J14">G5-H5-I5</f>
        <v>0</v>
      </c>
      <c r="K5" s="492" t="s">
        <v>24</v>
      </c>
      <c r="L5" s="255"/>
      <c r="M5" s="255"/>
      <c r="N5" s="335"/>
      <c r="O5" s="335"/>
      <c r="P5" s="335"/>
      <c r="Q5" s="335"/>
      <c r="R5" s="335"/>
      <c r="S5" s="335"/>
      <c r="T5" s="335"/>
      <c r="U5" s="335"/>
      <c r="V5" s="335"/>
      <c r="W5" s="335"/>
      <c r="X5" s="335"/>
      <c r="Y5" s="255"/>
      <c r="Z5" s="255"/>
      <c r="AA5" s="255"/>
      <c r="AB5" s="255"/>
    </row>
    <row r="6" spans="1:28" ht="13.5">
      <c r="A6" s="471" t="s">
        <v>39</v>
      </c>
      <c r="B6" s="489">
        <f>'2nd IA Load Pricing Results'!B17</f>
        <v>35415.33554930327</v>
      </c>
      <c r="C6" s="469">
        <f>'BRA Resource Clearing Results'!E30-'1stIA Resource Clearing Results'!M32-'2ndIA Resource Clearing Results'!M32</f>
        <v>30843.600000000002</v>
      </c>
      <c r="D6" s="353">
        <f>'2nd IA Load Pricing Results'!H42+'2nd IA Load Pricing Results'!H54+'2nd IA Load Pricing Results'!H56+'2nd IA Load Pricing Results'!H61+D8+D9</f>
        <v>541.4393673610566</v>
      </c>
      <c r="E6" s="490">
        <f>B6-C6-D6</f>
        <v>4030.2961819422135</v>
      </c>
      <c r="F6" s="491">
        <v>0</v>
      </c>
      <c r="G6" s="493">
        <f t="shared" si="0"/>
        <v>4030.2961819422135</v>
      </c>
      <c r="H6" s="353">
        <v>0</v>
      </c>
      <c r="I6" s="353">
        <f>'2nd IA ICTRs'!D12</f>
        <v>898</v>
      </c>
      <c r="J6" s="493">
        <f t="shared" si="1"/>
        <v>3132.2961819422135</v>
      </c>
      <c r="K6" s="492" t="s">
        <v>24</v>
      </c>
      <c r="L6" s="255"/>
      <c r="M6" s="255"/>
      <c r="N6" s="335" t="s">
        <v>24</v>
      </c>
      <c r="O6" s="335"/>
      <c r="P6" s="335"/>
      <c r="Q6" s="335"/>
      <c r="R6" s="335"/>
      <c r="S6" s="335"/>
      <c r="T6" s="335"/>
      <c r="U6" s="335"/>
      <c r="V6" s="335"/>
      <c r="W6" s="335"/>
      <c r="X6" s="335"/>
      <c r="Y6" s="255"/>
      <c r="Z6" s="255"/>
      <c r="AA6" s="255"/>
      <c r="AB6" s="255"/>
    </row>
    <row r="7" spans="1:28" ht="13.5">
      <c r="A7" s="471" t="s">
        <v>5</v>
      </c>
      <c r="B7" s="489">
        <f>'2nd IA Load Pricing Results'!B18</f>
        <v>15061.214431213622</v>
      </c>
      <c r="C7" s="469">
        <f>'BRA Resource Clearing Results'!E31-'1stIA Resource Clearing Results'!M33-'2ndIA Resource Clearing Results'!M33</f>
        <v>10974.000000000002</v>
      </c>
      <c r="D7" s="353">
        <f>D10+D13</f>
        <v>228.9250248004032</v>
      </c>
      <c r="E7" s="490">
        <f>B7-C7-D7</f>
        <v>3858.2894064132174</v>
      </c>
      <c r="F7" s="491">
        <v>0</v>
      </c>
      <c r="G7" s="493">
        <f t="shared" si="0"/>
        <v>3858.2894064132174</v>
      </c>
      <c r="H7" s="353">
        <v>0</v>
      </c>
      <c r="I7" s="353">
        <f>'2nd IA ICTRs'!E14</f>
        <v>237</v>
      </c>
      <c r="J7" s="493">
        <f t="shared" si="1"/>
        <v>3621.2894064132174</v>
      </c>
      <c r="K7" s="492" t="s">
        <v>24</v>
      </c>
      <c r="L7" s="255"/>
      <c r="M7" s="255"/>
      <c r="N7" s="335"/>
      <c r="O7" s="335"/>
      <c r="P7" s="335"/>
      <c r="Q7" s="335"/>
      <c r="R7" s="335"/>
      <c r="S7" s="335"/>
      <c r="T7" s="335"/>
      <c r="U7" s="335"/>
      <c r="V7" s="335"/>
      <c r="W7" s="335"/>
      <c r="X7" s="335"/>
      <c r="Y7" s="255"/>
      <c r="Z7" s="255"/>
      <c r="AA7" s="255"/>
      <c r="AB7" s="255"/>
    </row>
    <row r="8" spans="1:28" ht="13.5">
      <c r="A8" s="471" t="s">
        <v>46</v>
      </c>
      <c r="B8" s="489">
        <f>'2nd IA Load Pricing Results'!K60</f>
        <v>11295.937098013199</v>
      </c>
      <c r="C8" s="469">
        <f>'2nd IA Load Pricing Results'!C30</f>
        <v>5895</v>
      </c>
      <c r="D8" s="353">
        <f>'2nd IA Load Pricing Results'!H60</f>
        <v>171.43587795295198</v>
      </c>
      <c r="E8" s="494">
        <f>B8-C8-D8-2.01194737661058</f>
        <v>5227.489272683636</v>
      </c>
      <c r="F8" s="491">
        <v>0</v>
      </c>
      <c r="G8" s="493">
        <f t="shared" si="0"/>
        <v>5227.489272683636</v>
      </c>
      <c r="H8" s="353">
        <v>0</v>
      </c>
      <c r="I8" s="353">
        <f>('2nd IA ICTRs'!C96+'2nd IA ICTRs'!C97)/L19</f>
        <v>502.3370732434942</v>
      </c>
      <c r="J8" s="493">
        <f t="shared" si="1"/>
        <v>4725.152199440142</v>
      </c>
      <c r="K8" s="492" t="s">
        <v>24</v>
      </c>
      <c r="L8" s="255"/>
      <c r="M8" s="255"/>
      <c r="N8" s="335"/>
      <c r="O8" s="335"/>
      <c r="P8" s="335"/>
      <c r="Q8" s="335"/>
      <c r="R8" s="335"/>
      <c r="S8" s="335"/>
      <c r="T8" s="335"/>
      <c r="U8" s="335"/>
      <c r="V8" s="335"/>
      <c r="W8" s="335"/>
      <c r="X8" s="335"/>
      <c r="Y8" s="255"/>
      <c r="Z8" s="255"/>
      <c r="AA8" s="255"/>
      <c r="AB8" s="255"/>
    </row>
    <row r="9" spans="1:28" ht="13.5">
      <c r="A9" s="471" t="s">
        <v>44</v>
      </c>
      <c r="B9" s="489">
        <f>'2nd IA Load Pricing Results'!K52</f>
        <v>4476.480218318749</v>
      </c>
      <c r="C9" s="469">
        <f>'2nd IA Load Pricing Results'!C33</f>
        <v>5557.0999999999985</v>
      </c>
      <c r="D9" s="353">
        <f>'2nd IA Load Pricing Results'!H52</f>
        <v>68.50885514375847</v>
      </c>
      <c r="E9" s="490">
        <f>MAX(0,B9-C9-D9)</f>
        <v>0</v>
      </c>
      <c r="F9" s="491">
        <v>0</v>
      </c>
      <c r="G9" s="394">
        <f t="shared" si="0"/>
        <v>0</v>
      </c>
      <c r="H9" s="353">
        <f>'1st IA ICTRs'!I23</f>
        <v>0</v>
      </c>
      <c r="I9" s="353">
        <v>0</v>
      </c>
      <c r="J9" s="394">
        <f t="shared" si="1"/>
        <v>0</v>
      </c>
      <c r="K9" s="492" t="s">
        <v>24</v>
      </c>
      <c r="L9" s="255"/>
      <c r="M9" s="255"/>
      <c r="N9" s="335"/>
      <c r="O9" s="335"/>
      <c r="P9" s="335"/>
      <c r="Q9" s="335"/>
      <c r="R9" s="335"/>
      <c r="S9" s="335"/>
      <c r="T9" s="335"/>
      <c r="U9" s="335"/>
      <c r="V9" s="335"/>
      <c r="W9" s="335"/>
      <c r="X9" s="335"/>
      <c r="Y9" s="255"/>
      <c r="Z9" s="255"/>
      <c r="AA9" s="255"/>
      <c r="AB9" s="255"/>
    </row>
    <row r="10" spans="1:28" ht="13.5">
      <c r="A10" s="471" t="s">
        <v>15</v>
      </c>
      <c r="B10" s="489">
        <f>'2nd IA Load Pricing Results'!B19</f>
        <v>7308.654830404778</v>
      </c>
      <c r="C10" s="469">
        <f>'BRA Resource Clearing Results'!E35-'1stIA Resource Clearing Results'!M37-'2ndIA Resource Clearing Results'!M37</f>
        <v>5863.2</v>
      </c>
      <c r="D10" s="353">
        <f>'2nd IA Load Pricing Results'!H58</f>
        <v>110.18070895371672</v>
      </c>
      <c r="E10" s="490">
        <f>B10-C10-D10</f>
        <v>1335.2741214510618</v>
      </c>
      <c r="F10" s="491">
        <v>0</v>
      </c>
      <c r="G10" s="353">
        <f t="shared" si="0"/>
        <v>1335.2741214510618</v>
      </c>
      <c r="H10" s="353">
        <v>0</v>
      </c>
      <c r="I10" s="353">
        <f>'2nd IA ICTRs'!K12+'2nd IA ICTRs'!K18</f>
        <v>0</v>
      </c>
      <c r="J10" s="493">
        <f t="shared" si="1"/>
        <v>1335.2741214510618</v>
      </c>
      <c r="K10" s="492" t="s">
        <v>24</v>
      </c>
      <c r="L10" s="255"/>
      <c r="M10" s="255"/>
      <c r="N10" s="335"/>
      <c r="O10" s="335"/>
      <c r="P10" s="335"/>
      <c r="Q10" s="335"/>
      <c r="R10" s="335"/>
      <c r="S10" s="335"/>
      <c r="T10" s="335"/>
      <c r="U10" s="335"/>
      <c r="V10" s="335"/>
      <c r="W10" s="335"/>
      <c r="X10" s="335"/>
      <c r="Y10" s="255"/>
      <c r="Z10" s="255"/>
      <c r="AA10" s="255"/>
      <c r="AB10" s="255"/>
    </row>
    <row r="11" spans="1:28" ht="13.5">
      <c r="A11" s="471" t="s">
        <v>49</v>
      </c>
      <c r="B11" s="489">
        <f>'2nd IA Load Pricing Results'!K45</f>
        <v>14395.203817047668</v>
      </c>
      <c r="C11" s="469">
        <f>'2nd IA Load Pricing Results'!C36</f>
        <v>8328.7</v>
      </c>
      <c r="D11" s="353">
        <f>'2nd IA Load Pricing Results'!H45</f>
        <v>214.22116439908987</v>
      </c>
      <c r="E11" s="494">
        <f>B11-C11-D11</f>
        <v>5852.282652648578</v>
      </c>
      <c r="F11" s="491">
        <v>0</v>
      </c>
      <c r="G11" s="353">
        <f t="shared" si="0"/>
        <v>5852.282652648578</v>
      </c>
      <c r="H11" s="353">
        <v>0</v>
      </c>
      <c r="I11" s="353">
        <v>0</v>
      </c>
      <c r="J11" s="493">
        <f t="shared" si="1"/>
        <v>5852.282652648578</v>
      </c>
      <c r="K11" s="492" t="s">
        <v>24</v>
      </c>
      <c r="L11" s="255"/>
      <c r="M11" s="255"/>
      <c r="N11" s="335"/>
      <c r="O11" s="335"/>
      <c r="P11" s="335"/>
      <c r="Q11" s="335"/>
      <c r="R11" s="335"/>
      <c r="S11" s="335"/>
      <c r="T11" s="335"/>
      <c r="U11" s="335"/>
      <c r="V11" s="335"/>
      <c r="W11" s="335"/>
      <c r="X11" s="335"/>
      <c r="Y11" s="255"/>
      <c r="Z11" s="255"/>
      <c r="AA11" s="255"/>
      <c r="AB11" s="255"/>
    </row>
    <row r="12" spans="1:28" ht="13.5">
      <c r="A12" s="471" t="s">
        <v>20</v>
      </c>
      <c r="B12" s="489">
        <f>'2nd IA Load Pricing Results'!B20</f>
        <v>24365.3256484031</v>
      </c>
      <c r="C12" s="469">
        <f>'BRA Resource Clearing Results'!E38-'1stIA Resource Clearing Results'!M40-'2ndIA Resource Clearing Results'!M40</f>
        <v>22080.100000000006</v>
      </c>
      <c r="D12" s="353">
        <f>'2nd IA Load Pricing Results'!H47</f>
        <v>377.72378396457424</v>
      </c>
      <c r="E12" s="490">
        <f>B12-C12-D12</f>
        <v>1907.5018644385207</v>
      </c>
      <c r="F12" s="491">
        <v>0</v>
      </c>
      <c r="G12" s="353">
        <f t="shared" si="0"/>
        <v>1907.5018644385207</v>
      </c>
      <c r="H12" s="353">
        <v>0</v>
      </c>
      <c r="I12" s="353">
        <v>0</v>
      </c>
      <c r="J12" s="493">
        <f t="shared" si="1"/>
        <v>1907.5018644385207</v>
      </c>
      <c r="K12" s="492" t="s">
        <v>24</v>
      </c>
      <c r="L12" s="255"/>
      <c r="M12" s="255"/>
      <c r="N12" s="335"/>
      <c r="O12" s="335"/>
      <c r="P12" s="335"/>
      <c r="Q12" s="335"/>
      <c r="R12" s="335"/>
      <c r="S12" s="335"/>
      <c r="T12" s="335"/>
      <c r="U12" s="335"/>
      <c r="V12" s="335"/>
      <c r="W12" s="335"/>
      <c r="X12" s="335"/>
      <c r="Y12" s="255"/>
      <c r="Z12" s="255"/>
      <c r="AA12" s="255"/>
      <c r="AB12" s="255"/>
    </row>
    <row r="13" spans="1:28" ht="13.5">
      <c r="A13" s="471" t="s">
        <v>11</v>
      </c>
      <c r="B13" s="489">
        <f>'2nd IA Load Pricing Results'!B21</f>
        <v>7752.559600808843</v>
      </c>
      <c r="C13" s="469">
        <f>'BRA Resource Clearing Results'!E39-'1stIA Resource Clearing Results'!M41-'2ndIA Resource Clearing Results'!M41</f>
        <v>3299.7999999999997</v>
      </c>
      <c r="D13" s="353">
        <f>'2nd IA Load Pricing Results'!H46</f>
        <v>118.7443158466865</v>
      </c>
      <c r="E13" s="494">
        <f>B13-C13-D13</f>
        <v>4334.015284962157</v>
      </c>
      <c r="F13" s="491">
        <v>0</v>
      </c>
      <c r="G13" s="353">
        <f t="shared" si="0"/>
        <v>4334.015284962157</v>
      </c>
      <c r="H13" s="353">
        <v>0</v>
      </c>
      <c r="I13" s="353">
        <f>'2nd IA ICTRs'!L12+'2nd IA ICTRs'!L18</f>
        <v>306</v>
      </c>
      <c r="J13" s="493">
        <f t="shared" si="1"/>
        <v>4028.0152849621572</v>
      </c>
      <c r="K13" s="492" t="s">
        <v>24</v>
      </c>
      <c r="L13" s="255"/>
      <c r="M13" s="255"/>
      <c r="N13" s="335"/>
      <c r="O13" s="335"/>
      <c r="P13" s="335"/>
      <c r="Q13" s="335"/>
      <c r="R13" s="335"/>
      <c r="S13" s="335"/>
      <c r="T13" s="335"/>
      <c r="U13" s="335"/>
      <c r="V13" s="335"/>
      <c r="W13" s="335"/>
      <c r="X13" s="335"/>
      <c r="Y13" s="255"/>
      <c r="Z13" s="255"/>
      <c r="AA13" s="255"/>
      <c r="AB13" s="255"/>
    </row>
    <row r="14" spans="1:28" ht="13.5">
      <c r="A14" s="471" t="s">
        <v>10</v>
      </c>
      <c r="B14" s="489">
        <f>'2nd IA Load Pricing Results'!B22</f>
        <v>8266.122841885903</v>
      </c>
      <c r="C14" s="469">
        <f>'BRA Resource Clearing Results'!E40-'1stIA Resource Clearing Results'!M42-'2ndIA Resource Clearing Results'!M42</f>
        <v>8703.599999999999</v>
      </c>
      <c r="D14" s="353">
        <f>'2nd IA Load Pricing Results'!H59</f>
        <v>123.08342832591596</v>
      </c>
      <c r="E14" s="490">
        <f>MAX(0,B14-C14-D14)</f>
        <v>0</v>
      </c>
      <c r="F14" s="491">
        <v>0</v>
      </c>
      <c r="G14" s="353">
        <f t="shared" si="0"/>
        <v>0</v>
      </c>
      <c r="H14" s="353">
        <v>0</v>
      </c>
      <c r="I14" s="353">
        <v>0</v>
      </c>
      <c r="J14" s="394">
        <f t="shared" si="1"/>
        <v>0</v>
      </c>
      <c r="K14" s="492" t="s">
        <v>24</v>
      </c>
      <c r="L14" s="255"/>
      <c r="M14" s="255"/>
      <c r="N14" s="335"/>
      <c r="O14" s="335"/>
      <c r="P14" s="335"/>
      <c r="Q14" s="335"/>
      <c r="R14" s="335"/>
      <c r="S14" s="335"/>
      <c r="T14" s="335"/>
      <c r="U14" s="335"/>
      <c r="V14" s="335"/>
      <c r="W14" s="335"/>
      <c r="X14" s="335"/>
      <c r="Y14" s="255"/>
      <c r="Z14" s="255"/>
      <c r="AA14" s="255"/>
      <c r="AB14" s="255"/>
    </row>
    <row r="15" spans="1:28" ht="13.5">
      <c r="A15" s="255" t="s">
        <v>281</v>
      </c>
      <c r="B15" s="318"/>
      <c r="C15" s="318"/>
      <c r="D15" s="361"/>
      <c r="E15" s="336"/>
      <c r="F15" s="361"/>
      <c r="G15" s="362"/>
      <c r="H15" s="413"/>
      <c r="I15" s="362"/>
      <c r="J15" s="342"/>
      <c r="K15" s="397"/>
      <c r="L15" s="255"/>
      <c r="M15" s="255"/>
      <c r="N15" s="335"/>
      <c r="O15" s="335"/>
      <c r="P15" s="335"/>
      <c r="Q15" s="335"/>
      <c r="R15" s="335"/>
      <c r="S15" s="335"/>
      <c r="T15" s="335"/>
      <c r="U15" s="335"/>
      <c r="V15" s="335"/>
      <c r="W15" s="335"/>
      <c r="X15" s="335"/>
      <c r="Y15" s="255"/>
      <c r="Z15" s="255"/>
      <c r="AA15" s="255"/>
      <c r="AB15" s="255"/>
    </row>
    <row r="16" spans="1:28" ht="13.5">
      <c r="A16" s="288"/>
      <c r="B16" s="318"/>
      <c r="C16" s="318"/>
      <c r="D16" s="361"/>
      <c r="E16" s="318"/>
      <c r="F16" s="361"/>
      <c r="G16" s="362"/>
      <c r="H16" s="413"/>
      <c r="I16" s="362"/>
      <c r="J16" s="342"/>
      <c r="K16" s="397"/>
      <c r="L16" s="255"/>
      <c r="M16" s="255"/>
      <c r="N16" s="335"/>
      <c r="O16" s="335"/>
      <c r="P16" s="335"/>
      <c r="Q16" s="335"/>
      <c r="R16" s="335"/>
      <c r="S16" s="335"/>
      <c r="T16" s="335"/>
      <c r="U16" s="335"/>
      <c r="V16" s="335"/>
      <c r="W16" s="335"/>
      <c r="X16" s="335"/>
      <c r="Y16" s="255"/>
      <c r="Z16" s="255"/>
      <c r="AA16" s="255"/>
      <c r="AB16" s="255"/>
    </row>
    <row r="17" spans="1:28" ht="14.25">
      <c r="A17" s="695" t="s">
        <v>106</v>
      </c>
      <c r="B17" s="695"/>
      <c r="C17" s="695"/>
      <c r="D17" s="695"/>
      <c r="E17" s="495"/>
      <c r="F17" s="308"/>
      <c r="G17" s="308"/>
      <c r="H17" s="308"/>
      <c r="I17" s="308"/>
      <c r="J17" s="308"/>
      <c r="K17" s="308"/>
      <c r="L17" s="308"/>
      <c r="M17" s="308"/>
      <c r="N17" s="308"/>
      <c r="O17" s="308"/>
      <c r="P17" s="308"/>
      <c r="Q17" s="308"/>
      <c r="R17" s="308"/>
      <c r="S17" s="308"/>
      <c r="T17" s="308"/>
      <c r="U17" s="308"/>
      <c r="V17" s="308"/>
      <c r="W17" s="308"/>
      <c r="X17" s="308"/>
      <c r="Y17" s="308"/>
      <c r="Z17" s="255"/>
      <c r="AA17" s="255"/>
      <c r="AB17" s="255"/>
    </row>
    <row r="18" spans="1:28" ht="14.25">
      <c r="A18" s="695"/>
      <c r="B18" s="695"/>
      <c r="C18" s="695"/>
      <c r="D18" s="695"/>
      <c r="E18" s="693" t="s">
        <v>29</v>
      </c>
      <c r="F18" s="693"/>
      <c r="G18" s="693" t="s">
        <v>39</v>
      </c>
      <c r="H18" s="693"/>
      <c r="I18" s="693" t="s">
        <v>5</v>
      </c>
      <c r="J18" s="693"/>
      <c r="K18" s="693" t="s">
        <v>46</v>
      </c>
      <c r="L18" s="693"/>
      <c r="M18" s="693" t="s">
        <v>44</v>
      </c>
      <c r="N18" s="693"/>
      <c r="O18" s="693" t="s">
        <v>15</v>
      </c>
      <c r="P18" s="693"/>
      <c r="Q18" s="693" t="s">
        <v>158</v>
      </c>
      <c r="R18" s="693"/>
      <c r="S18" s="693" t="s">
        <v>20</v>
      </c>
      <c r="T18" s="693"/>
      <c r="U18" s="693" t="s">
        <v>11</v>
      </c>
      <c r="V18" s="693"/>
      <c r="W18" s="693" t="s">
        <v>10</v>
      </c>
      <c r="X18" s="693"/>
      <c r="Y18" s="308"/>
      <c r="Z18" s="308"/>
      <c r="AA18" s="308"/>
      <c r="AB18" s="255"/>
    </row>
    <row r="19" spans="1:28" ht="42.75">
      <c r="A19" s="696"/>
      <c r="B19" s="696"/>
      <c r="C19" s="696"/>
      <c r="D19" s="696"/>
      <c r="E19" s="496" t="s">
        <v>282</v>
      </c>
      <c r="F19" s="497">
        <f>'2nd IA Load Pricing Results'!D16</f>
        <v>0</v>
      </c>
      <c r="G19" s="496" t="s">
        <v>282</v>
      </c>
      <c r="H19" s="497">
        <f>'2nd IA Load Pricing Results'!D17-'2nd IA Load Pricing Results'!D16</f>
        <v>0</v>
      </c>
      <c r="I19" s="496" t="s">
        <v>282</v>
      </c>
      <c r="J19" s="498">
        <f>'2nd IA Load Pricing Results'!D18-'2nd IA Load Pricing Results'!D16</f>
        <v>0</v>
      </c>
      <c r="K19" s="496" t="s">
        <v>282</v>
      </c>
      <c r="L19" s="497">
        <f>'2nd IA Load Pricing Results'!D30</f>
        <v>94.43586955046648</v>
      </c>
      <c r="M19" s="496" t="s">
        <v>282</v>
      </c>
      <c r="N19" s="497">
        <f>'2nd IA Load Pricing Results'!D33</f>
        <v>0</v>
      </c>
      <c r="O19" s="496" t="s">
        <v>282</v>
      </c>
      <c r="P19" s="498">
        <f>'2nd IA Load Pricing Results'!D19-'2nd IA Load Pricing Results'!D18</f>
        <v>0</v>
      </c>
      <c r="Q19" s="496" t="s">
        <v>282</v>
      </c>
      <c r="R19" s="498">
        <f>'2nd IA Load Pricing Results'!D36</f>
        <v>0</v>
      </c>
      <c r="S19" s="496" t="s">
        <v>282</v>
      </c>
      <c r="T19" s="498">
        <f>'2nd IA Load Pricing Results'!D20</f>
        <v>0</v>
      </c>
      <c r="U19" s="496" t="s">
        <v>282</v>
      </c>
      <c r="V19" s="498">
        <f>'2nd IA Load Pricing Results'!D21-'2nd IA Load Pricing Results'!D18</f>
        <v>0</v>
      </c>
      <c r="W19" s="496" t="s">
        <v>282</v>
      </c>
      <c r="X19" s="498">
        <f>'2nd IA Load Pricing Results'!D22-'2nd IA Load Pricing Results'!D16</f>
        <v>0</v>
      </c>
      <c r="Y19" s="308"/>
      <c r="Z19" s="308"/>
      <c r="AA19" s="308"/>
      <c r="AB19" s="255"/>
    </row>
    <row r="20" spans="1:28" ht="69">
      <c r="A20" s="499" t="s">
        <v>7</v>
      </c>
      <c r="B20" s="461" t="s">
        <v>28</v>
      </c>
      <c r="C20" s="461" t="s">
        <v>27</v>
      </c>
      <c r="D20" s="461" t="s">
        <v>34</v>
      </c>
      <c r="E20" s="461" t="s">
        <v>342</v>
      </c>
      <c r="F20" s="461" t="s">
        <v>343</v>
      </c>
      <c r="G20" s="461" t="s">
        <v>342</v>
      </c>
      <c r="H20" s="461" t="s">
        <v>343</v>
      </c>
      <c r="I20" s="461" t="s">
        <v>342</v>
      </c>
      <c r="J20" s="461" t="s">
        <v>343</v>
      </c>
      <c r="K20" s="461" t="s">
        <v>342</v>
      </c>
      <c r="L20" s="461" t="s">
        <v>343</v>
      </c>
      <c r="M20" s="461" t="s">
        <v>342</v>
      </c>
      <c r="N20" s="461" t="s">
        <v>343</v>
      </c>
      <c r="O20" s="461" t="s">
        <v>342</v>
      </c>
      <c r="P20" s="461" t="s">
        <v>343</v>
      </c>
      <c r="Q20" s="461" t="s">
        <v>342</v>
      </c>
      <c r="R20" s="461" t="s">
        <v>343</v>
      </c>
      <c r="S20" s="461" t="s">
        <v>342</v>
      </c>
      <c r="T20" s="461" t="s">
        <v>343</v>
      </c>
      <c r="U20" s="461" t="s">
        <v>342</v>
      </c>
      <c r="V20" s="461" t="s">
        <v>343</v>
      </c>
      <c r="W20" s="461" t="s">
        <v>342</v>
      </c>
      <c r="X20" s="461" t="s">
        <v>343</v>
      </c>
      <c r="Y20" s="461" t="s">
        <v>283</v>
      </c>
      <c r="Z20" s="461" t="s">
        <v>344</v>
      </c>
      <c r="AA20" s="461" t="s">
        <v>284</v>
      </c>
      <c r="AB20" s="461" t="s">
        <v>285</v>
      </c>
    </row>
    <row r="21" spans="1:28" ht="13.5">
      <c r="A21" s="333" t="s">
        <v>16</v>
      </c>
      <c r="B21" s="464" t="s">
        <v>29</v>
      </c>
      <c r="C21" s="464" t="s">
        <v>39</v>
      </c>
      <c r="D21" s="464"/>
      <c r="E21" s="500">
        <f>IF(B21="MAAC",$J$5*'2nd IA Load Pricing Results'!K42/'2nd IA Load Pricing Results'!$B$16,0)</f>
        <v>0</v>
      </c>
      <c r="F21" s="501">
        <f>E21*$F$19</f>
        <v>0</v>
      </c>
      <c r="G21" s="500">
        <f>IF(C21="EMAAC",$J$6*'2nd IA Load Pricing Results'!K42/'2nd IA Load Pricing Results'!$B$17,0)</f>
        <v>249.4805996253411</v>
      </c>
      <c r="H21" s="501">
        <f>G21*$H$19</f>
        <v>0</v>
      </c>
      <c r="I21" s="500">
        <f>IF(C21="SWMAAC",$J$7*'2nd IA Load Pricing Results'!K42/'2nd IA Load Pricing Results'!$B$18,0)</f>
        <v>0</v>
      </c>
      <c r="J21" s="501">
        <f>I21*$J$19</f>
        <v>0</v>
      </c>
      <c r="K21" s="500">
        <f>IF(D21="PS",$J$8*'2nd IA Load Pricing Results'!K42/'2nd IA Load Pricing Results'!$K$60,0)</f>
        <v>0</v>
      </c>
      <c r="L21" s="501">
        <f>K21*$L$19</f>
        <v>0</v>
      </c>
      <c r="M21" s="500">
        <f>IF(D21="DPL",$J$9*'2nd IA Load Pricing Results'!K42/'2nd IA Load Pricing Results'!$K$52,0)</f>
        <v>0</v>
      </c>
      <c r="N21" s="501">
        <f>M21*$N$19</f>
        <v>0</v>
      </c>
      <c r="O21" s="500">
        <f>IF(D21="PEPCO",$J$10*'2nd IA Load Pricing Results'!K42/'2nd IA Load Pricing Results'!$K$58,0)</f>
        <v>0</v>
      </c>
      <c r="P21" s="501">
        <f>O21*$P$19</f>
        <v>0</v>
      </c>
      <c r="Q21" s="500">
        <f>IF(D21="ATSI",$J$11*'2nd IA Load Pricing Results'!K42/'2nd IA Load Pricing Results'!$K$45,0)</f>
        <v>0</v>
      </c>
      <c r="R21" s="501">
        <f>Q21*$R$19</f>
        <v>0</v>
      </c>
      <c r="S21" s="500">
        <f>IF(D21="COMED",$J$12*'2nd IA Load Pricing Results'!K42/'2nd IA Load Pricing Results'!$K$47,0)</f>
        <v>0</v>
      </c>
      <c r="T21" s="501">
        <f>S21*$T$19</f>
        <v>0</v>
      </c>
      <c r="U21" s="500">
        <f>IF(D21="BGE",$J$13*'2nd IA Load Pricing Results'!K42/'2nd IA Load Pricing Results'!$K$46,0)</f>
        <v>0</v>
      </c>
      <c r="V21" s="501">
        <f>U21*$V$19</f>
        <v>0</v>
      </c>
      <c r="W21" s="500">
        <f>IF(D21="PL",$J$14*'2nd IA Load Pricing Results'!K42/'2nd IA Load Pricing Results'!$K$59,0)</f>
        <v>0</v>
      </c>
      <c r="X21" s="501">
        <f>W21*$X$19</f>
        <v>0</v>
      </c>
      <c r="Y21" s="353">
        <f>MAX(E21,G21,I21,K21,M21,O21,Q21,S21,U21,W21)</f>
        <v>249.4805996253411</v>
      </c>
      <c r="Z21" s="328">
        <f>F21+H21+J21+L21+N21+P21+R21+T21+V21+X21</f>
        <v>0</v>
      </c>
      <c r="AA21" s="328">
        <f>Z21/'2nd IA Load Pricing Results'!K42</f>
        <v>0</v>
      </c>
      <c r="AB21" s="328">
        <f>IF(Y21=0,0,Z21/Y21)</f>
        <v>0</v>
      </c>
    </row>
    <row r="22" spans="1:28" ht="13.5">
      <c r="A22" s="333" t="s">
        <v>31</v>
      </c>
      <c r="B22" s="464"/>
      <c r="C22" s="464"/>
      <c r="D22" s="464"/>
      <c r="E22" s="500">
        <f>IF(B22="MAAC",$J$5*'2nd IA Load Pricing Results'!K43/'2nd IA Load Pricing Results'!$B$16,0)</f>
        <v>0</v>
      </c>
      <c r="F22" s="501">
        <f>E22*$F$19</f>
        <v>0</v>
      </c>
      <c r="G22" s="500">
        <f>IF(C22="EMAAC",$J$6*'2nd IA Load Pricing Results'!K43/'2nd IA Load Pricing Results'!$B$17,0)</f>
        <v>0</v>
      </c>
      <c r="H22" s="501">
        <f>G22*$H$19</f>
        <v>0</v>
      </c>
      <c r="I22" s="500">
        <f>IF(C22="SWMAAC",$J$7*'2nd IA Load Pricing Results'!K43/'2nd IA Load Pricing Results'!$B$18,0)</f>
        <v>0</v>
      </c>
      <c r="J22" s="501">
        <f>I22*$J$19</f>
        <v>0</v>
      </c>
      <c r="K22" s="500">
        <f>IF(D22="PS",$J$8*'2nd IA Load Pricing Results'!K43/'2nd IA Load Pricing Results'!$K$60,0)</f>
        <v>0</v>
      </c>
      <c r="L22" s="501">
        <f>K22*$L$19</f>
        <v>0</v>
      </c>
      <c r="M22" s="500">
        <f>IF(D22="DPL",$J$9*'2nd IA Load Pricing Results'!K43/'2nd IA Load Pricing Results'!$K$52,0)</f>
        <v>0</v>
      </c>
      <c r="N22" s="501">
        <f aca="true" t="shared" si="2" ref="N22:N40">M22*$N$19</f>
        <v>0</v>
      </c>
      <c r="O22" s="500">
        <f>IF(D22="PEPCO",$J$10*'2nd IA Load Pricing Results'!K43/'2nd IA Load Pricing Results'!$K$58,0)</f>
        <v>0</v>
      </c>
      <c r="P22" s="501">
        <f>O22*$P$19</f>
        <v>0</v>
      </c>
      <c r="Q22" s="500">
        <f>IF(D22="ATSI",$J$11*'2nd IA Load Pricing Results'!K43/'2nd IA Load Pricing Results'!$K$45,0)</f>
        <v>0</v>
      </c>
      <c r="R22" s="501">
        <f>Q22*$R$19</f>
        <v>0</v>
      </c>
      <c r="S22" s="500">
        <f>IF(D22="COMED",$J$12*'2nd IA Load Pricing Results'!K43/'2nd IA Load Pricing Results'!$K$47,0)</f>
        <v>0</v>
      </c>
      <c r="T22" s="501">
        <f aca="true" t="shared" si="3" ref="T22:T40">S22*$T$19</f>
        <v>0</v>
      </c>
      <c r="U22" s="500">
        <f>IF(D22="BGE",$J$13*'2nd IA Load Pricing Results'!K43/'2nd IA Load Pricing Results'!$K$46,0)</f>
        <v>0</v>
      </c>
      <c r="V22" s="501">
        <f aca="true" t="shared" si="4" ref="V22:V40">U22*$V$19</f>
        <v>0</v>
      </c>
      <c r="W22" s="500">
        <f>IF(D22="PL",$J$14*'2nd IA Load Pricing Results'!K43/'2nd IA Load Pricing Results'!$K$59,0)</f>
        <v>0</v>
      </c>
      <c r="X22" s="501">
        <f aca="true" t="shared" si="5" ref="X22:X40">W22*$X$19</f>
        <v>0</v>
      </c>
      <c r="Y22" s="353">
        <f aca="true" t="shared" si="6" ref="Y22:Y40">MAX(E22,G22,I22,K22,M22,O22,Q22,S22,U22,W22)</f>
        <v>0</v>
      </c>
      <c r="Z22" s="328">
        <f aca="true" t="shared" si="7" ref="Z22:Z40">F22+H22+J22+L22+N22+P22+R22+T22+V22+X22</f>
        <v>0</v>
      </c>
      <c r="AA22" s="328">
        <f>Z22/'2nd IA Load Pricing Results'!K43</f>
        <v>0</v>
      </c>
      <c r="AB22" s="328">
        <f>IF(Y22=0,0,Z22/Y22)</f>
        <v>0</v>
      </c>
    </row>
    <row r="23" spans="1:28" ht="13.5">
      <c r="A23" s="333" t="s">
        <v>19</v>
      </c>
      <c r="B23" s="464" t="s">
        <v>24</v>
      </c>
      <c r="C23" s="464"/>
      <c r="D23" s="464"/>
      <c r="E23" s="500">
        <f>IF(B23="MAAC",$J$5*'2nd IA Load Pricing Results'!K44/'2nd IA Load Pricing Results'!$B$16,0)</f>
        <v>0</v>
      </c>
      <c r="F23" s="501">
        <f aca="true" t="shared" si="8" ref="F23:F40">E23*$F$19</f>
        <v>0</v>
      </c>
      <c r="G23" s="500">
        <f>IF(C23="EMAAC",$J$6*'2nd IA Load Pricing Results'!K44/'2nd IA Load Pricing Results'!$B$17,0)</f>
        <v>0</v>
      </c>
      <c r="H23" s="501">
        <f aca="true" t="shared" si="9" ref="H23:H40">G23*$H$19</f>
        <v>0</v>
      </c>
      <c r="I23" s="500">
        <f>IF(C23="SWMAAC",$J$7*'2nd IA Load Pricing Results'!K44/'2nd IA Load Pricing Results'!$B$18,0)</f>
        <v>0</v>
      </c>
      <c r="J23" s="501">
        <f>I23*$J$19</f>
        <v>0</v>
      </c>
      <c r="K23" s="500">
        <f>IF(D23="PS",$J$8*'2nd IA Load Pricing Results'!K44/'2nd IA Load Pricing Results'!$K$60,0)</f>
        <v>0</v>
      </c>
      <c r="L23" s="501">
        <f>K23*$L$19</f>
        <v>0</v>
      </c>
      <c r="M23" s="500">
        <f>IF(D23="DPL",$J$9*'2nd IA Load Pricing Results'!K44/'2nd IA Load Pricing Results'!$K$52,0)</f>
        <v>0</v>
      </c>
      <c r="N23" s="501">
        <f t="shared" si="2"/>
        <v>0</v>
      </c>
      <c r="O23" s="500">
        <f>IF(D23="PEPCO",$J$10*'2nd IA Load Pricing Results'!K44/'2nd IA Load Pricing Results'!$K$58,0)</f>
        <v>0</v>
      </c>
      <c r="P23" s="501">
        <f aca="true" t="shared" si="10" ref="P23:P36">O23*$P$19</f>
        <v>0</v>
      </c>
      <c r="Q23" s="500">
        <f>IF(D23="ATSI",$J$11*'2nd IA Load Pricing Results'!K44/'2nd IA Load Pricing Results'!$K$45,0)</f>
        <v>0</v>
      </c>
      <c r="R23" s="501">
        <f aca="true" t="shared" si="11" ref="R23:R40">Q23*$R$19</f>
        <v>0</v>
      </c>
      <c r="S23" s="500">
        <f>IF(D23="COMED",$J$12*'2nd IA Load Pricing Results'!K44/'2nd IA Load Pricing Results'!$K$47,0)</f>
        <v>0</v>
      </c>
      <c r="T23" s="501">
        <f t="shared" si="3"/>
        <v>0</v>
      </c>
      <c r="U23" s="500">
        <f>IF(D23="BGE",$J$13*'2nd IA Load Pricing Results'!K44/'2nd IA Load Pricing Results'!$K$46,0)</f>
        <v>0</v>
      </c>
      <c r="V23" s="501">
        <f t="shared" si="4"/>
        <v>0</v>
      </c>
      <c r="W23" s="500">
        <f>IF(D23="PL",$J$14*'2nd IA Load Pricing Results'!K44/'2nd IA Load Pricing Results'!$K$59,0)</f>
        <v>0</v>
      </c>
      <c r="X23" s="501">
        <f t="shared" si="5"/>
        <v>0</v>
      </c>
      <c r="Y23" s="353">
        <f t="shared" si="6"/>
        <v>0</v>
      </c>
      <c r="Z23" s="328">
        <f t="shared" si="7"/>
        <v>0</v>
      </c>
      <c r="AA23" s="328">
        <f>Z23/'2nd IA Load Pricing Results'!K44</f>
        <v>0</v>
      </c>
      <c r="AB23" s="328">
        <f>IF(Y23=0,0,Z23/Y23)</f>
        <v>0</v>
      </c>
    </row>
    <row r="24" spans="1:28" ht="13.5">
      <c r="A24" s="333" t="s">
        <v>49</v>
      </c>
      <c r="B24" s="464"/>
      <c r="C24" s="464"/>
      <c r="D24" s="464" t="s">
        <v>49</v>
      </c>
      <c r="E24" s="500">
        <f>IF(B24="MAAC",$J$5*'2nd IA Load Pricing Results'!K45/'2nd IA Load Pricing Results'!$B$16,0)</f>
        <v>0</v>
      </c>
      <c r="F24" s="501">
        <f>E24*$F$19</f>
        <v>0</v>
      </c>
      <c r="G24" s="500">
        <f>IF(C24="EMAAC",$J$6*'2nd IA Load Pricing Results'!K45/'2nd IA Load Pricing Results'!$B$17,0)</f>
        <v>0</v>
      </c>
      <c r="H24" s="501">
        <f t="shared" si="9"/>
        <v>0</v>
      </c>
      <c r="I24" s="500">
        <f>IF(C24="SWMAAC",$J$7*'2nd IA Load Pricing Results'!K45/'2nd IA Load Pricing Results'!$B$18,0)</f>
        <v>0</v>
      </c>
      <c r="J24" s="501">
        <f>I24*$J$19</f>
        <v>0</v>
      </c>
      <c r="K24" s="500">
        <f>IF(D24="PS",$J$8*'2nd IA Load Pricing Results'!K45/'2nd IA Load Pricing Results'!$K$60,0)</f>
        <v>0</v>
      </c>
      <c r="L24" s="501">
        <f aca="true" t="shared" si="12" ref="L24:L38">K24*$L$19</f>
        <v>0</v>
      </c>
      <c r="M24" s="500">
        <f>IF(D24="DPL",$J$9*'2nd IA Load Pricing Results'!K45/'2nd IA Load Pricing Results'!$K$52,0)</f>
        <v>0</v>
      </c>
      <c r="N24" s="501">
        <f t="shared" si="2"/>
        <v>0</v>
      </c>
      <c r="O24" s="500">
        <f>IF(D24="PEPCO",$J$10*'2nd IA Load Pricing Results'!K45/'2nd IA Load Pricing Results'!$K$58,0)</f>
        <v>0</v>
      </c>
      <c r="P24" s="501">
        <f t="shared" si="10"/>
        <v>0</v>
      </c>
      <c r="Q24" s="500">
        <f>IF(D24="ATSI",$J$11*'2nd IA Load Pricing Results'!K45/'2nd IA Load Pricing Results'!$K$45,0)</f>
        <v>5852.282652648578</v>
      </c>
      <c r="R24" s="501">
        <f>Q24*$R$19</f>
        <v>0</v>
      </c>
      <c r="S24" s="500">
        <f>IF(D24="COMED",$J$12*'2nd IA Load Pricing Results'!K45/'2nd IA Load Pricing Results'!$K$47,0)</f>
        <v>0</v>
      </c>
      <c r="T24" s="501">
        <f t="shared" si="3"/>
        <v>0</v>
      </c>
      <c r="U24" s="500">
        <f>IF(D24="BGE",$J$13*'2nd IA Load Pricing Results'!K45/'2nd IA Load Pricing Results'!$K$46,0)</f>
        <v>0</v>
      </c>
      <c r="V24" s="501">
        <f t="shared" si="4"/>
        <v>0</v>
      </c>
      <c r="W24" s="500">
        <f>IF(D24="PL",$J$14*'2nd IA Load Pricing Results'!K45/'2nd IA Load Pricing Results'!$K$59,0)</f>
        <v>0</v>
      </c>
      <c r="X24" s="501">
        <f t="shared" si="5"/>
        <v>0</v>
      </c>
      <c r="Y24" s="353">
        <f t="shared" si="6"/>
        <v>5852.282652648578</v>
      </c>
      <c r="Z24" s="328">
        <f t="shared" si="7"/>
        <v>0</v>
      </c>
      <c r="AA24" s="328">
        <f>Z24/'2nd IA Load Pricing Results'!K45</f>
        <v>0</v>
      </c>
      <c r="AB24" s="328">
        <f>IF(Y24=0,0,Z24/Y24)</f>
        <v>0</v>
      </c>
    </row>
    <row r="25" spans="1:28" ht="13.5">
      <c r="A25" s="333" t="s">
        <v>11</v>
      </c>
      <c r="B25" s="464" t="s">
        <v>29</v>
      </c>
      <c r="C25" s="464" t="s">
        <v>5</v>
      </c>
      <c r="D25" s="464" t="s">
        <v>11</v>
      </c>
      <c r="E25" s="500">
        <f>IF(B25="MAAC",$J$5*'2nd IA Load Pricing Results'!K46/'2nd IA Load Pricing Results'!$B$16,0)</f>
        <v>0</v>
      </c>
      <c r="F25" s="501">
        <f t="shared" si="8"/>
        <v>0</v>
      </c>
      <c r="G25" s="500">
        <f>IF(C25="EMAAC",$J$6*'2nd IA Load Pricing Results'!K46/'2nd IA Load Pricing Results'!$B$17,0)</f>
        <v>0</v>
      </c>
      <c r="H25" s="501">
        <f t="shared" si="9"/>
        <v>0</v>
      </c>
      <c r="I25" s="500">
        <f>IF(C25="SWMAAC",$J$7*'2nd IA Load Pricing Results'!K46/'2nd IA Load Pricing Results'!$B$18,0)</f>
        <v>1864.0105074670225</v>
      </c>
      <c r="J25" s="501">
        <f>I25*$J$19</f>
        <v>0</v>
      </c>
      <c r="K25" s="500">
        <f>IF(D25="PS",$J$8*'2nd IA Load Pricing Results'!K46/'2nd IA Load Pricing Results'!$K$60,0)</f>
        <v>0</v>
      </c>
      <c r="L25" s="501">
        <f t="shared" si="12"/>
        <v>0</v>
      </c>
      <c r="M25" s="500">
        <f>IF(D25="DPL",$J$9*'2nd IA Load Pricing Results'!K46/'2nd IA Load Pricing Results'!$K$52,0)</f>
        <v>0</v>
      </c>
      <c r="N25" s="501">
        <f t="shared" si="2"/>
        <v>0</v>
      </c>
      <c r="O25" s="500">
        <f>IF(D25="PEPCO",$J$10*'2nd IA Load Pricing Results'!K46/'2nd IA Load Pricing Results'!$K$58,0)</f>
        <v>0</v>
      </c>
      <c r="P25" s="501">
        <f>O25*$P$19</f>
        <v>0</v>
      </c>
      <c r="Q25" s="500">
        <f>IF(D25="ATSI",$J$11*'2nd IA Load Pricing Results'!K46/'2nd IA Load Pricing Results'!$K$45,0)</f>
        <v>0</v>
      </c>
      <c r="R25" s="501">
        <f t="shared" si="11"/>
        <v>0</v>
      </c>
      <c r="S25" s="500">
        <f>IF(D25="COMED",$J$12*'2nd IA Load Pricing Results'!K46/'2nd IA Load Pricing Results'!$K$47,0)</f>
        <v>0</v>
      </c>
      <c r="T25" s="501">
        <f t="shared" si="3"/>
        <v>0</v>
      </c>
      <c r="U25" s="500">
        <f>IF(D25="BGE",$J$13*'2nd IA Load Pricing Results'!K46/'2nd IA Load Pricing Results'!$K$46,0)</f>
        <v>4028.0152849621572</v>
      </c>
      <c r="V25" s="501">
        <f>U25*$V$19</f>
        <v>0</v>
      </c>
      <c r="W25" s="500">
        <f>IF(D25="PL",$J$14*'2nd IA Load Pricing Results'!K46/'2nd IA Load Pricing Results'!$K$59,0)</f>
        <v>0</v>
      </c>
      <c r="X25" s="501">
        <f t="shared" si="5"/>
        <v>0</v>
      </c>
      <c r="Y25" s="353">
        <f t="shared" si="6"/>
        <v>4028.0152849621572</v>
      </c>
      <c r="Z25" s="328">
        <f t="shared" si="7"/>
        <v>0</v>
      </c>
      <c r="AA25" s="328">
        <f>Z25/'2nd IA Load Pricing Results'!K46</f>
        <v>0</v>
      </c>
      <c r="AB25" s="334">
        <f aca="true" t="shared" si="13" ref="AB25:AB38">IF(Y25=0,0,Z25/Y25)</f>
        <v>0</v>
      </c>
    </row>
    <row r="26" spans="1:28" ht="13.5">
      <c r="A26" s="333" t="s">
        <v>20</v>
      </c>
      <c r="B26" s="464"/>
      <c r="C26" s="464"/>
      <c r="D26" s="464" t="s">
        <v>20</v>
      </c>
      <c r="E26" s="500">
        <f>IF(B26="MAAC",$J$5*'2nd IA Load Pricing Results'!K47/'2nd IA Load Pricing Results'!$B$16,0)</f>
        <v>0</v>
      </c>
      <c r="F26" s="501">
        <f t="shared" si="8"/>
        <v>0</v>
      </c>
      <c r="G26" s="500">
        <f>IF(C26="EMAAC",$J$6*'2nd IA Load Pricing Results'!K47/'2nd IA Load Pricing Results'!$B$17,0)</f>
        <v>0</v>
      </c>
      <c r="H26" s="501">
        <f t="shared" si="9"/>
        <v>0</v>
      </c>
      <c r="I26" s="500">
        <f>IF(C26="SWMAAC",$J$7*'2nd IA Load Pricing Results'!K47/'2nd IA Load Pricing Results'!$B$18,0)</f>
        <v>0</v>
      </c>
      <c r="J26" s="501">
        <f aca="true" t="shared" si="14" ref="J26:J39">I26*$J$19</f>
        <v>0</v>
      </c>
      <c r="K26" s="500">
        <f>IF(D26="PS",$J$8*'2nd IA Load Pricing Results'!K47/'2nd IA Load Pricing Results'!$K$60,0)</f>
        <v>0</v>
      </c>
      <c r="L26" s="501">
        <f t="shared" si="12"/>
        <v>0</v>
      </c>
      <c r="M26" s="500">
        <f>IF(D26="DPL",$J$9*'2nd IA Load Pricing Results'!K47/'2nd IA Load Pricing Results'!$K$52,0)</f>
        <v>0</v>
      </c>
      <c r="N26" s="501">
        <f t="shared" si="2"/>
        <v>0</v>
      </c>
      <c r="O26" s="500">
        <f>IF(D26="PEPCO",$J$10*'2nd IA Load Pricing Results'!K47/'2nd IA Load Pricing Results'!$K$58,0)</f>
        <v>0</v>
      </c>
      <c r="P26" s="501">
        <f t="shared" si="10"/>
        <v>0</v>
      </c>
      <c r="Q26" s="500">
        <f>IF(D26="ATSI",$J$11*'2nd IA Load Pricing Results'!K47/'2nd IA Load Pricing Results'!$K$45,0)</f>
        <v>0</v>
      </c>
      <c r="R26" s="501">
        <f t="shared" si="11"/>
        <v>0</v>
      </c>
      <c r="S26" s="500">
        <f>IF(D26="COMED",$J$12*'2nd IA Load Pricing Results'!K47/'2nd IA Load Pricing Results'!$K$47,0)</f>
        <v>1907.5018644385204</v>
      </c>
      <c r="T26" s="501">
        <f t="shared" si="3"/>
        <v>0</v>
      </c>
      <c r="U26" s="500">
        <f>IF(D26="BGE",$J$13*'2nd IA Load Pricing Results'!K47/'2nd IA Load Pricing Results'!$K$46,0)</f>
        <v>0</v>
      </c>
      <c r="V26" s="501">
        <f t="shared" si="4"/>
        <v>0</v>
      </c>
      <c r="W26" s="500">
        <f>IF(D26="PL",$J$14*'2nd IA Load Pricing Results'!K47/'2nd IA Load Pricing Results'!$K$59,0)</f>
        <v>0</v>
      </c>
      <c r="X26" s="501">
        <f t="shared" si="5"/>
        <v>0</v>
      </c>
      <c r="Y26" s="353">
        <f t="shared" si="6"/>
        <v>1907.5018644385204</v>
      </c>
      <c r="Z26" s="328">
        <f t="shared" si="7"/>
        <v>0</v>
      </c>
      <c r="AA26" s="328">
        <f>Z26/'2nd IA Load Pricing Results'!K47</f>
        <v>0</v>
      </c>
      <c r="AB26" s="328">
        <f t="shared" si="13"/>
        <v>0</v>
      </c>
    </row>
    <row r="27" spans="1:28" ht="13.5">
      <c r="A27" s="333" t="s">
        <v>21</v>
      </c>
      <c r="B27" s="464"/>
      <c r="C27" s="464"/>
      <c r="D27" s="464"/>
      <c r="E27" s="500">
        <f>IF(B27="MAAC",$J$5*'2nd IA Load Pricing Results'!K48/'2nd IA Load Pricing Results'!$B$16,0)</f>
        <v>0</v>
      </c>
      <c r="F27" s="501">
        <f t="shared" si="8"/>
        <v>0</v>
      </c>
      <c r="G27" s="500">
        <f>IF(C27="EMAAC",$J$6*'2nd IA Load Pricing Results'!K48/'2nd IA Load Pricing Results'!$B$17,0)</f>
        <v>0</v>
      </c>
      <c r="H27" s="501">
        <f t="shared" si="9"/>
        <v>0</v>
      </c>
      <c r="I27" s="500">
        <f>IF(C27="SWMAAC",$J$7*'2nd IA Load Pricing Results'!K48/'2nd IA Load Pricing Results'!$B$18,0)</f>
        <v>0</v>
      </c>
      <c r="J27" s="501">
        <f>I27*$J$19</f>
        <v>0</v>
      </c>
      <c r="K27" s="500">
        <f>IF(D27="PS",$J$8*'2nd IA Load Pricing Results'!K48/'2nd IA Load Pricing Results'!$K$60,0)</f>
        <v>0</v>
      </c>
      <c r="L27" s="501">
        <f t="shared" si="12"/>
        <v>0</v>
      </c>
      <c r="M27" s="500">
        <f>IF(D27="DPL",$J$9*'2nd IA Load Pricing Results'!K48/'2nd IA Load Pricing Results'!$K$52,0)</f>
        <v>0</v>
      </c>
      <c r="N27" s="501">
        <f t="shared" si="2"/>
        <v>0</v>
      </c>
      <c r="O27" s="500">
        <f>IF(D27="PEPCO",$J$10*'2nd IA Load Pricing Results'!K48/'2nd IA Load Pricing Results'!$K$58,0)</f>
        <v>0</v>
      </c>
      <c r="P27" s="501">
        <f t="shared" si="10"/>
        <v>0</v>
      </c>
      <c r="Q27" s="500">
        <f>IF(D27="ATSI",$J$11*'2nd IA Load Pricing Results'!K48/'2nd IA Load Pricing Results'!$K$45,0)</f>
        <v>0</v>
      </c>
      <c r="R27" s="501">
        <f t="shared" si="11"/>
        <v>0</v>
      </c>
      <c r="S27" s="500">
        <f>IF(D27="COMED",$J$12*'2nd IA Load Pricing Results'!K48/'2nd IA Load Pricing Results'!$K$47,0)</f>
        <v>0</v>
      </c>
      <c r="T27" s="501">
        <f t="shared" si="3"/>
        <v>0</v>
      </c>
      <c r="U27" s="500">
        <f>IF(D27="BGE",$J$13*'2nd IA Load Pricing Results'!K48/'2nd IA Load Pricing Results'!$K$46,0)</f>
        <v>0</v>
      </c>
      <c r="V27" s="501">
        <f t="shared" si="4"/>
        <v>0</v>
      </c>
      <c r="W27" s="500">
        <f>IF(D27="PL",$J$14*'2nd IA Load Pricing Results'!K48/'2nd IA Load Pricing Results'!$K$59,0)</f>
        <v>0</v>
      </c>
      <c r="X27" s="501">
        <f t="shared" si="5"/>
        <v>0</v>
      </c>
      <c r="Y27" s="353">
        <f t="shared" si="6"/>
        <v>0</v>
      </c>
      <c r="Z27" s="328">
        <f t="shared" si="7"/>
        <v>0</v>
      </c>
      <c r="AA27" s="328">
        <f>Z27/'2nd IA Load Pricing Results'!K48</f>
        <v>0</v>
      </c>
      <c r="AB27" s="328">
        <f t="shared" si="13"/>
        <v>0</v>
      </c>
    </row>
    <row r="28" spans="1:28" ht="13.5">
      <c r="A28" s="333" t="s">
        <v>63</v>
      </c>
      <c r="B28" s="464"/>
      <c r="C28" s="464"/>
      <c r="D28" s="464"/>
      <c r="E28" s="500">
        <f>IF(B28="MAAC",$J$5*'2nd IA Load Pricing Results'!K49/'2nd IA Load Pricing Results'!$B$16,0)</f>
        <v>0</v>
      </c>
      <c r="F28" s="501">
        <f>E28*$F$19</f>
        <v>0</v>
      </c>
      <c r="G28" s="500">
        <f>IF(C28="EMAAC",$J$6*'2nd IA Load Pricing Results'!K49/'2nd IA Load Pricing Results'!$B$17,0)</f>
        <v>0</v>
      </c>
      <c r="H28" s="501">
        <f t="shared" si="9"/>
        <v>0</v>
      </c>
      <c r="I28" s="500">
        <f>IF(C28="SWMAAC",$J$7*'2nd IA Load Pricing Results'!K49/'2nd IA Load Pricing Results'!$B$18,0)</f>
        <v>0</v>
      </c>
      <c r="J28" s="501">
        <f>I28*$J$19</f>
        <v>0</v>
      </c>
      <c r="K28" s="500">
        <f>IF(D28="PS",$J$8*'2nd IA Load Pricing Results'!K49/'2nd IA Load Pricing Results'!$K$60,0)</f>
        <v>0</v>
      </c>
      <c r="L28" s="501">
        <f t="shared" si="12"/>
        <v>0</v>
      </c>
      <c r="M28" s="500">
        <f>IF(D28="DPL",$J$9*'2nd IA Load Pricing Results'!K49/'2nd IA Load Pricing Results'!$K$52,0)</f>
        <v>0</v>
      </c>
      <c r="N28" s="501">
        <f t="shared" si="2"/>
        <v>0</v>
      </c>
      <c r="O28" s="500">
        <f>IF(D28="PEPCO",$J$10*'2nd IA Load Pricing Results'!K49/'2nd IA Load Pricing Results'!$K$58,0)</f>
        <v>0</v>
      </c>
      <c r="P28" s="501">
        <f t="shared" si="10"/>
        <v>0</v>
      </c>
      <c r="Q28" s="500">
        <f>IF(D28="ATSI",$J$11*'2nd IA Load Pricing Results'!K49/'2nd IA Load Pricing Results'!$K$45,0)</f>
        <v>0</v>
      </c>
      <c r="R28" s="501">
        <f t="shared" si="11"/>
        <v>0</v>
      </c>
      <c r="S28" s="500">
        <f>IF(D28="COMED",$J$12*'2nd IA Load Pricing Results'!K49/'2nd IA Load Pricing Results'!$K$47,0)</f>
        <v>0</v>
      </c>
      <c r="T28" s="501">
        <f t="shared" si="3"/>
        <v>0</v>
      </c>
      <c r="U28" s="500">
        <f>IF(D28="BGE",$J$13*'2nd IA Load Pricing Results'!K49/'2nd IA Load Pricing Results'!$K$46,0)</f>
        <v>0</v>
      </c>
      <c r="V28" s="501">
        <f t="shared" si="4"/>
        <v>0</v>
      </c>
      <c r="W28" s="500">
        <f>IF(D28="PL",$J$14*'2nd IA Load Pricing Results'!K49/'2nd IA Load Pricing Results'!$K$59,0)</f>
        <v>0</v>
      </c>
      <c r="X28" s="501">
        <f t="shared" si="5"/>
        <v>0</v>
      </c>
      <c r="Y28" s="353">
        <f t="shared" si="6"/>
        <v>0</v>
      </c>
      <c r="Z28" s="328">
        <f t="shared" si="7"/>
        <v>0</v>
      </c>
      <c r="AA28" s="328">
        <f>Z28/'2nd IA Load Pricing Results'!K49</f>
        <v>0</v>
      </c>
      <c r="AB28" s="328">
        <f>IF(Y28=0,0,Z28/Y28)</f>
        <v>0</v>
      </c>
    </row>
    <row r="29" spans="1:28" ht="13.5">
      <c r="A29" s="333" t="s">
        <v>48</v>
      </c>
      <c r="B29" s="464"/>
      <c r="C29" s="464"/>
      <c r="D29" s="464"/>
      <c r="E29" s="500">
        <f>IF(B29="MAAC",$J$5*'2nd IA Load Pricing Results'!K50/'2nd IA Load Pricing Results'!$B$16,0)</f>
        <v>0</v>
      </c>
      <c r="F29" s="501">
        <f>E29*$F$19</f>
        <v>0</v>
      </c>
      <c r="G29" s="500">
        <f>IF(C29="EMAAC",$J$6*'2nd IA Load Pricing Results'!K50/'2nd IA Load Pricing Results'!$B$17,0)</f>
        <v>0</v>
      </c>
      <c r="H29" s="501">
        <f t="shared" si="9"/>
        <v>0</v>
      </c>
      <c r="I29" s="500">
        <f>IF(C29="SWMAAC",$J$7*'2nd IA Load Pricing Results'!K50/'2nd IA Load Pricing Results'!$B$18,0)</f>
        <v>0</v>
      </c>
      <c r="J29" s="501">
        <f>I29*$J$19</f>
        <v>0</v>
      </c>
      <c r="K29" s="500">
        <f>IF(D29="PS",$J$8*'2nd IA Load Pricing Results'!K50/'2nd IA Load Pricing Results'!$K$60,0)</f>
        <v>0</v>
      </c>
      <c r="L29" s="501">
        <f t="shared" si="12"/>
        <v>0</v>
      </c>
      <c r="M29" s="500">
        <f>IF(D29="DPL",$J$9*'2nd IA Load Pricing Results'!K50/'2nd IA Load Pricing Results'!$K$52,0)</f>
        <v>0</v>
      </c>
      <c r="N29" s="501">
        <f t="shared" si="2"/>
        <v>0</v>
      </c>
      <c r="O29" s="500">
        <f>IF(D29="PEPCO",$J$10*'2nd IA Load Pricing Results'!K50/'2nd IA Load Pricing Results'!$K$58,0)</f>
        <v>0</v>
      </c>
      <c r="P29" s="501">
        <f t="shared" si="10"/>
        <v>0</v>
      </c>
      <c r="Q29" s="500">
        <f>IF(D29="ATSI",$J$11*'2nd IA Load Pricing Results'!K50/'2nd IA Load Pricing Results'!$K$45,0)</f>
        <v>0</v>
      </c>
      <c r="R29" s="501">
        <f t="shared" si="11"/>
        <v>0</v>
      </c>
      <c r="S29" s="500">
        <f>IF(D29="COMED",$J$12*'2nd IA Load Pricing Results'!K50/'2nd IA Load Pricing Results'!$K$47,0)</f>
        <v>0</v>
      </c>
      <c r="T29" s="501">
        <f t="shared" si="3"/>
        <v>0</v>
      </c>
      <c r="U29" s="500">
        <f>IF(D29="BGE",$J$13*'2nd IA Load Pricing Results'!K50/'2nd IA Load Pricing Results'!$K$46,0)</f>
        <v>0</v>
      </c>
      <c r="V29" s="501">
        <f t="shared" si="4"/>
        <v>0</v>
      </c>
      <c r="W29" s="500">
        <f>IF(D29="PL",$J$14*'2nd IA Load Pricing Results'!K50/'2nd IA Load Pricing Results'!$K$59,0)</f>
        <v>0</v>
      </c>
      <c r="X29" s="501">
        <f t="shared" si="5"/>
        <v>0</v>
      </c>
      <c r="Y29" s="353">
        <f t="shared" si="6"/>
        <v>0</v>
      </c>
      <c r="Z29" s="328">
        <f t="shared" si="7"/>
        <v>0</v>
      </c>
      <c r="AA29" s="328">
        <f>Z29/'2nd IA Load Pricing Results'!K50</f>
        <v>0</v>
      </c>
      <c r="AB29" s="328">
        <f t="shared" si="13"/>
        <v>0</v>
      </c>
    </row>
    <row r="30" spans="1:28" ht="13.5">
      <c r="A30" s="333" t="s">
        <v>32</v>
      </c>
      <c r="B30" s="464"/>
      <c r="C30" s="464"/>
      <c r="D30" s="464"/>
      <c r="E30" s="500">
        <f>IF(B30="MAAC",$J$5*'2nd IA Load Pricing Results'!K51/'2nd IA Load Pricing Results'!$B$16,0)</f>
        <v>0</v>
      </c>
      <c r="F30" s="501">
        <f t="shared" si="8"/>
        <v>0</v>
      </c>
      <c r="G30" s="500">
        <f>IF(C30="EMAAC",$J$6*'2nd IA Load Pricing Results'!K51/'2nd IA Load Pricing Results'!$B$17,0)</f>
        <v>0</v>
      </c>
      <c r="H30" s="501">
        <f t="shared" si="9"/>
        <v>0</v>
      </c>
      <c r="I30" s="500">
        <f>IF(C30="SWMAAC",$J$7*'2nd IA Load Pricing Results'!K51/'2nd IA Load Pricing Results'!$B$18,0)</f>
        <v>0</v>
      </c>
      <c r="J30" s="501">
        <f>I30*$J$19</f>
        <v>0</v>
      </c>
      <c r="K30" s="500">
        <f>IF(D30="PS",$J$8*'2nd IA Load Pricing Results'!K51/'2nd IA Load Pricing Results'!$K$60,0)</f>
        <v>0</v>
      </c>
      <c r="L30" s="501">
        <f t="shared" si="12"/>
        <v>0</v>
      </c>
      <c r="M30" s="500">
        <f>IF(D30="DPL",$J$9*'2nd IA Load Pricing Results'!K51/'2nd IA Load Pricing Results'!$K$52,0)</f>
        <v>0</v>
      </c>
      <c r="N30" s="501">
        <f t="shared" si="2"/>
        <v>0</v>
      </c>
      <c r="O30" s="500">
        <f>IF(D30="PEPCO",$J$10*'2nd IA Load Pricing Results'!K51/'2nd IA Load Pricing Results'!$K$58,0)</f>
        <v>0</v>
      </c>
      <c r="P30" s="501">
        <f t="shared" si="10"/>
        <v>0</v>
      </c>
      <c r="Q30" s="500">
        <f>IF(D30="ATSI",$J$11*'2nd IA Load Pricing Results'!K51/'2nd IA Load Pricing Results'!$K$45,0)</f>
        <v>0</v>
      </c>
      <c r="R30" s="501">
        <f t="shared" si="11"/>
        <v>0</v>
      </c>
      <c r="S30" s="500">
        <f>IF(D30="COMED",$J$12*'2nd IA Load Pricing Results'!K51/'2nd IA Load Pricing Results'!$K$47,0)</f>
        <v>0</v>
      </c>
      <c r="T30" s="501">
        <f t="shared" si="3"/>
        <v>0</v>
      </c>
      <c r="U30" s="500">
        <f>IF(D30="BGE",$J$13*'2nd IA Load Pricing Results'!K51/'2nd IA Load Pricing Results'!$K$46,0)</f>
        <v>0</v>
      </c>
      <c r="V30" s="501">
        <f t="shared" si="4"/>
        <v>0</v>
      </c>
      <c r="W30" s="500">
        <f>IF(D30="PL",$J$14*'2nd IA Load Pricing Results'!K51/'2nd IA Load Pricing Results'!$K$59,0)</f>
        <v>0</v>
      </c>
      <c r="X30" s="501">
        <f t="shared" si="5"/>
        <v>0</v>
      </c>
      <c r="Y30" s="353">
        <f t="shared" si="6"/>
        <v>0</v>
      </c>
      <c r="Z30" s="328">
        <f t="shared" si="7"/>
        <v>0</v>
      </c>
      <c r="AA30" s="328">
        <f>Z30/'2nd IA Load Pricing Results'!K51</f>
        <v>0</v>
      </c>
      <c r="AB30" s="328">
        <f t="shared" si="13"/>
        <v>0</v>
      </c>
    </row>
    <row r="31" spans="1:28" ht="13.5">
      <c r="A31" s="333" t="s">
        <v>17</v>
      </c>
      <c r="B31" s="464" t="s">
        <v>29</v>
      </c>
      <c r="C31" s="464" t="s">
        <v>39</v>
      </c>
      <c r="D31" s="464" t="s">
        <v>17</v>
      </c>
      <c r="E31" s="500">
        <f>IF(B31="MAAC",$J$5*'2nd IA Load Pricing Results'!K52/'2nd IA Load Pricing Results'!$B$16,0)</f>
        <v>0</v>
      </c>
      <c r="F31" s="501">
        <f t="shared" si="8"/>
        <v>0</v>
      </c>
      <c r="G31" s="500">
        <f>IF(C31="EMAAC",$J$6*'2nd IA Load Pricing Results'!K52/'2nd IA Load Pricing Results'!$B$17,0)</f>
        <v>395.92062813747685</v>
      </c>
      <c r="H31" s="501">
        <f t="shared" si="9"/>
        <v>0</v>
      </c>
      <c r="I31" s="500">
        <f>IF(C31="SWMAAC",$J$7*'2nd IA Load Pricing Results'!K52/'2nd IA Load Pricing Results'!$B$18,0)</f>
        <v>0</v>
      </c>
      <c r="J31" s="501">
        <f t="shared" si="14"/>
        <v>0</v>
      </c>
      <c r="K31" s="500">
        <f>IF(D31="PS",$J$8*'2nd IA Load Pricing Results'!K52/'2nd IA Load Pricing Results'!$K$60,0)</f>
        <v>0</v>
      </c>
      <c r="L31" s="501">
        <f t="shared" si="12"/>
        <v>0</v>
      </c>
      <c r="M31" s="500">
        <f>IF(D31="DPL",$J$9*'2nd IA Load Pricing Results'!K52/'2nd IA Load Pricing Results'!$K$52,0)</f>
        <v>0</v>
      </c>
      <c r="N31" s="501">
        <f t="shared" si="2"/>
        <v>0</v>
      </c>
      <c r="O31" s="500">
        <f>IF(D31="PEPCO",$J$10*'2nd IA Load Pricing Results'!K52/'2nd IA Load Pricing Results'!$K$58,0)</f>
        <v>0</v>
      </c>
      <c r="P31" s="501">
        <f t="shared" si="10"/>
        <v>0</v>
      </c>
      <c r="Q31" s="500">
        <f>IF(D31="ATSI",$J$11*'2nd IA Load Pricing Results'!K52/'2nd IA Load Pricing Results'!$K$45,0)</f>
        <v>0</v>
      </c>
      <c r="R31" s="501">
        <f t="shared" si="11"/>
        <v>0</v>
      </c>
      <c r="S31" s="500">
        <f>IF(D31="COMED",$J$12*'2nd IA Load Pricing Results'!K52/'2nd IA Load Pricing Results'!$K$47,0)</f>
        <v>0</v>
      </c>
      <c r="T31" s="501">
        <f t="shared" si="3"/>
        <v>0</v>
      </c>
      <c r="U31" s="500">
        <f>IF(D31="BGE",$J$13*'2nd IA Load Pricing Results'!K52/'2nd IA Load Pricing Results'!$K$46,0)</f>
        <v>0</v>
      </c>
      <c r="V31" s="501">
        <f t="shared" si="4"/>
        <v>0</v>
      </c>
      <c r="W31" s="500">
        <f>IF(D31="PL",$J$14*'2nd IA Load Pricing Results'!K52/'2nd IA Load Pricing Results'!$K$59,0)</f>
        <v>0</v>
      </c>
      <c r="X31" s="501">
        <f t="shared" si="5"/>
        <v>0</v>
      </c>
      <c r="Y31" s="353">
        <f t="shared" si="6"/>
        <v>395.92062813747685</v>
      </c>
      <c r="Z31" s="328">
        <f t="shared" si="7"/>
        <v>0</v>
      </c>
      <c r="AA31" s="328">
        <f>Z31/'2nd IA Load Pricing Results'!K52</f>
        <v>0</v>
      </c>
      <c r="AB31" s="328">
        <f t="shared" si="13"/>
        <v>0</v>
      </c>
    </row>
    <row r="32" spans="1:28" ht="13.5">
      <c r="A32" s="333" t="s">
        <v>160</v>
      </c>
      <c r="B32" s="464"/>
      <c r="C32" s="464"/>
      <c r="D32" s="464"/>
      <c r="E32" s="500">
        <f>IF(B32="MAAC",$J$5*'2nd IA Load Pricing Results'!K53/'2nd IA Load Pricing Results'!$B$16,0)</f>
        <v>0</v>
      </c>
      <c r="F32" s="501">
        <f>E32*$F$19</f>
        <v>0</v>
      </c>
      <c r="G32" s="500">
        <f>IF(C32="EMAAC",$J$6*'2nd IA Load Pricing Results'!K53/'2nd IA Load Pricing Results'!$B$17,0)</f>
        <v>0</v>
      </c>
      <c r="H32" s="501">
        <f t="shared" si="9"/>
        <v>0</v>
      </c>
      <c r="I32" s="500">
        <f>IF(C32="SWMAAC",$J$7*'2nd IA Load Pricing Results'!K53/'2nd IA Load Pricing Results'!$B$18,0)</f>
        <v>0</v>
      </c>
      <c r="J32" s="501">
        <f>I32*$J$19</f>
        <v>0</v>
      </c>
      <c r="K32" s="500">
        <f>IF(D32="PS",$J$8*'2nd IA Load Pricing Results'!K53/'2nd IA Load Pricing Results'!$K$60,0)</f>
        <v>0</v>
      </c>
      <c r="L32" s="501">
        <f>K32*$L$19</f>
        <v>0</v>
      </c>
      <c r="M32" s="500">
        <f>IF(D32="DPL",$J$9*'2nd IA Load Pricing Results'!K53/'2nd IA Load Pricing Results'!$K$52,0)</f>
        <v>0</v>
      </c>
      <c r="N32" s="501">
        <f t="shared" si="2"/>
        <v>0</v>
      </c>
      <c r="O32" s="500">
        <f>IF(D32="PEPCO",$J$10*'2nd IA Load Pricing Results'!K53/'2nd IA Load Pricing Results'!$K$58,0)</f>
        <v>0</v>
      </c>
      <c r="P32" s="501">
        <f>O32*$P$19</f>
        <v>0</v>
      </c>
      <c r="Q32" s="500">
        <f>IF(D32="ATSI",$J$11*'2nd IA Load Pricing Results'!K53/'2nd IA Load Pricing Results'!$K$45,0)</f>
        <v>0</v>
      </c>
      <c r="R32" s="501">
        <f>Q32*$R$19</f>
        <v>0</v>
      </c>
      <c r="S32" s="500">
        <f>IF(D32="COMED",$J$12*'2nd IA Load Pricing Results'!K53/'2nd IA Load Pricing Results'!$K$47,0)</f>
        <v>0</v>
      </c>
      <c r="T32" s="501">
        <f t="shared" si="3"/>
        <v>0</v>
      </c>
      <c r="U32" s="500">
        <f>IF(D32="BGE",$J$13*'2nd IA Load Pricing Results'!K53/'2nd IA Load Pricing Results'!$K$46,0)</f>
        <v>0</v>
      </c>
      <c r="V32" s="501">
        <f t="shared" si="4"/>
        <v>0</v>
      </c>
      <c r="W32" s="500">
        <f>IF(D32="PL",$J$14*'2nd IA Load Pricing Results'!K53/'2nd IA Load Pricing Results'!$K$59,0)</f>
        <v>0</v>
      </c>
      <c r="X32" s="501">
        <f t="shared" si="5"/>
        <v>0</v>
      </c>
      <c r="Y32" s="353">
        <f t="shared" si="6"/>
        <v>0</v>
      </c>
      <c r="Z32" s="328">
        <f t="shared" si="7"/>
        <v>0</v>
      </c>
      <c r="AA32" s="328">
        <f>Z32/'2nd IA Load Pricing Results'!K53</f>
        <v>0</v>
      </c>
      <c r="AB32" s="328">
        <f>IF(Y32=0,0,Z32/Y32)</f>
        <v>0</v>
      </c>
    </row>
    <row r="33" spans="1:28" ht="13.5">
      <c r="A33" s="333" t="s">
        <v>12</v>
      </c>
      <c r="B33" s="464" t="s">
        <v>29</v>
      </c>
      <c r="C33" s="464" t="s">
        <v>39</v>
      </c>
      <c r="D33" s="464"/>
      <c r="E33" s="500">
        <f>IF(B33="MAAC",$J$5*'2nd IA Load Pricing Results'!K54/'2nd IA Load Pricing Results'!$B$16,0)</f>
        <v>0</v>
      </c>
      <c r="F33" s="501">
        <f t="shared" si="8"/>
        <v>0</v>
      </c>
      <c r="G33" s="500">
        <f>IF(C33="EMAAC",$J$6*'2nd IA Load Pricing Results'!K54/'2nd IA Load Pricing Results'!$B$17,0)</f>
        <v>594.3172188494865</v>
      </c>
      <c r="H33" s="501">
        <f t="shared" si="9"/>
        <v>0</v>
      </c>
      <c r="I33" s="500">
        <f>IF(C33="SWMAAC",$J$7*'2nd IA Load Pricing Results'!K54/'2nd IA Load Pricing Results'!$B$18,0)</f>
        <v>0</v>
      </c>
      <c r="J33" s="501">
        <f t="shared" si="14"/>
        <v>0</v>
      </c>
      <c r="K33" s="500">
        <f>IF(D33="PS",$J$8*'2nd IA Load Pricing Results'!K54/'2nd IA Load Pricing Results'!$K$60,0)</f>
        <v>0</v>
      </c>
      <c r="L33" s="501">
        <f t="shared" si="12"/>
        <v>0</v>
      </c>
      <c r="M33" s="500">
        <f>IF(D33="DPL",$J$9*'2nd IA Load Pricing Results'!K54/'2nd IA Load Pricing Results'!$K$52,0)</f>
        <v>0</v>
      </c>
      <c r="N33" s="501">
        <f t="shared" si="2"/>
        <v>0</v>
      </c>
      <c r="O33" s="500">
        <f>IF(D33="PEPCO",$J$10*'2nd IA Load Pricing Results'!K54/'2nd IA Load Pricing Results'!$K$58,0)</f>
        <v>0</v>
      </c>
      <c r="P33" s="501">
        <f t="shared" si="10"/>
        <v>0</v>
      </c>
      <c r="Q33" s="500">
        <f>IF(D33="ATSI",$J$11*'2nd IA Load Pricing Results'!K54/'2nd IA Load Pricing Results'!$K$45,0)</f>
        <v>0</v>
      </c>
      <c r="R33" s="501">
        <f t="shared" si="11"/>
        <v>0</v>
      </c>
      <c r="S33" s="500">
        <f>IF(D33="COMED",$J$12*'2nd IA Load Pricing Results'!K54/'2nd IA Load Pricing Results'!$K$47,0)</f>
        <v>0</v>
      </c>
      <c r="T33" s="501">
        <f t="shared" si="3"/>
        <v>0</v>
      </c>
      <c r="U33" s="500">
        <f>IF(D33="BGE",$J$13*'2nd IA Load Pricing Results'!K54/'2nd IA Load Pricing Results'!$K$46,0)</f>
        <v>0</v>
      </c>
      <c r="V33" s="501">
        <f t="shared" si="4"/>
        <v>0</v>
      </c>
      <c r="W33" s="500">
        <f>IF(D33="PL",$J$14*'2nd IA Load Pricing Results'!K54/'2nd IA Load Pricing Results'!$K$59,0)</f>
        <v>0</v>
      </c>
      <c r="X33" s="501">
        <f t="shared" si="5"/>
        <v>0</v>
      </c>
      <c r="Y33" s="353">
        <f t="shared" si="6"/>
        <v>594.3172188494865</v>
      </c>
      <c r="Z33" s="328">
        <f t="shared" si="7"/>
        <v>0</v>
      </c>
      <c r="AA33" s="328">
        <f>Z33/'2nd IA Load Pricing Results'!K54</f>
        <v>0</v>
      </c>
      <c r="AB33" s="328">
        <f t="shared" si="13"/>
        <v>0</v>
      </c>
    </row>
    <row r="34" spans="1:28" ht="13.5">
      <c r="A34" s="333" t="s">
        <v>13</v>
      </c>
      <c r="B34" s="464" t="s">
        <v>29</v>
      </c>
      <c r="C34" s="464"/>
      <c r="D34" s="464"/>
      <c r="E34" s="500">
        <f>IF(B34="MAAC",$J$5*'2nd IA Load Pricing Results'!K55/'2nd IA Load Pricing Results'!$B$16,0)</f>
        <v>0</v>
      </c>
      <c r="F34" s="501">
        <f t="shared" si="8"/>
        <v>0</v>
      </c>
      <c r="G34" s="500">
        <f>IF(C34="EMAAC",$J$6*'2nd IA Load Pricing Results'!K55/'2nd IA Load Pricing Results'!$B$17,0)</f>
        <v>0</v>
      </c>
      <c r="H34" s="501">
        <f t="shared" si="9"/>
        <v>0</v>
      </c>
      <c r="I34" s="500">
        <f>IF(C34="SWMAAC",$J$7*'2nd IA Load Pricing Results'!K55/'2nd IA Load Pricing Results'!$B$18,0)</f>
        <v>0</v>
      </c>
      <c r="J34" s="501">
        <f t="shared" si="14"/>
        <v>0</v>
      </c>
      <c r="K34" s="500">
        <f>IF(D34="PS",$J$8*'2nd IA Load Pricing Results'!K55/'2nd IA Load Pricing Results'!$K$60,0)</f>
        <v>0</v>
      </c>
      <c r="L34" s="501">
        <f t="shared" si="12"/>
        <v>0</v>
      </c>
      <c r="M34" s="500">
        <f>IF(D34="DPL",$J$9*'2nd IA Load Pricing Results'!K55/'2nd IA Load Pricing Results'!$K$52,0)</f>
        <v>0</v>
      </c>
      <c r="N34" s="501">
        <f t="shared" si="2"/>
        <v>0</v>
      </c>
      <c r="O34" s="500">
        <f>IF(D34="PEPCO",$J$10*'2nd IA Load Pricing Results'!K55/'2nd IA Load Pricing Results'!$K$58,0)</f>
        <v>0</v>
      </c>
      <c r="P34" s="501">
        <f t="shared" si="10"/>
        <v>0</v>
      </c>
      <c r="Q34" s="500">
        <f>IF(D34="ATSI",$J$11*'2nd IA Load Pricing Results'!K55/'2nd IA Load Pricing Results'!$K$45,0)</f>
        <v>0</v>
      </c>
      <c r="R34" s="501">
        <f t="shared" si="11"/>
        <v>0</v>
      </c>
      <c r="S34" s="500">
        <f>IF(D34="COMED",$J$12*'2nd IA Load Pricing Results'!K55/'2nd IA Load Pricing Results'!$K$47,0)</f>
        <v>0</v>
      </c>
      <c r="T34" s="501">
        <f t="shared" si="3"/>
        <v>0</v>
      </c>
      <c r="U34" s="500">
        <f>IF(D34="BGE",$J$13*'2nd IA Load Pricing Results'!K55/'2nd IA Load Pricing Results'!$K$46,0)</f>
        <v>0</v>
      </c>
      <c r="V34" s="501">
        <f t="shared" si="4"/>
        <v>0</v>
      </c>
      <c r="W34" s="500">
        <f>IF(D34="PL",$J$14*'2nd IA Load Pricing Results'!K55/'2nd IA Load Pricing Results'!$K$59,0)</f>
        <v>0</v>
      </c>
      <c r="X34" s="501">
        <f t="shared" si="5"/>
        <v>0</v>
      </c>
      <c r="Y34" s="353">
        <f t="shared" si="6"/>
        <v>0</v>
      </c>
      <c r="Z34" s="328">
        <f t="shared" si="7"/>
        <v>0</v>
      </c>
      <c r="AA34" s="328">
        <f>Z34/'2nd IA Load Pricing Results'!K55</f>
        <v>0</v>
      </c>
      <c r="AB34" s="328">
        <f t="shared" si="13"/>
        <v>0</v>
      </c>
    </row>
    <row r="35" spans="1:28" ht="13.5">
      <c r="A35" s="333" t="s">
        <v>9</v>
      </c>
      <c r="B35" s="464" t="s">
        <v>29</v>
      </c>
      <c r="C35" s="464" t="s">
        <v>39</v>
      </c>
      <c r="D35" s="464"/>
      <c r="E35" s="500">
        <f>IF(B35="MAAC",$J$5*'2nd IA Load Pricing Results'!K56/'2nd IA Load Pricing Results'!$B$16,0)</f>
        <v>0</v>
      </c>
      <c r="F35" s="501">
        <f t="shared" si="8"/>
        <v>0</v>
      </c>
      <c r="G35" s="500">
        <f>IF(C35="EMAAC",$J$6*'2nd IA Load Pricing Results'!K56/'2nd IA Load Pricing Results'!$B$17,0)</f>
        <v>853.6068360150465</v>
      </c>
      <c r="H35" s="501">
        <f t="shared" si="9"/>
        <v>0</v>
      </c>
      <c r="I35" s="500">
        <f>IF(C35="SWMAAC",$J$7*'2nd IA Load Pricing Results'!K56/'2nd IA Load Pricing Results'!$B$18,0)</f>
        <v>0</v>
      </c>
      <c r="J35" s="501">
        <f t="shared" si="14"/>
        <v>0</v>
      </c>
      <c r="K35" s="500">
        <f>IF(D35="PS",$J$8*'2nd IA Load Pricing Results'!K56/'2nd IA Load Pricing Results'!$K$60,0)</f>
        <v>0</v>
      </c>
      <c r="L35" s="501">
        <f t="shared" si="12"/>
        <v>0</v>
      </c>
      <c r="M35" s="500">
        <f>IF(D35="DPL",$J$9*'2nd IA Load Pricing Results'!K56/'2nd IA Load Pricing Results'!$K$52,0)</f>
        <v>0</v>
      </c>
      <c r="N35" s="501">
        <f t="shared" si="2"/>
        <v>0</v>
      </c>
      <c r="O35" s="500">
        <f>IF(D35="PEPCO",$J$10*'2nd IA Load Pricing Results'!K56/'2nd IA Load Pricing Results'!$K$58,0)</f>
        <v>0</v>
      </c>
      <c r="P35" s="501">
        <f t="shared" si="10"/>
        <v>0</v>
      </c>
      <c r="Q35" s="500">
        <f>IF(D35="ATSI",$J$11*'2nd IA Load Pricing Results'!K56/'2nd IA Load Pricing Results'!$K$45,0)</f>
        <v>0</v>
      </c>
      <c r="R35" s="501">
        <f t="shared" si="11"/>
        <v>0</v>
      </c>
      <c r="S35" s="500">
        <f>IF(D35="COMED",$J$12*'2nd IA Load Pricing Results'!K56/'2nd IA Load Pricing Results'!$K$47,0)</f>
        <v>0</v>
      </c>
      <c r="T35" s="501">
        <f t="shared" si="3"/>
        <v>0</v>
      </c>
      <c r="U35" s="500">
        <f>IF(D35="BGE",$J$13*'2nd IA Load Pricing Results'!K56/'2nd IA Load Pricing Results'!$K$46,0)</f>
        <v>0</v>
      </c>
      <c r="V35" s="501">
        <f t="shared" si="4"/>
        <v>0</v>
      </c>
      <c r="W35" s="500">
        <f>IF(D35="PL",$J$14*'2nd IA Load Pricing Results'!K56/'2nd IA Load Pricing Results'!$K$59,0)</f>
        <v>0</v>
      </c>
      <c r="X35" s="501">
        <f t="shared" si="5"/>
        <v>0</v>
      </c>
      <c r="Y35" s="353">
        <f t="shared" si="6"/>
        <v>853.6068360150465</v>
      </c>
      <c r="Z35" s="328">
        <f t="shared" si="7"/>
        <v>0</v>
      </c>
      <c r="AA35" s="328">
        <f>Z35/'2nd IA Load Pricing Results'!K56</f>
        <v>0</v>
      </c>
      <c r="AB35" s="328">
        <f t="shared" si="13"/>
        <v>0</v>
      </c>
    </row>
    <row r="36" spans="1:28" ht="13.5">
      <c r="A36" s="333" t="s">
        <v>14</v>
      </c>
      <c r="B36" s="464" t="s">
        <v>29</v>
      </c>
      <c r="C36" s="464"/>
      <c r="D36" s="464"/>
      <c r="E36" s="500">
        <f>IF(B36="MAAC",$J$5*'2nd IA Load Pricing Results'!K57/'2nd IA Load Pricing Results'!$B$16,0)</f>
        <v>0</v>
      </c>
      <c r="F36" s="501">
        <f t="shared" si="8"/>
        <v>0</v>
      </c>
      <c r="G36" s="500">
        <f>IF(C36="EMAAC",$J$6*'2nd IA Load Pricing Results'!K57/'2nd IA Load Pricing Results'!$B$17,0)</f>
        <v>0</v>
      </c>
      <c r="H36" s="501">
        <f t="shared" si="9"/>
        <v>0</v>
      </c>
      <c r="I36" s="500">
        <f>IF(C36="SWMAAC",$J$7*'2nd IA Load Pricing Results'!K57/'2nd IA Load Pricing Results'!$B$18,0)</f>
        <v>0</v>
      </c>
      <c r="J36" s="501">
        <f t="shared" si="14"/>
        <v>0</v>
      </c>
      <c r="K36" s="500">
        <f>IF(D36="PS",$J$8*'2nd IA Load Pricing Results'!K57/'2nd IA Load Pricing Results'!$K$60,0)</f>
        <v>0</v>
      </c>
      <c r="L36" s="501">
        <f t="shared" si="12"/>
        <v>0</v>
      </c>
      <c r="M36" s="500">
        <f>IF(D36="DPL",$J$9*'2nd IA Load Pricing Results'!K57/'2nd IA Load Pricing Results'!$K$52,0)</f>
        <v>0</v>
      </c>
      <c r="N36" s="501">
        <f t="shared" si="2"/>
        <v>0</v>
      </c>
      <c r="O36" s="500">
        <f>IF(D36="PEPCO",$J$10*'2nd IA Load Pricing Results'!K57/'2nd IA Load Pricing Results'!$K$58,0)</f>
        <v>0</v>
      </c>
      <c r="P36" s="501">
        <f t="shared" si="10"/>
        <v>0</v>
      </c>
      <c r="Q36" s="500">
        <f>IF(D36="ATSI",$J$11*'2nd IA Load Pricing Results'!K57/'2nd IA Load Pricing Results'!$K$45,0)</f>
        <v>0</v>
      </c>
      <c r="R36" s="501">
        <f t="shared" si="11"/>
        <v>0</v>
      </c>
      <c r="S36" s="500">
        <f>IF(D36="COMED",$J$12*'2nd IA Load Pricing Results'!K57/'2nd IA Load Pricing Results'!$K$47,0)</f>
        <v>0</v>
      </c>
      <c r="T36" s="501">
        <f t="shared" si="3"/>
        <v>0</v>
      </c>
      <c r="U36" s="500">
        <f>IF(D36="BGE",$J$13*'2nd IA Load Pricing Results'!K57/'2nd IA Load Pricing Results'!$K$46,0)</f>
        <v>0</v>
      </c>
      <c r="V36" s="501">
        <f t="shared" si="4"/>
        <v>0</v>
      </c>
      <c r="W36" s="500">
        <f>IF(D36="PL",$J$14*'2nd IA Load Pricing Results'!K57/'2nd IA Load Pricing Results'!$K$59,0)</f>
        <v>0</v>
      </c>
      <c r="X36" s="501">
        <f>W36*$X$19</f>
        <v>0</v>
      </c>
      <c r="Y36" s="353">
        <f t="shared" si="6"/>
        <v>0</v>
      </c>
      <c r="Z36" s="328">
        <f t="shared" si="7"/>
        <v>0</v>
      </c>
      <c r="AA36" s="328">
        <f>Z36/'2nd IA Load Pricing Results'!K57</f>
        <v>0</v>
      </c>
      <c r="AB36" s="328">
        <f t="shared" si="13"/>
        <v>0</v>
      </c>
    </row>
    <row r="37" spans="1:28" ht="13.5">
      <c r="A37" s="333" t="s">
        <v>15</v>
      </c>
      <c r="B37" s="464" t="s">
        <v>29</v>
      </c>
      <c r="C37" s="464" t="s">
        <v>5</v>
      </c>
      <c r="D37" s="464" t="s">
        <v>15</v>
      </c>
      <c r="E37" s="500">
        <f>IF(B37="MAAC",$J$5*'2nd IA Load Pricing Results'!K58/'2nd IA Load Pricing Results'!$B$16,0)</f>
        <v>0</v>
      </c>
      <c r="F37" s="501">
        <f t="shared" si="8"/>
        <v>0</v>
      </c>
      <c r="G37" s="500">
        <f>IF(C37="EMAAC",$J$6*'2nd IA Load Pricing Results'!K58/'2nd IA Load Pricing Results'!$B$17,0)</f>
        <v>0</v>
      </c>
      <c r="H37" s="501">
        <f t="shared" si="9"/>
        <v>0</v>
      </c>
      <c r="I37" s="500">
        <f>IF(C37="SWMAAC",$J$7*'2nd IA Load Pricing Results'!K58/'2nd IA Load Pricing Results'!$B$18,0)</f>
        <v>1757.2788989461949</v>
      </c>
      <c r="J37" s="501">
        <f t="shared" si="14"/>
        <v>0</v>
      </c>
      <c r="K37" s="500">
        <f>IF(D37="PS",$J$8*'2nd IA Load Pricing Results'!K58/'2nd IA Load Pricing Results'!$K$60,0)</f>
        <v>0</v>
      </c>
      <c r="L37" s="501">
        <f t="shared" si="12"/>
        <v>0</v>
      </c>
      <c r="M37" s="500">
        <f>IF(D37="DPL",$J$9*'2nd IA Load Pricing Results'!K58/'2nd IA Load Pricing Results'!$K$52,0)</f>
        <v>0</v>
      </c>
      <c r="N37" s="501">
        <f>M37*$N$19</f>
        <v>0</v>
      </c>
      <c r="O37" s="500">
        <f>IF(D37="PEPCO",$J$10*'2nd IA Load Pricing Results'!K58/'2nd IA Load Pricing Results'!$K$58,0)</f>
        <v>1335.2741214510615</v>
      </c>
      <c r="P37" s="501">
        <f>O37*$P$19</f>
        <v>0</v>
      </c>
      <c r="Q37" s="500">
        <f>IF(D37="ATSI",$J$11*'2nd IA Load Pricing Results'!K58/'2nd IA Load Pricing Results'!$K$45,0)</f>
        <v>0</v>
      </c>
      <c r="R37" s="501">
        <f t="shared" si="11"/>
        <v>0</v>
      </c>
      <c r="S37" s="500">
        <f>IF(D37="COMED",$J$12*'2nd IA Load Pricing Results'!K58/'2nd IA Load Pricing Results'!$K$47,0)</f>
        <v>0</v>
      </c>
      <c r="T37" s="501">
        <f t="shared" si="3"/>
        <v>0</v>
      </c>
      <c r="U37" s="500">
        <f>IF(D37="BGE",$J$13*'2nd IA Load Pricing Results'!K58/'2nd IA Load Pricing Results'!$K$46,0)</f>
        <v>0</v>
      </c>
      <c r="V37" s="501">
        <f t="shared" si="4"/>
        <v>0</v>
      </c>
      <c r="W37" s="500">
        <f>IF(D37="PL",$J$14*'2nd IA Load Pricing Results'!K58/'2nd IA Load Pricing Results'!$K$59,0)</f>
        <v>0</v>
      </c>
      <c r="X37" s="501">
        <f>W37*$X$19</f>
        <v>0</v>
      </c>
      <c r="Y37" s="353">
        <f t="shared" si="6"/>
        <v>1757.2788989461949</v>
      </c>
      <c r="Z37" s="328">
        <f t="shared" si="7"/>
        <v>0</v>
      </c>
      <c r="AA37" s="328">
        <f>Z37/'2nd IA Load Pricing Results'!K58</f>
        <v>0</v>
      </c>
      <c r="AB37" s="328">
        <f t="shared" si="13"/>
        <v>0</v>
      </c>
    </row>
    <row r="38" spans="1:28" ht="13.5">
      <c r="A38" s="333" t="s">
        <v>10</v>
      </c>
      <c r="B38" s="464" t="s">
        <v>29</v>
      </c>
      <c r="C38" s="464"/>
      <c r="D38" s="464" t="s">
        <v>10</v>
      </c>
      <c r="E38" s="500">
        <f>IF(B38="MAAC",$J$5*'2nd IA Load Pricing Results'!K59/'2nd IA Load Pricing Results'!$B$16,0)</f>
        <v>0</v>
      </c>
      <c r="F38" s="501">
        <f t="shared" si="8"/>
        <v>0</v>
      </c>
      <c r="G38" s="500">
        <f>IF(C38="EMAAC",$J$6*'2nd IA Load Pricing Results'!K59/'2nd IA Load Pricing Results'!$B$17,0)</f>
        <v>0</v>
      </c>
      <c r="H38" s="501">
        <f t="shared" si="9"/>
        <v>0</v>
      </c>
      <c r="I38" s="500">
        <f>IF(C38="SWMAAC",$J$7*'2nd IA Load Pricing Results'!K59/'2nd IA Load Pricing Results'!$B$18,0)</f>
        <v>0</v>
      </c>
      <c r="J38" s="501">
        <f t="shared" si="14"/>
        <v>0</v>
      </c>
      <c r="K38" s="500">
        <f>IF(D38="PS",$J$8*'2nd IA Load Pricing Results'!K59/'2nd IA Load Pricing Results'!$K$60,0)</f>
        <v>0</v>
      </c>
      <c r="L38" s="501">
        <f t="shared" si="12"/>
        <v>0</v>
      </c>
      <c r="M38" s="500">
        <f>IF(D38="DPL",$J$9*'2nd IA Load Pricing Results'!K59/'2nd IA Load Pricing Results'!$K$52,0)</f>
        <v>0</v>
      </c>
      <c r="N38" s="501">
        <f t="shared" si="2"/>
        <v>0</v>
      </c>
      <c r="O38" s="500">
        <f>IF(D38="PEPCO",$J$10*'2nd IA Load Pricing Results'!K59/'2nd IA Load Pricing Results'!$K$58,0)</f>
        <v>0</v>
      </c>
      <c r="P38" s="501">
        <f>O38*$P$19</f>
        <v>0</v>
      </c>
      <c r="Q38" s="500">
        <f>IF(D38="ATSI",$J$11*'2nd IA Load Pricing Results'!K59/'2nd IA Load Pricing Results'!$K$45,0)</f>
        <v>0</v>
      </c>
      <c r="R38" s="501">
        <f t="shared" si="11"/>
        <v>0</v>
      </c>
      <c r="S38" s="500">
        <f>IF(D38="COMED",$J$12*'2nd IA Load Pricing Results'!K59/'2nd IA Load Pricing Results'!$K$47,0)</f>
        <v>0</v>
      </c>
      <c r="T38" s="501">
        <f t="shared" si="3"/>
        <v>0</v>
      </c>
      <c r="U38" s="500">
        <f>IF(D38="BGE",$J$13*'2nd IA Load Pricing Results'!K59/'2nd IA Load Pricing Results'!$K$46,0)</f>
        <v>0</v>
      </c>
      <c r="V38" s="501">
        <f t="shared" si="4"/>
        <v>0</v>
      </c>
      <c r="W38" s="500">
        <f>IF(D38="PL",$J$14*'2nd IA Load Pricing Results'!K59/'2nd IA Load Pricing Results'!$K$59,0)</f>
        <v>0</v>
      </c>
      <c r="X38" s="501">
        <f>W38*$X$19</f>
        <v>0</v>
      </c>
      <c r="Y38" s="353">
        <f t="shared" si="6"/>
        <v>0</v>
      </c>
      <c r="Z38" s="328">
        <f t="shared" si="7"/>
        <v>0</v>
      </c>
      <c r="AA38" s="328">
        <f>Z38/'2nd IA Load Pricing Results'!K59</f>
        <v>0</v>
      </c>
      <c r="AB38" s="328">
        <f t="shared" si="13"/>
        <v>0</v>
      </c>
    </row>
    <row r="39" spans="1:28" ht="13.5">
      <c r="A39" s="333" t="s">
        <v>8</v>
      </c>
      <c r="B39" s="464" t="s">
        <v>29</v>
      </c>
      <c r="C39" s="464" t="s">
        <v>39</v>
      </c>
      <c r="D39" s="464" t="s">
        <v>8</v>
      </c>
      <c r="E39" s="500">
        <f>IF(B39="MAAC",$J$5*'2nd IA Load Pricing Results'!K60/'2nd IA Load Pricing Results'!$B$16,0)</f>
        <v>0</v>
      </c>
      <c r="F39" s="501">
        <f t="shared" si="8"/>
        <v>0</v>
      </c>
      <c r="G39" s="500">
        <f>IF(C39="EMAAC",$J$6*'2nd IA Load Pricing Results'!K60/'2nd IA Load Pricing Results'!$B$17,0)</f>
        <v>999.0649557536727</v>
      </c>
      <c r="H39" s="501">
        <f>G39*$H$19</f>
        <v>0</v>
      </c>
      <c r="I39" s="500">
        <f>IF(C39="SWMAAC",$J$7*'2nd IA Load Pricing Results'!K60/'2nd IA Load Pricing Results'!$B$18,0)</f>
        <v>0</v>
      </c>
      <c r="J39" s="501">
        <f t="shared" si="14"/>
        <v>0</v>
      </c>
      <c r="K39" s="500">
        <f>IF(D39="PS",$J$8*'2nd IA Load Pricing Results'!K60/'2nd IA Load Pricing Results'!$K$60,0)</f>
        <v>4725.152199440142</v>
      </c>
      <c r="L39" s="501">
        <f>K39*$L$19</f>
        <v>446223.856712429</v>
      </c>
      <c r="M39" s="500">
        <f>IF(D39="DPL",$J$9*'2nd IA Load Pricing Results'!K60/'2nd IA Load Pricing Results'!$K$52,0)</f>
        <v>0</v>
      </c>
      <c r="N39" s="501">
        <f t="shared" si="2"/>
        <v>0</v>
      </c>
      <c r="O39" s="500">
        <f>IF(D39="PEPCO",$J$10*'2nd IA Load Pricing Results'!K60/'2nd IA Load Pricing Results'!$K$58,0)</f>
        <v>0</v>
      </c>
      <c r="P39" s="501">
        <f>O39*$P$19</f>
        <v>0</v>
      </c>
      <c r="Q39" s="500">
        <f>IF(D39="ATSI",$J$11*'2nd IA Load Pricing Results'!K60/'2nd IA Load Pricing Results'!$K$45,0)</f>
        <v>0</v>
      </c>
      <c r="R39" s="501">
        <f t="shared" si="11"/>
        <v>0</v>
      </c>
      <c r="S39" s="500">
        <f>IF(D39="COMED",$J$12*'2nd IA Load Pricing Results'!K60/'2nd IA Load Pricing Results'!$K$47,0)</f>
        <v>0</v>
      </c>
      <c r="T39" s="501">
        <f t="shared" si="3"/>
        <v>0</v>
      </c>
      <c r="U39" s="500">
        <f>IF(D39="BGE",$J$13*'2nd IA Load Pricing Results'!K60/'2nd IA Load Pricing Results'!$K$46,0)</f>
        <v>0</v>
      </c>
      <c r="V39" s="501">
        <f t="shared" si="4"/>
        <v>0</v>
      </c>
      <c r="W39" s="500">
        <f>IF(D39="PL",$J$14*'2nd IA Load Pricing Results'!K60/'2nd IA Load Pricing Results'!$K$59,0)</f>
        <v>0</v>
      </c>
      <c r="X39" s="501">
        <f t="shared" si="5"/>
        <v>0</v>
      </c>
      <c r="Y39" s="353">
        <f t="shared" si="6"/>
        <v>4725.152199440142</v>
      </c>
      <c r="Z39" s="328">
        <f t="shared" si="7"/>
        <v>446223.856712429</v>
      </c>
      <c r="AA39" s="328">
        <f>Z39/'2nd IA Load Pricing Results'!K60</f>
        <v>39.50304014979985</v>
      </c>
      <c r="AB39" s="328">
        <f>IF(Y39=0,0,Z39/Y39)</f>
        <v>94.43586955046648</v>
      </c>
    </row>
    <row r="40" spans="1:28" ht="13.5">
      <c r="A40" s="333" t="s">
        <v>18</v>
      </c>
      <c r="B40" s="464" t="s">
        <v>29</v>
      </c>
      <c r="C40" s="464" t="s">
        <v>39</v>
      </c>
      <c r="D40" s="464"/>
      <c r="E40" s="500">
        <f>IF(B40="MAAC",$J$5*'2nd IA Load Pricing Results'!K61/'2nd IA Load Pricing Results'!$B$16,0)</f>
        <v>0</v>
      </c>
      <c r="F40" s="501">
        <f t="shared" si="8"/>
        <v>0</v>
      </c>
      <c r="G40" s="500">
        <f>IF(C40="EMAAC",$J$6*'2nd IA Load Pricing Results'!K61/'2nd IA Load Pricing Results'!$B$17,0)</f>
        <v>39.905943561189645</v>
      </c>
      <c r="H40" s="501">
        <f t="shared" si="9"/>
        <v>0</v>
      </c>
      <c r="I40" s="500">
        <f>IF(C40="SWMAAC",$J$7*'2nd IA Load Pricing Results'!K61/'2nd IA Load Pricing Results'!$B$18,0)</f>
        <v>0</v>
      </c>
      <c r="J40" s="501">
        <f>I40*$J$19</f>
        <v>0</v>
      </c>
      <c r="K40" s="500">
        <f>IF(D40="PS",$J$8*'2nd IA Load Pricing Results'!K61/'2nd IA Load Pricing Results'!$K$60,0)</f>
        <v>0</v>
      </c>
      <c r="L40" s="501">
        <f>K40*$L$19</f>
        <v>0</v>
      </c>
      <c r="M40" s="500">
        <f>IF(D40="DPL",$J$9*'2nd IA Load Pricing Results'!K61/'2nd IA Load Pricing Results'!$K$52,0)</f>
        <v>0</v>
      </c>
      <c r="N40" s="501">
        <f t="shared" si="2"/>
        <v>0</v>
      </c>
      <c r="O40" s="500">
        <f>IF(D40="PEPCO",$J$10*'2nd IA Load Pricing Results'!K61/'2nd IA Load Pricing Results'!$K$58,0)</f>
        <v>0</v>
      </c>
      <c r="P40" s="501">
        <f>O40*$P$19</f>
        <v>0</v>
      </c>
      <c r="Q40" s="500">
        <f>IF(D40="ATSI",$J$11*'2nd IA Load Pricing Results'!K61/'2nd IA Load Pricing Results'!$K$45,0)</f>
        <v>0</v>
      </c>
      <c r="R40" s="501">
        <f t="shared" si="11"/>
        <v>0</v>
      </c>
      <c r="S40" s="500">
        <f>IF(D40="COMED",$J$12*'2nd IA Load Pricing Results'!K61/'2nd IA Load Pricing Results'!$K$47,0)</f>
        <v>0</v>
      </c>
      <c r="T40" s="501">
        <f t="shared" si="3"/>
        <v>0</v>
      </c>
      <c r="U40" s="500">
        <f>IF(D40="BGE",$J$13*'2nd IA Load Pricing Results'!K61/'2nd IA Load Pricing Results'!$K$46,0)</f>
        <v>0</v>
      </c>
      <c r="V40" s="501">
        <f t="shared" si="4"/>
        <v>0</v>
      </c>
      <c r="W40" s="500">
        <f>IF(D40="PL",$J$14*'2nd IA Load Pricing Results'!K61/'2nd IA Load Pricing Results'!$K$59,0)</f>
        <v>0</v>
      </c>
      <c r="X40" s="501">
        <f t="shared" si="5"/>
        <v>0</v>
      </c>
      <c r="Y40" s="353">
        <f t="shared" si="6"/>
        <v>39.905943561189645</v>
      </c>
      <c r="Z40" s="328">
        <f t="shared" si="7"/>
        <v>0</v>
      </c>
      <c r="AA40" s="328">
        <f>Z40/'2nd IA Load Pricing Results'!K61</f>
        <v>0</v>
      </c>
      <c r="AB40" s="328">
        <f>IF(Y40=0,0,Z40/Y40)</f>
        <v>0</v>
      </c>
    </row>
    <row r="41" spans="1:28" ht="13.5">
      <c r="A41" s="694" t="s">
        <v>81</v>
      </c>
      <c r="B41" s="694"/>
      <c r="C41" s="694"/>
      <c r="D41" s="694"/>
      <c r="E41" s="502">
        <f aca="true" t="shared" si="15" ref="E41:X41">SUM(E21:E40)</f>
        <v>0</v>
      </c>
      <c r="F41" s="503">
        <f>SUM(F21:F40)</f>
        <v>0</v>
      </c>
      <c r="G41" s="502">
        <f t="shared" si="15"/>
        <v>3132.2961819422135</v>
      </c>
      <c r="H41" s="503">
        <f>SUM(H21:H40)</f>
        <v>0</v>
      </c>
      <c r="I41" s="502">
        <f t="shared" si="15"/>
        <v>3621.2894064132174</v>
      </c>
      <c r="J41" s="503">
        <f>SUM(J21:J40)</f>
        <v>0</v>
      </c>
      <c r="K41" s="502">
        <f t="shared" si="15"/>
        <v>4725.152199440142</v>
      </c>
      <c r="L41" s="503">
        <f>SUM(L21:L40)</f>
        <v>446223.856712429</v>
      </c>
      <c r="M41" s="502">
        <f>SUM(M21:M40)</f>
        <v>0</v>
      </c>
      <c r="N41" s="503">
        <f>SUM(N21:N40)</f>
        <v>0</v>
      </c>
      <c r="O41" s="502">
        <f>SUM(O21:O40)</f>
        <v>1335.2741214510615</v>
      </c>
      <c r="P41" s="503">
        <f t="shared" si="15"/>
        <v>0</v>
      </c>
      <c r="Q41" s="502">
        <f t="shared" si="15"/>
        <v>5852.282652648578</v>
      </c>
      <c r="R41" s="503">
        <f t="shared" si="15"/>
        <v>0</v>
      </c>
      <c r="S41" s="502">
        <f t="shared" si="15"/>
        <v>1907.5018644385204</v>
      </c>
      <c r="T41" s="503">
        <f>SUM(T21:T40)</f>
        <v>0</v>
      </c>
      <c r="U41" s="502">
        <f t="shared" si="15"/>
        <v>4028.0152849621572</v>
      </c>
      <c r="V41" s="503">
        <f>SUM(V21:V40)</f>
        <v>0</v>
      </c>
      <c r="W41" s="502">
        <f t="shared" si="15"/>
        <v>0</v>
      </c>
      <c r="X41" s="503">
        <f t="shared" si="15"/>
        <v>0</v>
      </c>
      <c r="Y41" s="353"/>
      <c r="Z41" s="503">
        <f>SUM(Z21:Z40)</f>
        <v>446223.856712429</v>
      </c>
      <c r="AA41" s="504"/>
      <c r="AB41" s="504"/>
    </row>
    <row r="42" spans="1:28" ht="13.5">
      <c r="A42" s="336" t="s">
        <v>82</v>
      </c>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356"/>
      <c r="AA42" s="255"/>
      <c r="AB42" s="255"/>
    </row>
    <row r="43" spans="1:28" ht="13.5">
      <c r="A43" s="336" t="s">
        <v>286</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row>
    <row r="44" spans="1:28" ht="13.5">
      <c r="A44" s="336" t="s">
        <v>345</v>
      </c>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row>
    <row r="45" spans="1:28" ht="13.5">
      <c r="A45" s="336" t="s">
        <v>287</v>
      </c>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row>
  </sheetData>
  <sheetProtection/>
  <mergeCells count="12">
    <mergeCell ref="S18:T18"/>
    <mergeCell ref="U18:V18"/>
    <mergeCell ref="W18:X18"/>
    <mergeCell ref="A41:D41"/>
    <mergeCell ref="A17:D19"/>
    <mergeCell ref="E18:F18"/>
    <mergeCell ref="G18:H18"/>
    <mergeCell ref="I18:J18"/>
    <mergeCell ref="K18:L18"/>
    <mergeCell ref="M18:N18"/>
    <mergeCell ref="O18:P18"/>
    <mergeCell ref="Q18:R18"/>
  </mergeCells>
  <printOptions/>
  <pageMargins left="0.7" right="0.7" top="0.75" bottom="0.75" header="0.3" footer="0.3"/>
  <pageSetup fitToHeight="1" fitToWidth="1" horizontalDpi="600" verticalDpi="600" orientation="landscape" paperSize="17" scale="43" r:id="rId1"/>
</worksheet>
</file>

<file path=xl/worksheets/sheet15.xml><?xml version="1.0" encoding="utf-8"?>
<worksheet xmlns="http://schemas.openxmlformats.org/spreadsheetml/2006/main" xmlns:r="http://schemas.openxmlformats.org/officeDocument/2006/relationships">
  <sheetPr>
    <pageSetUpPr fitToPage="1"/>
  </sheetPr>
  <dimension ref="A1:AA101"/>
  <sheetViews>
    <sheetView zoomScalePageLayoutView="0" workbookViewId="0" topLeftCell="A1">
      <selection activeCell="A1" sqref="A1"/>
    </sheetView>
  </sheetViews>
  <sheetFormatPr defaultColWidth="9.140625" defaultRowHeight="12.75"/>
  <cols>
    <col min="1" max="1" width="55.7109375" style="0" customWidth="1"/>
    <col min="2" max="28" width="15.7109375" style="0" customWidth="1"/>
  </cols>
  <sheetData>
    <row r="1" spans="1:26" ht="18">
      <c r="A1" s="370" t="s">
        <v>358</v>
      </c>
      <c r="B1" s="439" t="s">
        <v>24</v>
      </c>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
      <c r="A2" s="317"/>
      <c r="B2" s="255"/>
      <c r="C2" s="438"/>
      <c r="D2" s="255"/>
      <c r="E2" s="255"/>
      <c r="F2" s="255"/>
      <c r="G2" s="255"/>
      <c r="H2" s="255"/>
      <c r="I2" s="255"/>
      <c r="J2" s="255"/>
      <c r="K2" s="255"/>
      <c r="L2" s="255"/>
      <c r="M2" s="255"/>
      <c r="N2" s="255"/>
      <c r="O2" s="255"/>
      <c r="P2" s="255"/>
      <c r="Q2" s="255"/>
      <c r="R2" s="255"/>
      <c r="S2" s="255"/>
      <c r="T2" s="255"/>
      <c r="U2" s="255"/>
      <c r="V2" s="255"/>
      <c r="W2" s="255"/>
      <c r="X2" s="255"/>
      <c r="Y2" s="255"/>
      <c r="Z2" s="255"/>
    </row>
    <row r="3" spans="1:27" ht="13.5">
      <c r="A3" s="697" t="s">
        <v>73</v>
      </c>
      <c r="B3" s="255"/>
      <c r="C3" s="505" t="s">
        <v>170</v>
      </c>
      <c r="D3" s="255"/>
      <c r="E3" s="255"/>
      <c r="F3" s="255"/>
      <c r="G3" s="255"/>
      <c r="H3" s="505" t="s">
        <v>170</v>
      </c>
      <c r="I3" s="255"/>
      <c r="J3" s="505" t="s">
        <v>170</v>
      </c>
      <c r="K3" s="255"/>
      <c r="L3" s="255"/>
      <c r="M3" s="255"/>
      <c r="N3" s="255"/>
      <c r="O3" s="255"/>
      <c r="P3" s="255"/>
      <c r="Q3" s="255"/>
      <c r="R3" s="255"/>
      <c r="S3" s="255"/>
      <c r="T3" s="255"/>
      <c r="U3" s="255"/>
      <c r="V3" s="255"/>
      <c r="W3" s="255"/>
      <c r="X3" s="255"/>
      <c r="Y3" s="255"/>
      <c r="Z3" s="255"/>
      <c r="AA3" s="255"/>
    </row>
    <row r="4" spans="1:27" ht="13.5">
      <c r="A4" s="698"/>
      <c r="B4" s="506" t="s">
        <v>29</v>
      </c>
      <c r="C4" s="506" t="s">
        <v>29</v>
      </c>
      <c r="D4" s="506" t="s">
        <v>39</v>
      </c>
      <c r="E4" s="506" t="s">
        <v>5</v>
      </c>
      <c r="F4" s="506" t="s">
        <v>8</v>
      </c>
      <c r="G4" s="506" t="s">
        <v>40</v>
      </c>
      <c r="H4" s="506" t="s">
        <v>40</v>
      </c>
      <c r="I4" s="506" t="s">
        <v>41</v>
      </c>
      <c r="J4" s="506" t="s">
        <v>41</v>
      </c>
      <c r="K4" s="506" t="s">
        <v>15</v>
      </c>
      <c r="L4" s="506" t="s">
        <v>11</v>
      </c>
      <c r="M4" s="507"/>
      <c r="N4" s="507"/>
      <c r="O4" s="507"/>
      <c r="P4" s="507"/>
      <c r="Q4" s="507"/>
      <c r="R4" s="255"/>
      <c r="S4" s="255"/>
      <c r="T4" s="255"/>
      <c r="U4" s="255"/>
      <c r="V4" s="255"/>
      <c r="W4" s="255"/>
      <c r="X4" s="255"/>
      <c r="Y4" s="255"/>
      <c r="Z4" s="255"/>
      <c r="AA4" s="255"/>
    </row>
    <row r="5" spans="1:27" ht="27">
      <c r="A5" s="577" t="s">
        <v>129</v>
      </c>
      <c r="B5" s="323" t="s">
        <v>142</v>
      </c>
      <c r="C5" s="323" t="s">
        <v>171</v>
      </c>
      <c r="D5" s="323" t="s">
        <v>184</v>
      </c>
      <c r="E5" s="323" t="s">
        <v>184</v>
      </c>
      <c r="F5" s="323" t="s">
        <v>184</v>
      </c>
      <c r="G5" s="323" t="s">
        <v>375</v>
      </c>
      <c r="H5" s="323" t="s">
        <v>374</v>
      </c>
      <c r="I5" s="323" t="s">
        <v>375</v>
      </c>
      <c r="J5" s="323" t="s">
        <v>374</v>
      </c>
      <c r="K5" s="323" t="s">
        <v>184</v>
      </c>
      <c r="L5" s="323" t="s">
        <v>184</v>
      </c>
      <c r="M5" s="507"/>
      <c r="N5" s="507"/>
      <c r="O5" s="507"/>
      <c r="P5" s="507"/>
      <c r="Q5" s="507"/>
      <c r="R5" s="318"/>
      <c r="S5" s="255"/>
      <c r="T5" s="255"/>
      <c r="U5" s="255"/>
      <c r="V5" s="255"/>
      <c r="W5" s="255"/>
      <c r="X5" s="255"/>
      <c r="Y5" s="255"/>
      <c r="Z5" s="255"/>
      <c r="AA5" s="255"/>
    </row>
    <row r="6" spans="1:27" ht="13.5">
      <c r="A6" s="508" t="s">
        <v>130</v>
      </c>
      <c r="B6" s="509"/>
      <c r="C6" s="509"/>
      <c r="D6" s="509"/>
      <c r="E6" s="509"/>
      <c r="F6" s="509"/>
      <c r="G6" s="509"/>
      <c r="H6" s="509"/>
      <c r="I6" s="509"/>
      <c r="J6" s="509"/>
      <c r="K6" s="509"/>
      <c r="L6" s="509"/>
      <c r="M6" s="507"/>
      <c r="N6" s="507"/>
      <c r="O6" s="507"/>
      <c r="P6" s="507"/>
      <c r="Q6" s="507"/>
      <c r="R6" s="318"/>
      <c r="S6" s="255"/>
      <c r="T6" s="255"/>
      <c r="U6" s="255"/>
      <c r="V6" s="255"/>
      <c r="W6" s="255"/>
      <c r="X6" s="255"/>
      <c r="Y6" s="255"/>
      <c r="Z6" s="255"/>
      <c r="AA6" s="255"/>
    </row>
    <row r="7" spans="1:27" ht="13.5">
      <c r="A7" s="510" t="s">
        <v>120</v>
      </c>
      <c r="B7" s="511">
        <v>160</v>
      </c>
      <c r="C7" s="511">
        <f>B7*'BRA CTRs'!$G$5/$B$25</f>
        <v>0</v>
      </c>
      <c r="D7" s="511">
        <v>0</v>
      </c>
      <c r="E7" s="511">
        <v>0</v>
      </c>
      <c r="F7" s="511">
        <v>0</v>
      </c>
      <c r="G7" s="511">
        <v>0</v>
      </c>
      <c r="H7" s="511">
        <v>0</v>
      </c>
      <c r="I7" s="511">
        <v>0</v>
      </c>
      <c r="J7" s="511">
        <v>0</v>
      </c>
      <c r="K7" s="511">
        <v>0</v>
      </c>
      <c r="L7" s="511">
        <v>0</v>
      </c>
      <c r="M7" s="341"/>
      <c r="N7" s="341"/>
      <c r="O7" s="341"/>
      <c r="P7" s="341"/>
      <c r="Q7" s="341"/>
      <c r="R7" s="318"/>
      <c r="S7" s="255"/>
      <c r="T7" s="255"/>
      <c r="U7" s="255"/>
      <c r="V7" s="255"/>
      <c r="W7" s="255"/>
      <c r="X7" s="255"/>
      <c r="Y7" s="255"/>
      <c r="Z7" s="255"/>
      <c r="AA7" s="255"/>
    </row>
    <row r="8" spans="1:27" ht="13.5">
      <c r="A8" s="510" t="s">
        <v>121</v>
      </c>
      <c r="B8" s="511">
        <v>106</v>
      </c>
      <c r="C8" s="511">
        <f>B8*'BRA CTRs'!$G$5/$B$25</f>
        <v>0</v>
      </c>
      <c r="D8" s="511">
        <v>0</v>
      </c>
      <c r="E8" s="511">
        <v>0</v>
      </c>
      <c r="F8" s="511">
        <v>0</v>
      </c>
      <c r="G8" s="511">
        <v>0</v>
      </c>
      <c r="H8" s="511">
        <v>0</v>
      </c>
      <c r="I8" s="511">
        <v>0</v>
      </c>
      <c r="J8" s="511">
        <v>0</v>
      </c>
      <c r="K8" s="511">
        <v>0</v>
      </c>
      <c r="L8" s="511">
        <v>0</v>
      </c>
      <c r="M8" s="341"/>
      <c r="N8" s="341"/>
      <c r="O8" s="341"/>
      <c r="P8" s="341"/>
      <c r="Q8" s="341"/>
      <c r="R8" s="318"/>
      <c r="S8" s="255"/>
      <c r="T8" s="255"/>
      <c r="U8" s="255"/>
      <c r="V8" s="255"/>
      <c r="W8" s="255"/>
      <c r="X8" s="255"/>
      <c r="Y8" s="255"/>
      <c r="Z8" s="255"/>
      <c r="AA8" s="255"/>
    </row>
    <row r="9" spans="1:27" ht="13.5">
      <c r="A9" s="510" t="s">
        <v>125</v>
      </c>
      <c r="B9" s="511">
        <v>117</v>
      </c>
      <c r="C9" s="511">
        <f>B9*'BRA CTRs'!$G$5/$B$25</f>
        <v>0</v>
      </c>
      <c r="D9" s="511">
        <v>0</v>
      </c>
      <c r="E9" s="511">
        <v>0</v>
      </c>
      <c r="F9" s="511">
        <v>0</v>
      </c>
      <c r="G9" s="511">
        <v>0</v>
      </c>
      <c r="H9" s="511">
        <v>0</v>
      </c>
      <c r="I9" s="511">
        <v>0</v>
      </c>
      <c r="J9" s="511">
        <v>0</v>
      </c>
      <c r="K9" s="511">
        <v>0</v>
      </c>
      <c r="L9" s="511">
        <v>0</v>
      </c>
      <c r="M9" s="341"/>
      <c r="N9" s="341"/>
      <c r="O9" s="341"/>
      <c r="P9" s="341"/>
      <c r="Q9" s="341"/>
      <c r="R9" s="318"/>
      <c r="S9" s="255"/>
      <c r="T9" s="255"/>
      <c r="U9" s="255"/>
      <c r="V9" s="255"/>
      <c r="W9" s="255"/>
      <c r="X9" s="255"/>
      <c r="Y9" s="255"/>
      <c r="Z9" s="255"/>
      <c r="AA9" s="255"/>
    </row>
    <row r="10" spans="1:27" ht="27">
      <c r="A10" s="510" t="s">
        <v>126</v>
      </c>
      <c r="B10" s="511">
        <v>0</v>
      </c>
      <c r="C10" s="511">
        <f>B10*'BRA CTRs'!$G$5/$B$25</f>
        <v>0</v>
      </c>
      <c r="D10" s="511">
        <v>898</v>
      </c>
      <c r="E10" s="511">
        <v>0</v>
      </c>
      <c r="F10" s="511">
        <v>68.9</v>
      </c>
      <c r="G10" s="511">
        <v>105.5</v>
      </c>
      <c r="H10" s="511">
        <v>0</v>
      </c>
      <c r="I10" s="511">
        <v>0</v>
      </c>
      <c r="J10" s="511">
        <v>0</v>
      </c>
      <c r="K10" s="511">
        <v>0</v>
      </c>
      <c r="L10" s="511">
        <v>0</v>
      </c>
      <c r="M10" s="341"/>
      <c r="N10" s="341"/>
      <c r="O10" s="341"/>
      <c r="P10" s="341"/>
      <c r="Q10" s="341"/>
      <c r="R10" s="318"/>
      <c r="S10" s="255"/>
      <c r="T10" s="255"/>
      <c r="U10" s="255"/>
      <c r="V10" s="255"/>
      <c r="W10" s="255"/>
      <c r="X10" s="255"/>
      <c r="Y10" s="255"/>
      <c r="Z10" s="255"/>
      <c r="AA10" s="255"/>
    </row>
    <row r="11" spans="1:27" ht="13.5">
      <c r="A11" s="510" t="s">
        <v>162</v>
      </c>
      <c r="B11" s="511">
        <v>339</v>
      </c>
      <c r="C11" s="511">
        <f>B11*'BRA CTRs'!$G$5/$B$25</f>
        <v>0</v>
      </c>
      <c r="D11" s="511">
        <v>0</v>
      </c>
      <c r="E11" s="511">
        <v>0</v>
      </c>
      <c r="F11" s="511">
        <v>0</v>
      </c>
      <c r="G11" s="511">
        <v>0</v>
      </c>
      <c r="H11" s="511">
        <v>0</v>
      </c>
      <c r="I11" s="511">
        <v>0</v>
      </c>
      <c r="J11" s="511">
        <v>0</v>
      </c>
      <c r="K11" s="511">
        <v>0</v>
      </c>
      <c r="L11" s="511">
        <v>0</v>
      </c>
      <c r="M11" s="341"/>
      <c r="N11" s="341"/>
      <c r="O11" s="341"/>
      <c r="P11" s="341"/>
      <c r="Q11" s="341"/>
      <c r="R11" s="318"/>
      <c r="S11" s="255"/>
      <c r="T11" s="255"/>
      <c r="U11" s="255"/>
      <c r="V11" s="255"/>
      <c r="W11" s="255"/>
      <c r="X11" s="255"/>
      <c r="Y11" s="255"/>
      <c r="Z11" s="255"/>
      <c r="AA11" s="255"/>
    </row>
    <row r="12" spans="1:27" ht="27">
      <c r="A12" s="512" t="s">
        <v>131</v>
      </c>
      <c r="B12" s="513">
        <f aca="true" t="shared" si="0" ref="B12:K12">SUM(B7:B11)</f>
        <v>722</v>
      </c>
      <c r="C12" s="513">
        <f>SUM(C7:C11)</f>
        <v>0</v>
      </c>
      <c r="D12" s="514">
        <f t="shared" si="0"/>
        <v>898</v>
      </c>
      <c r="E12" s="514">
        <f t="shared" si="0"/>
        <v>0</v>
      </c>
      <c r="F12" s="514">
        <f>SUM(F7:F11)</f>
        <v>68.9</v>
      </c>
      <c r="G12" s="514">
        <f>SUM(G7:G11)</f>
        <v>105.5</v>
      </c>
      <c r="H12" s="514">
        <f>SUM(H7:H11)</f>
        <v>0</v>
      </c>
      <c r="I12" s="514">
        <f t="shared" si="0"/>
        <v>0</v>
      </c>
      <c r="J12" s="514">
        <f>SUM(J7:J11)</f>
        <v>0</v>
      </c>
      <c r="K12" s="514">
        <f t="shared" si="0"/>
        <v>0</v>
      </c>
      <c r="L12" s="514">
        <f>SUM(L7:L11)</f>
        <v>0</v>
      </c>
      <c r="M12" s="341"/>
      <c r="N12" s="341"/>
      <c r="O12" s="341"/>
      <c r="P12" s="341"/>
      <c r="Q12" s="341"/>
      <c r="R12" s="318"/>
      <c r="S12" s="255"/>
      <c r="T12" s="255"/>
      <c r="U12" s="255"/>
      <c r="V12" s="255"/>
      <c r="W12" s="255"/>
      <c r="X12" s="255"/>
      <c r="Y12" s="255"/>
      <c r="Z12" s="255"/>
      <c r="AA12" s="255"/>
    </row>
    <row r="13" spans="1:27" ht="13.5">
      <c r="A13" s="508" t="s">
        <v>230</v>
      </c>
      <c r="B13" s="511" t="s">
        <v>24</v>
      </c>
      <c r="C13" s="511" t="s">
        <v>24</v>
      </c>
      <c r="D13" s="511"/>
      <c r="E13" s="511"/>
      <c r="F13" s="511"/>
      <c r="G13" s="511"/>
      <c r="H13" s="511"/>
      <c r="I13" s="511"/>
      <c r="J13" s="511"/>
      <c r="K13" s="511"/>
      <c r="L13" s="511"/>
      <c r="M13" s="515"/>
      <c r="N13" s="345"/>
      <c r="O13" s="345"/>
      <c r="P13" s="345"/>
      <c r="Q13" s="515"/>
      <c r="R13" s="318"/>
      <c r="S13" s="255"/>
      <c r="T13" s="255"/>
      <c r="U13" s="255"/>
      <c r="V13" s="255"/>
      <c r="W13" s="255"/>
      <c r="X13" s="255"/>
      <c r="Y13" s="255"/>
      <c r="Z13" s="255"/>
      <c r="AA13" s="255"/>
    </row>
    <row r="14" spans="1:27" ht="27">
      <c r="A14" s="510" t="s">
        <v>315</v>
      </c>
      <c r="B14" s="511">
        <v>16</v>
      </c>
      <c r="C14" s="511">
        <f>B14*'BRA CTRs'!$G$5/$B$25</f>
        <v>0</v>
      </c>
      <c r="D14" s="511">
        <v>0</v>
      </c>
      <c r="E14" s="511">
        <v>237</v>
      </c>
      <c r="F14" s="511">
        <v>0</v>
      </c>
      <c r="G14" s="511">
        <v>0</v>
      </c>
      <c r="H14" s="511">
        <v>0</v>
      </c>
      <c r="I14" s="511">
        <v>0</v>
      </c>
      <c r="J14" s="511">
        <v>0</v>
      </c>
      <c r="K14" s="511">
        <v>0</v>
      </c>
      <c r="L14" s="511">
        <v>124</v>
      </c>
      <c r="M14" s="515"/>
      <c r="N14" s="345"/>
      <c r="O14" s="345"/>
      <c r="P14" s="345"/>
      <c r="Q14" s="515"/>
      <c r="R14" s="318"/>
      <c r="S14" s="255"/>
      <c r="T14" s="255"/>
      <c r="U14" s="255"/>
      <c r="V14" s="255"/>
      <c r="W14" s="255"/>
      <c r="X14" s="255"/>
      <c r="Y14" s="255"/>
      <c r="Z14" s="255"/>
      <c r="AA14" s="255"/>
    </row>
    <row r="15" spans="1:27" ht="27">
      <c r="A15" s="510" t="s">
        <v>155</v>
      </c>
      <c r="B15" s="511">
        <v>0</v>
      </c>
      <c r="C15" s="511">
        <f>B15*'BRA CTRs'!$G$5/$B$25</f>
        <v>0</v>
      </c>
      <c r="D15" s="511">
        <v>0</v>
      </c>
      <c r="E15" s="511">
        <v>0</v>
      </c>
      <c r="F15" s="511">
        <v>340.2</v>
      </c>
      <c r="G15" s="511">
        <v>494.5</v>
      </c>
      <c r="H15" s="511">
        <v>0</v>
      </c>
      <c r="I15" s="511">
        <v>0</v>
      </c>
      <c r="J15" s="511">
        <v>0</v>
      </c>
      <c r="K15" s="511">
        <v>0</v>
      </c>
      <c r="L15" s="511">
        <v>0</v>
      </c>
      <c r="M15" s="515"/>
      <c r="N15" s="345"/>
      <c r="O15" s="345"/>
      <c r="P15" s="345"/>
      <c r="Q15" s="515"/>
      <c r="R15" s="318"/>
      <c r="S15" s="255"/>
      <c r="T15" s="255"/>
      <c r="U15" s="255"/>
      <c r="V15" s="255"/>
      <c r="W15" s="255"/>
      <c r="X15" s="255"/>
      <c r="Y15" s="255"/>
      <c r="Z15" s="255"/>
      <c r="AA15" s="255"/>
    </row>
    <row r="16" spans="1:27" ht="27">
      <c r="A16" s="510" t="s">
        <v>123</v>
      </c>
      <c r="B16" s="511">
        <v>0</v>
      </c>
      <c r="C16" s="511">
        <f>B16*'BRA CTRs'!$G$5/$B$25</f>
        <v>0</v>
      </c>
      <c r="D16" s="511">
        <v>0</v>
      </c>
      <c r="E16" s="511">
        <v>0</v>
      </c>
      <c r="F16" s="511">
        <v>90.3</v>
      </c>
      <c r="G16" s="511">
        <v>0</v>
      </c>
      <c r="H16" s="511">
        <v>0</v>
      </c>
      <c r="I16" s="511">
        <v>0</v>
      </c>
      <c r="J16" s="511">
        <v>0</v>
      </c>
      <c r="K16" s="511">
        <v>0</v>
      </c>
      <c r="L16" s="511">
        <v>0</v>
      </c>
      <c r="M16" s="515"/>
      <c r="N16" s="345"/>
      <c r="O16" s="345"/>
      <c r="P16" s="345"/>
      <c r="Q16" s="515"/>
      <c r="R16" s="318"/>
      <c r="S16" s="255"/>
      <c r="T16" s="255"/>
      <c r="U16" s="255"/>
      <c r="V16" s="255"/>
      <c r="W16" s="255"/>
      <c r="X16" s="255"/>
      <c r="Y16" s="255"/>
      <c r="Z16" s="255"/>
      <c r="AA16" s="255"/>
    </row>
    <row r="17" spans="1:27" ht="27">
      <c r="A17" s="516" t="s">
        <v>316</v>
      </c>
      <c r="B17" s="511">
        <v>0</v>
      </c>
      <c r="C17" s="511">
        <f>B17*'BRA CTRs'!$G$5/$B$25</f>
        <v>0</v>
      </c>
      <c r="D17" s="511">
        <v>0</v>
      </c>
      <c r="E17" s="511">
        <v>0</v>
      </c>
      <c r="F17" s="511">
        <v>0</v>
      </c>
      <c r="G17" s="511">
        <v>0</v>
      </c>
      <c r="H17" s="511">
        <v>0</v>
      </c>
      <c r="I17" s="511">
        <v>0</v>
      </c>
      <c r="J17" s="511">
        <v>0</v>
      </c>
      <c r="K17" s="511">
        <v>0</v>
      </c>
      <c r="L17" s="511">
        <v>182</v>
      </c>
      <c r="M17" s="515"/>
      <c r="N17" s="345"/>
      <c r="O17" s="345"/>
      <c r="P17" s="345"/>
      <c r="Q17" s="515"/>
      <c r="R17" s="318"/>
      <c r="S17" s="255"/>
      <c r="T17" s="255"/>
      <c r="U17" s="255"/>
      <c r="V17" s="255"/>
      <c r="W17" s="255"/>
      <c r="X17" s="255"/>
      <c r="Y17" s="255"/>
      <c r="Z17" s="255"/>
      <c r="AA17" s="255"/>
    </row>
    <row r="18" spans="1:27" ht="13.5">
      <c r="A18" s="512" t="s">
        <v>132</v>
      </c>
      <c r="B18" s="513">
        <f aca="true" t="shared" si="1" ref="B18:L18">SUM(B14:B17)</f>
        <v>16</v>
      </c>
      <c r="C18" s="513">
        <f>SUM(C14:C17)</f>
        <v>0</v>
      </c>
      <c r="D18" s="514">
        <f t="shared" si="1"/>
        <v>0</v>
      </c>
      <c r="E18" s="514">
        <f t="shared" si="1"/>
        <v>237</v>
      </c>
      <c r="F18" s="514">
        <f>SUM(F14:F17)</f>
        <v>430.5</v>
      </c>
      <c r="G18" s="514">
        <f>SUM(G14:G17)</f>
        <v>494.5</v>
      </c>
      <c r="H18" s="514">
        <f>SUM(H14:H17)</f>
        <v>0</v>
      </c>
      <c r="I18" s="514">
        <f t="shared" si="1"/>
        <v>0</v>
      </c>
      <c r="J18" s="514">
        <f>SUM(J14:J17)</f>
        <v>0</v>
      </c>
      <c r="K18" s="514">
        <f t="shared" si="1"/>
        <v>0</v>
      </c>
      <c r="L18" s="514">
        <f t="shared" si="1"/>
        <v>306</v>
      </c>
      <c r="M18" s="515"/>
      <c r="N18" s="345"/>
      <c r="O18" s="345"/>
      <c r="P18" s="345"/>
      <c r="Q18" s="515"/>
      <c r="R18" s="318"/>
      <c r="S18" s="255"/>
      <c r="T18" s="255"/>
      <c r="U18" s="255"/>
      <c r="V18" s="255"/>
      <c r="W18" s="255"/>
      <c r="X18" s="255"/>
      <c r="Y18" s="255"/>
      <c r="Z18" s="255"/>
      <c r="AA18" s="255"/>
    </row>
    <row r="19" spans="1:27" ht="13.5">
      <c r="A19" s="577" t="s">
        <v>89</v>
      </c>
      <c r="B19" s="517"/>
      <c r="C19" s="517"/>
      <c r="D19" s="518"/>
      <c r="E19" s="518"/>
      <c r="F19" s="518"/>
      <c r="G19" s="518"/>
      <c r="H19" s="518"/>
      <c r="I19" s="518"/>
      <c r="J19" s="518"/>
      <c r="K19" s="518"/>
      <c r="L19" s="518"/>
      <c r="M19" s="515"/>
      <c r="N19" s="345"/>
      <c r="O19" s="345"/>
      <c r="P19" s="345"/>
      <c r="Q19" s="515"/>
      <c r="R19" s="318"/>
      <c r="S19" s="255"/>
      <c r="T19" s="255"/>
      <c r="U19" s="255"/>
      <c r="V19" s="255"/>
      <c r="W19" s="255"/>
      <c r="X19" s="255"/>
      <c r="Y19" s="255"/>
      <c r="Z19" s="255"/>
      <c r="AA19" s="255"/>
    </row>
    <row r="20" spans="1:27" ht="27">
      <c r="A20" s="510" t="s">
        <v>124</v>
      </c>
      <c r="B20" s="511">
        <v>159</v>
      </c>
      <c r="C20" s="511">
        <f>B20*'BRA CTRs'!$G$5/$B$25</f>
        <v>0</v>
      </c>
      <c r="D20" s="511">
        <v>0</v>
      </c>
      <c r="E20" s="511">
        <v>0</v>
      </c>
      <c r="F20" s="511">
        <v>0</v>
      </c>
      <c r="G20" s="511">
        <v>0</v>
      </c>
      <c r="H20" s="511">
        <v>0</v>
      </c>
      <c r="I20" s="511">
        <v>0</v>
      </c>
      <c r="J20" s="511">
        <v>0</v>
      </c>
      <c r="K20" s="511">
        <v>0</v>
      </c>
      <c r="L20" s="511">
        <v>0</v>
      </c>
      <c r="M20" s="515"/>
      <c r="N20" s="345"/>
      <c r="O20" s="345"/>
      <c r="P20" s="345"/>
      <c r="Q20" s="515"/>
      <c r="R20" s="318"/>
      <c r="S20" s="255"/>
      <c r="T20" s="255"/>
      <c r="U20" s="255"/>
      <c r="V20" s="255"/>
      <c r="W20" s="255"/>
      <c r="X20" s="255"/>
      <c r="Y20" s="255"/>
      <c r="Z20" s="255"/>
      <c r="AA20" s="255"/>
    </row>
    <row r="21" spans="1:27" ht="27">
      <c r="A21" s="510" t="s">
        <v>317</v>
      </c>
      <c r="B21" s="511">
        <v>0</v>
      </c>
      <c r="C21" s="511">
        <f>B21*'BRA CTRs'!$G$5/$B$25</f>
        <v>0</v>
      </c>
      <c r="D21" s="511">
        <v>0</v>
      </c>
      <c r="E21" s="511">
        <v>0</v>
      </c>
      <c r="F21" s="511">
        <v>0</v>
      </c>
      <c r="G21" s="511">
        <v>0</v>
      </c>
      <c r="H21" s="511">
        <v>0</v>
      </c>
      <c r="I21" s="511">
        <v>37</v>
      </c>
      <c r="J21" s="511">
        <f>I21*'BRA CTRs'!G9/('BRA ICTRs'!H18+'BRA ICTRs'!H23)</f>
        <v>0</v>
      </c>
      <c r="K21" s="511">
        <v>0</v>
      </c>
      <c r="L21" s="511">
        <v>0</v>
      </c>
      <c r="M21" s="515"/>
      <c r="N21" s="345"/>
      <c r="O21" s="345"/>
      <c r="P21" s="345"/>
      <c r="Q21" s="515"/>
      <c r="R21" s="318"/>
      <c r="S21" s="255"/>
      <c r="T21" s="255"/>
      <c r="U21" s="255"/>
      <c r="V21" s="255"/>
      <c r="W21" s="255"/>
      <c r="X21" s="255"/>
      <c r="Y21" s="255"/>
      <c r="Z21" s="255"/>
      <c r="AA21" s="255"/>
    </row>
    <row r="22" spans="1:27" ht="27">
      <c r="A22" s="510" t="s">
        <v>318</v>
      </c>
      <c r="B22" s="511">
        <v>0</v>
      </c>
      <c r="C22" s="511">
        <f>B22*'BRA CTRs'!$G$5/$B$25</f>
        <v>0</v>
      </c>
      <c r="D22" s="511">
        <v>0</v>
      </c>
      <c r="E22" s="511">
        <v>0</v>
      </c>
      <c r="F22" s="511">
        <v>0</v>
      </c>
      <c r="G22" s="511">
        <v>0</v>
      </c>
      <c r="H22" s="511">
        <v>0</v>
      </c>
      <c r="I22" s="511">
        <v>35</v>
      </c>
      <c r="J22" s="511">
        <f>I22*'BRA CTRs'!G9/('BRA ICTRs'!H18+'BRA ICTRs'!H23)</f>
        <v>0</v>
      </c>
      <c r="K22" s="511">
        <v>0</v>
      </c>
      <c r="L22" s="511">
        <v>0</v>
      </c>
      <c r="M22" s="515"/>
      <c r="N22" s="345"/>
      <c r="O22" s="345"/>
      <c r="P22" s="345"/>
      <c r="Q22" s="515"/>
      <c r="R22" s="318"/>
      <c r="S22" s="255"/>
      <c r="T22" s="255"/>
      <c r="U22" s="255"/>
      <c r="V22" s="255"/>
      <c r="W22" s="255"/>
      <c r="X22" s="255"/>
      <c r="Y22" s="255"/>
      <c r="Z22" s="255"/>
      <c r="AA22" s="255"/>
    </row>
    <row r="23" spans="1:27" ht="13.5">
      <c r="A23" s="512" t="s">
        <v>104</v>
      </c>
      <c r="B23" s="513">
        <f aca="true" t="shared" si="2" ref="B23:L23">SUM(B20:B22)</f>
        <v>159</v>
      </c>
      <c r="C23" s="513">
        <f t="shared" si="2"/>
        <v>0</v>
      </c>
      <c r="D23" s="513">
        <f t="shared" si="2"/>
        <v>0</v>
      </c>
      <c r="E23" s="513">
        <f t="shared" si="2"/>
        <v>0</v>
      </c>
      <c r="F23" s="513">
        <f t="shared" si="2"/>
        <v>0</v>
      </c>
      <c r="G23" s="513">
        <f t="shared" si="2"/>
        <v>0</v>
      </c>
      <c r="H23" s="513">
        <f>SUM(H20:H22)</f>
        <v>0</v>
      </c>
      <c r="I23" s="513">
        <f t="shared" si="2"/>
        <v>72</v>
      </c>
      <c r="J23" s="513">
        <f t="shared" si="2"/>
        <v>0</v>
      </c>
      <c r="K23" s="513">
        <f t="shared" si="2"/>
        <v>0</v>
      </c>
      <c r="L23" s="513">
        <f t="shared" si="2"/>
        <v>0</v>
      </c>
      <c r="M23" s="515"/>
      <c r="N23" s="345"/>
      <c r="O23" s="345"/>
      <c r="P23" s="345"/>
      <c r="Q23" s="515"/>
      <c r="R23" s="318"/>
      <c r="S23" s="255"/>
      <c r="T23" s="255"/>
      <c r="U23" s="255"/>
      <c r="V23" s="255"/>
      <c r="W23" s="255"/>
      <c r="X23" s="255"/>
      <c r="Y23" s="255"/>
      <c r="Z23" s="255"/>
      <c r="AA23" s="255"/>
    </row>
    <row r="24" spans="1:27" ht="13.5">
      <c r="A24" s="519"/>
      <c r="B24" s="511"/>
      <c r="C24" s="511"/>
      <c r="D24" s="509"/>
      <c r="E24" s="509"/>
      <c r="F24" s="509"/>
      <c r="G24" s="509"/>
      <c r="H24" s="509"/>
      <c r="I24" s="509"/>
      <c r="J24" s="509"/>
      <c r="K24" s="509"/>
      <c r="L24" s="509"/>
      <c r="M24" s="515"/>
      <c r="N24" s="345"/>
      <c r="O24" s="345"/>
      <c r="P24" s="345"/>
      <c r="Q24" s="515"/>
      <c r="R24" s="318"/>
      <c r="S24" s="255"/>
      <c r="T24" s="255"/>
      <c r="U24" s="255"/>
      <c r="V24" s="255"/>
      <c r="W24" s="255"/>
      <c r="X24" s="255"/>
      <c r="Y24" s="255"/>
      <c r="Z24" s="255"/>
      <c r="AA24" s="255"/>
    </row>
    <row r="25" spans="1:27" ht="13.5">
      <c r="A25" s="512" t="s">
        <v>105</v>
      </c>
      <c r="B25" s="513">
        <f aca="true" t="shared" si="3" ref="B25:L25">B12+B18+B23</f>
        <v>897</v>
      </c>
      <c r="C25" s="513">
        <f t="shared" si="3"/>
        <v>0</v>
      </c>
      <c r="D25" s="513">
        <f t="shared" si="3"/>
        <v>898</v>
      </c>
      <c r="E25" s="513">
        <f t="shared" si="3"/>
        <v>237</v>
      </c>
      <c r="F25" s="513">
        <f t="shared" si="3"/>
        <v>499.4</v>
      </c>
      <c r="G25" s="513">
        <f t="shared" si="3"/>
        <v>600</v>
      </c>
      <c r="H25" s="513">
        <f>H12+H18+H23</f>
        <v>0</v>
      </c>
      <c r="I25" s="513">
        <f t="shared" si="3"/>
        <v>72</v>
      </c>
      <c r="J25" s="513">
        <f t="shared" si="3"/>
        <v>0</v>
      </c>
      <c r="K25" s="513">
        <f t="shared" si="3"/>
        <v>0</v>
      </c>
      <c r="L25" s="513">
        <f t="shared" si="3"/>
        <v>306</v>
      </c>
      <c r="M25" s="341"/>
      <c r="N25" s="520"/>
      <c r="O25" s="520"/>
      <c r="P25" s="520"/>
      <c r="Q25" s="341"/>
      <c r="R25" s="318"/>
      <c r="S25" s="255"/>
      <c r="T25" s="255"/>
      <c r="U25" s="255"/>
      <c r="V25" s="255"/>
      <c r="W25" s="255"/>
      <c r="X25" s="255"/>
      <c r="Y25" s="255"/>
      <c r="Z25" s="255"/>
      <c r="AA25" s="255"/>
    </row>
    <row r="26" spans="1:26" ht="13.5">
      <c r="A26" s="699" t="s">
        <v>145</v>
      </c>
      <c r="B26" s="700"/>
      <c r="C26" s="700"/>
      <c r="D26" s="700"/>
      <c r="E26" s="700"/>
      <c r="F26" s="700"/>
      <c r="G26" s="700"/>
      <c r="H26" s="700"/>
      <c r="I26" s="700"/>
      <c r="J26" s="700"/>
      <c r="K26" s="700"/>
      <c r="L26" s="521"/>
      <c r="M26" s="337"/>
      <c r="N26" s="318"/>
      <c r="O26" s="318"/>
      <c r="P26" s="318"/>
      <c r="Q26" s="318"/>
      <c r="R26" s="318"/>
      <c r="S26" s="318"/>
      <c r="T26" s="318"/>
      <c r="U26" s="318"/>
      <c r="V26" s="318"/>
      <c r="W26" s="318"/>
      <c r="X26" s="318"/>
      <c r="Y26" s="318"/>
      <c r="Z26" s="318"/>
    </row>
    <row r="27" spans="1:26" ht="13.5">
      <c r="A27" s="699" t="s">
        <v>383</v>
      </c>
      <c r="B27" s="700"/>
      <c r="C27" s="700"/>
      <c r="D27" s="700"/>
      <c r="E27" s="700"/>
      <c r="F27" s="700"/>
      <c r="G27" s="700"/>
      <c r="H27" s="700"/>
      <c r="I27" s="700"/>
      <c r="J27" s="700"/>
      <c r="K27" s="700"/>
      <c r="L27" s="521"/>
      <c r="M27" s="337"/>
      <c r="N27" s="318"/>
      <c r="O27" s="318"/>
      <c r="P27" s="318"/>
      <c r="Q27" s="318"/>
      <c r="R27" s="318"/>
      <c r="S27" s="318"/>
      <c r="T27" s="318"/>
      <c r="U27" s="318"/>
      <c r="V27" s="318"/>
      <c r="W27" s="318"/>
      <c r="X27" s="318"/>
      <c r="Y27" s="318"/>
      <c r="Z27" s="318"/>
    </row>
    <row r="28" spans="1:26" ht="13.5">
      <c r="A28" s="275"/>
      <c r="B28" s="522"/>
      <c r="C28" s="522"/>
      <c r="D28" s="340"/>
      <c r="E28" s="521"/>
      <c r="F28" s="521"/>
      <c r="G28" s="521"/>
      <c r="H28" s="521"/>
      <c r="I28" s="337"/>
      <c r="J28" s="521"/>
      <c r="K28" s="521"/>
      <c r="L28" s="521"/>
      <c r="M28" s="337"/>
      <c r="N28" s="318"/>
      <c r="O28" s="318"/>
      <c r="P28" s="318"/>
      <c r="Q28" s="318"/>
      <c r="R28" s="318"/>
      <c r="S28" s="318"/>
      <c r="T28" s="318"/>
      <c r="U28" s="318"/>
      <c r="V28" s="318"/>
      <c r="W28" s="318"/>
      <c r="X28" s="318"/>
      <c r="Y28" s="318"/>
      <c r="Z28" s="318"/>
    </row>
    <row r="29" spans="1:26" ht="30.75">
      <c r="A29" s="523" t="s">
        <v>133</v>
      </c>
      <c r="B29" s="524" t="s">
        <v>24</v>
      </c>
      <c r="C29" s="524" t="s">
        <v>24</v>
      </c>
      <c r="D29" s="411"/>
      <c r="E29" s="521"/>
      <c r="F29" s="521" t="s">
        <v>24</v>
      </c>
      <c r="G29" s="521"/>
      <c r="H29" s="521"/>
      <c r="I29" s="337"/>
      <c r="J29" s="521"/>
      <c r="K29" s="521"/>
      <c r="L29" s="521"/>
      <c r="M29" s="337"/>
      <c r="N29" s="255"/>
      <c r="O29" s="255"/>
      <c r="P29" s="255"/>
      <c r="Q29" s="255"/>
      <c r="R29" s="255"/>
      <c r="S29" s="255"/>
      <c r="T29" s="255"/>
      <c r="U29" s="255"/>
      <c r="V29" s="255"/>
      <c r="W29" s="255"/>
      <c r="X29" s="255"/>
      <c r="Y29" s="255"/>
      <c r="Z29" s="255"/>
    </row>
    <row r="30" spans="1:26" ht="54.75">
      <c r="A30" s="461" t="s">
        <v>71</v>
      </c>
      <c r="B30" s="577" t="s">
        <v>130</v>
      </c>
      <c r="C30" s="525" t="s">
        <v>134</v>
      </c>
      <c r="D30" s="525" t="s">
        <v>135</v>
      </c>
      <c r="E30" s="525" t="s">
        <v>136</v>
      </c>
      <c r="F30" s="525" t="s">
        <v>187</v>
      </c>
      <c r="G30" s="526"/>
      <c r="H30" s="597"/>
      <c r="I30" s="598"/>
      <c r="J30" s="598"/>
      <c r="K30" s="598"/>
      <c r="L30" s="598"/>
      <c r="M30" s="528"/>
      <c r="N30" s="255"/>
      <c r="O30" s="255"/>
      <c r="P30" s="255"/>
      <c r="Q30" s="255"/>
      <c r="R30" s="255"/>
      <c r="S30" s="255"/>
      <c r="T30" s="255"/>
      <c r="U30" s="255"/>
      <c r="V30" s="255"/>
      <c r="W30" s="255"/>
      <c r="X30" s="255"/>
      <c r="Y30" s="255"/>
      <c r="Z30" s="255"/>
    </row>
    <row r="31" spans="1:26" ht="13.5">
      <c r="A31" s="327" t="s">
        <v>16</v>
      </c>
      <c r="B31" s="595">
        <v>0.0157</v>
      </c>
      <c r="C31" s="596">
        <v>0.0896</v>
      </c>
      <c r="D31" s="596">
        <v>0.0021</v>
      </c>
      <c r="E31" s="596">
        <v>0</v>
      </c>
      <c r="F31" s="596">
        <v>0</v>
      </c>
      <c r="G31" s="531"/>
      <c r="H31" s="532"/>
      <c r="I31" s="599"/>
      <c r="J31" s="599"/>
      <c r="K31" s="599"/>
      <c r="L31" s="599"/>
      <c r="M31" s="532"/>
      <c r="N31" s="255"/>
      <c r="O31" s="255"/>
      <c r="P31" s="255"/>
      <c r="Q31" s="255"/>
      <c r="R31" s="255"/>
      <c r="S31" s="255"/>
      <c r="T31" s="255"/>
      <c r="U31" s="255"/>
      <c r="V31" s="255"/>
      <c r="W31" s="255"/>
      <c r="X31" s="255"/>
      <c r="Y31" s="255"/>
      <c r="Z31" s="255"/>
    </row>
    <row r="32" spans="1:26" ht="13.5">
      <c r="A32" s="327" t="s">
        <v>31</v>
      </c>
      <c r="B32" s="595">
        <v>0.1518</v>
      </c>
      <c r="C32" s="596">
        <v>0</v>
      </c>
      <c r="D32" s="596">
        <v>0</v>
      </c>
      <c r="E32" s="596">
        <v>0</v>
      </c>
      <c r="F32" s="596">
        <v>0</v>
      </c>
      <c r="G32" s="531"/>
      <c r="H32" s="532"/>
      <c r="I32" s="599"/>
      <c r="J32" s="599"/>
      <c r="K32" s="599"/>
      <c r="L32" s="599"/>
      <c r="M32" s="532"/>
      <c r="N32" s="255"/>
      <c r="O32" s="255"/>
      <c r="P32" s="255"/>
      <c r="Q32" s="255"/>
      <c r="R32" s="255"/>
      <c r="S32" s="255"/>
      <c r="T32" s="255"/>
      <c r="U32" s="255"/>
      <c r="V32" s="255"/>
      <c r="W32" s="255"/>
      <c r="X32" s="255"/>
      <c r="Y32" s="255"/>
      <c r="Z32" s="255"/>
    </row>
    <row r="33" spans="1:26" ht="13.5">
      <c r="A33" s="327" t="s">
        <v>19</v>
      </c>
      <c r="B33" s="595">
        <v>0.0589</v>
      </c>
      <c r="C33" s="596">
        <v>0</v>
      </c>
      <c r="D33" s="596">
        <v>0</v>
      </c>
      <c r="E33" s="596">
        <v>0</v>
      </c>
      <c r="F33" s="596">
        <v>0.0442</v>
      </c>
      <c r="G33" s="531"/>
      <c r="H33" s="532"/>
      <c r="I33" s="599"/>
      <c r="J33" s="599"/>
      <c r="K33" s="599"/>
      <c r="L33" s="599"/>
      <c r="M33" s="532"/>
      <c r="N33" s="255"/>
      <c r="O33" s="255"/>
      <c r="P33" s="255"/>
      <c r="Q33" s="255"/>
      <c r="R33" s="255"/>
      <c r="S33" s="255"/>
      <c r="T33" s="255"/>
      <c r="U33" s="255"/>
      <c r="V33" s="255"/>
      <c r="W33" s="255"/>
      <c r="X33" s="255"/>
      <c r="Y33" s="255"/>
      <c r="Z33" s="255"/>
    </row>
    <row r="34" spans="1:26" ht="13.5">
      <c r="A34" s="327" t="s">
        <v>49</v>
      </c>
      <c r="B34" s="595">
        <v>0.0759</v>
      </c>
      <c r="C34" s="596">
        <v>0</v>
      </c>
      <c r="D34" s="596">
        <v>0</v>
      </c>
      <c r="E34" s="596">
        <v>0</v>
      </c>
      <c r="F34" s="596">
        <v>0</v>
      </c>
      <c r="G34" s="531"/>
      <c r="H34" s="532"/>
      <c r="I34" s="599"/>
      <c r="J34" s="599"/>
      <c r="K34" s="599"/>
      <c r="L34" s="599"/>
      <c r="M34" s="532"/>
      <c r="N34" s="318"/>
      <c r="O34" s="318"/>
      <c r="P34" s="318"/>
      <c r="Q34" s="318"/>
      <c r="R34" s="318"/>
      <c r="S34" s="318"/>
      <c r="T34" s="318"/>
      <c r="U34" s="318"/>
      <c r="V34" s="318"/>
      <c r="W34" s="318"/>
      <c r="X34" s="318"/>
      <c r="Y34" s="318"/>
      <c r="Z34" s="318"/>
    </row>
    <row r="35" spans="1:26" ht="13.5">
      <c r="A35" s="327" t="s">
        <v>11</v>
      </c>
      <c r="B35" s="595">
        <v>0.0412</v>
      </c>
      <c r="C35" s="596">
        <v>0</v>
      </c>
      <c r="D35" s="596">
        <v>0.0088</v>
      </c>
      <c r="E35" s="596">
        <v>0</v>
      </c>
      <c r="F35" s="596">
        <v>0.6695</v>
      </c>
      <c r="G35" s="531"/>
      <c r="H35" s="532"/>
      <c r="I35" s="599"/>
      <c r="J35" s="599"/>
      <c r="K35" s="599"/>
      <c r="L35" s="599"/>
      <c r="M35" s="532"/>
      <c r="N35" s="318"/>
      <c r="O35" s="318"/>
      <c r="P35" s="318"/>
      <c r="Q35" s="318"/>
      <c r="R35" s="318"/>
      <c r="S35" s="318"/>
      <c r="T35" s="318"/>
      <c r="U35" s="318"/>
      <c r="V35" s="318"/>
      <c r="W35" s="318"/>
      <c r="X35" s="318"/>
      <c r="Y35" s="318"/>
      <c r="Z35" s="318"/>
    </row>
    <row r="36" spans="1:26" ht="13.5">
      <c r="A36" s="327" t="s">
        <v>20</v>
      </c>
      <c r="B36" s="595">
        <v>0.1238</v>
      </c>
      <c r="C36" s="596">
        <v>0</v>
      </c>
      <c r="D36" s="596">
        <v>0.0211</v>
      </c>
      <c r="E36" s="596">
        <v>0</v>
      </c>
      <c r="F36" s="596">
        <v>0.0412</v>
      </c>
      <c r="G36" s="531"/>
      <c r="H36" s="532"/>
      <c r="I36" s="599"/>
      <c r="J36" s="599"/>
      <c r="K36" s="599"/>
      <c r="L36" s="599"/>
      <c r="M36" s="532"/>
      <c r="N36" s="318"/>
      <c r="O36" s="318"/>
      <c r="P36" s="318"/>
      <c r="Q36" s="318"/>
      <c r="R36" s="318"/>
      <c r="S36" s="318"/>
      <c r="T36" s="318"/>
      <c r="U36" s="318"/>
      <c r="V36" s="318"/>
      <c r="W36" s="318"/>
      <c r="X36" s="318"/>
      <c r="Y36" s="318"/>
      <c r="Z36" s="318"/>
    </row>
    <row r="37" spans="1:26" ht="13.5">
      <c r="A37" s="327" t="s">
        <v>21</v>
      </c>
      <c r="B37" s="595">
        <v>0.0202</v>
      </c>
      <c r="C37" s="596">
        <v>0</v>
      </c>
      <c r="D37" s="596">
        <v>0.0012</v>
      </c>
      <c r="E37" s="596">
        <v>0</v>
      </c>
      <c r="F37" s="596">
        <v>0.0049</v>
      </c>
      <c r="G37" s="531"/>
      <c r="H37" s="532"/>
      <c r="I37" s="599"/>
      <c r="J37" s="599"/>
      <c r="K37" s="599"/>
      <c r="L37" s="599"/>
      <c r="M37" s="532"/>
      <c r="N37" s="255"/>
      <c r="O37" s="255"/>
      <c r="P37" s="255"/>
      <c r="Q37" s="255"/>
      <c r="R37" s="255"/>
      <c r="S37" s="255"/>
      <c r="T37" s="255"/>
      <c r="U37" s="255"/>
      <c r="V37" s="255"/>
      <c r="W37" s="255"/>
      <c r="X37" s="255"/>
      <c r="Y37" s="255"/>
      <c r="Z37" s="255"/>
    </row>
    <row r="38" spans="1:26" ht="13.5">
      <c r="A38" s="327" t="s">
        <v>63</v>
      </c>
      <c r="B38" s="595">
        <v>0.0315</v>
      </c>
      <c r="C38" s="596">
        <v>0</v>
      </c>
      <c r="D38" s="596">
        <v>0</v>
      </c>
      <c r="E38" s="596">
        <v>0</v>
      </c>
      <c r="F38" s="596">
        <v>0</v>
      </c>
      <c r="G38" s="531"/>
      <c r="H38" s="532"/>
      <c r="I38" s="599"/>
      <c r="J38" s="599"/>
      <c r="K38" s="599"/>
      <c r="L38" s="599"/>
      <c r="M38" s="532"/>
      <c r="N38" s="255"/>
      <c r="O38" s="255"/>
      <c r="P38" s="255"/>
      <c r="Q38" s="255"/>
      <c r="R38" s="255"/>
      <c r="S38" s="255"/>
      <c r="T38" s="255"/>
      <c r="U38" s="255"/>
      <c r="V38" s="255"/>
      <c r="W38" s="255"/>
      <c r="X38" s="255"/>
      <c r="Y38" s="255"/>
      <c r="Z38" s="255"/>
    </row>
    <row r="39" spans="1:26" ht="13.5">
      <c r="A39" s="327" t="s">
        <v>48</v>
      </c>
      <c r="B39" s="595">
        <v>0.0172</v>
      </c>
      <c r="C39" s="596">
        <v>0</v>
      </c>
      <c r="D39" s="596">
        <v>0</v>
      </c>
      <c r="E39" s="596">
        <v>0</v>
      </c>
      <c r="F39" s="596">
        <v>0</v>
      </c>
      <c r="G39" s="531"/>
      <c r="H39" s="532"/>
      <c r="I39" s="599"/>
      <c r="J39" s="599"/>
      <c r="K39" s="599"/>
      <c r="L39" s="599"/>
      <c r="M39" s="532"/>
      <c r="N39" s="255"/>
      <c r="O39" s="255"/>
      <c r="P39" s="255"/>
      <c r="Q39" s="255"/>
      <c r="R39" s="255"/>
      <c r="S39" s="255"/>
      <c r="T39" s="255"/>
      <c r="U39" s="255"/>
      <c r="V39" s="255"/>
      <c r="W39" s="255"/>
      <c r="X39" s="255"/>
      <c r="Y39" s="255"/>
      <c r="Z39" s="255"/>
    </row>
    <row r="40" spans="1:26" ht="13.5">
      <c r="A40" s="327" t="s">
        <v>32</v>
      </c>
      <c r="B40" s="595">
        <v>0.133</v>
      </c>
      <c r="C40" s="596">
        <v>0</v>
      </c>
      <c r="D40" s="596">
        <v>0</v>
      </c>
      <c r="E40" s="596">
        <v>0</v>
      </c>
      <c r="F40" s="596">
        <v>0.1876</v>
      </c>
      <c r="G40" s="531"/>
      <c r="H40" s="532"/>
      <c r="I40" s="599"/>
      <c r="J40" s="599"/>
      <c r="K40" s="599"/>
      <c r="L40" s="599"/>
      <c r="M40" s="532"/>
      <c r="N40" s="255"/>
      <c r="O40" s="255"/>
      <c r="P40" s="255"/>
      <c r="Q40" s="255"/>
      <c r="R40" s="255"/>
      <c r="S40" s="255"/>
      <c r="T40" s="255"/>
      <c r="U40" s="255"/>
      <c r="V40" s="255"/>
      <c r="W40" s="255"/>
      <c r="X40" s="255"/>
      <c r="Y40" s="255"/>
      <c r="Z40" s="255"/>
    </row>
    <row r="41" spans="1:26" ht="13.5">
      <c r="A41" s="327" t="s">
        <v>17</v>
      </c>
      <c r="B41" s="595">
        <v>0.0253</v>
      </c>
      <c r="C41" s="596">
        <v>0.1677</v>
      </c>
      <c r="D41" s="596">
        <v>0</v>
      </c>
      <c r="E41" s="596">
        <v>0</v>
      </c>
      <c r="F41" s="596">
        <v>0</v>
      </c>
      <c r="G41" s="531"/>
      <c r="H41" s="532"/>
      <c r="I41" s="599"/>
      <c r="J41" s="599"/>
      <c r="K41" s="599"/>
      <c r="L41" s="599"/>
      <c r="M41" s="532"/>
      <c r="N41" s="255"/>
      <c r="O41" s="255"/>
      <c r="P41" s="255"/>
      <c r="Q41" s="255"/>
      <c r="R41" s="255"/>
      <c r="S41" s="255"/>
      <c r="T41" s="255"/>
      <c r="U41" s="255"/>
      <c r="V41" s="255"/>
      <c r="W41" s="255"/>
      <c r="X41" s="255"/>
      <c r="Y41" s="255"/>
      <c r="Z41" s="255"/>
    </row>
    <row r="42" spans="1:26" ht="13.5">
      <c r="A42" s="327" t="s">
        <v>160</v>
      </c>
      <c r="B42" s="595">
        <v>0.0214</v>
      </c>
      <c r="C42" s="596">
        <v>0</v>
      </c>
      <c r="D42" s="596">
        <v>0</v>
      </c>
      <c r="E42" s="596">
        <v>0</v>
      </c>
      <c r="F42" s="596">
        <v>0</v>
      </c>
      <c r="G42" s="531"/>
      <c r="H42" s="532"/>
      <c r="I42" s="599"/>
      <c r="J42" s="599"/>
      <c r="K42" s="599"/>
      <c r="L42" s="599"/>
      <c r="M42" s="532"/>
      <c r="N42" s="255"/>
      <c r="O42" s="255"/>
      <c r="P42" s="255"/>
      <c r="Q42" s="255"/>
      <c r="R42" s="255"/>
      <c r="S42" s="255"/>
      <c r="T42" s="255"/>
      <c r="U42" s="255"/>
      <c r="V42" s="255"/>
      <c r="W42" s="255"/>
      <c r="X42" s="255"/>
      <c r="Y42" s="255"/>
      <c r="Z42" s="255"/>
    </row>
    <row r="43" spans="1:26" ht="13.5">
      <c r="A43" s="327" t="s">
        <v>12</v>
      </c>
      <c r="B43" s="595">
        <v>0.0357</v>
      </c>
      <c r="C43" s="596">
        <v>0.0959</v>
      </c>
      <c r="D43" s="596">
        <v>0.0106</v>
      </c>
      <c r="E43" s="596">
        <v>0.1282</v>
      </c>
      <c r="F43" s="596">
        <v>0</v>
      </c>
      <c r="G43" s="531"/>
      <c r="H43" s="532"/>
      <c r="I43" s="599"/>
      <c r="J43" s="599"/>
      <c r="K43" s="599"/>
      <c r="L43" s="599"/>
      <c r="M43" s="532"/>
      <c r="N43" s="255"/>
      <c r="O43" s="255"/>
      <c r="P43" s="255"/>
      <c r="Q43" s="255"/>
      <c r="R43" s="255"/>
      <c r="S43" s="255"/>
      <c r="T43" s="255"/>
      <c r="U43" s="255"/>
      <c r="V43" s="255"/>
      <c r="W43" s="255"/>
      <c r="X43" s="255"/>
      <c r="Y43" s="255"/>
      <c r="Z43" s="255"/>
    </row>
    <row r="44" spans="1:26" ht="13.5">
      <c r="A44" s="327" t="s">
        <v>13</v>
      </c>
      <c r="B44" s="595">
        <v>0.0172</v>
      </c>
      <c r="C44" s="596">
        <v>0.0147</v>
      </c>
      <c r="D44" s="596">
        <v>0</v>
      </c>
      <c r="E44" s="596">
        <v>0</v>
      </c>
      <c r="F44" s="596">
        <v>0</v>
      </c>
      <c r="G44" s="531"/>
      <c r="H44" s="532"/>
      <c r="I44" s="599"/>
      <c r="J44" s="599"/>
      <c r="K44" s="599"/>
      <c r="L44" s="599"/>
      <c r="M44" s="532"/>
      <c r="N44" s="255"/>
      <c r="O44" s="255"/>
      <c r="P44" s="255"/>
      <c r="Q44" s="255"/>
      <c r="R44" s="255"/>
      <c r="S44" s="255"/>
      <c r="T44" s="255"/>
      <c r="U44" s="255"/>
      <c r="V44" s="255"/>
      <c r="W44" s="255"/>
      <c r="X44" s="255"/>
      <c r="Y44" s="255"/>
      <c r="Z44" s="255"/>
    </row>
    <row r="45" spans="1:26" ht="13.5">
      <c r="A45" s="327" t="s">
        <v>9</v>
      </c>
      <c r="B45" s="595">
        <v>0.0497</v>
      </c>
      <c r="C45" s="596">
        <v>0.3064</v>
      </c>
      <c r="D45" s="596">
        <v>0</v>
      </c>
      <c r="E45" s="596">
        <v>0.5108</v>
      </c>
      <c r="F45" s="596">
        <v>0</v>
      </c>
      <c r="G45" s="531"/>
      <c r="H45" s="532"/>
      <c r="I45" s="599"/>
      <c r="J45" s="599"/>
      <c r="K45" s="599"/>
      <c r="L45" s="599"/>
      <c r="M45" s="532"/>
      <c r="N45" s="255"/>
      <c r="O45" s="255"/>
      <c r="P45" s="255"/>
      <c r="Q45" s="255"/>
      <c r="R45" s="255"/>
      <c r="S45" s="255"/>
      <c r="T45" s="255"/>
      <c r="U45" s="255"/>
      <c r="V45" s="255"/>
      <c r="W45" s="255"/>
      <c r="X45" s="255"/>
      <c r="Y45" s="255"/>
      <c r="Z45" s="255"/>
    </row>
    <row r="46" spans="1:26" ht="13.5">
      <c r="A46" s="327" t="s">
        <v>14</v>
      </c>
      <c r="B46" s="595">
        <v>0.0186</v>
      </c>
      <c r="C46" s="596">
        <v>0</v>
      </c>
      <c r="D46" s="596">
        <v>0.027</v>
      </c>
      <c r="E46" s="596">
        <v>0</v>
      </c>
      <c r="F46" s="596">
        <v>0.0005</v>
      </c>
      <c r="G46" s="531"/>
      <c r="H46" s="532"/>
      <c r="I46" s="599"/>
      <c r="J46" s="599"/>
      <c r="K46" s="599"/>
      <c r="L46" s="599"/>
      <c r="M46" s="532"/>
      <c r="N46" s="255"/>
      <c r="O46" s="255"/>
      <c r="P46" s="255"/>
      <c r="Q46" s="255"/>
      <c r="R46" s="255"/>
      <c r="S46" s="255"/>
      <c r="T46" s="255"/>
      <c r="U46" s="255"/>
      <c r="V46" s="255"/>
      <c r="W46" s="255"/>
      <c r="X46" s="255"/>
      <c r="Y46" s="255"/>
      <c r="Z46" s="255"/>
    </row>
    <row r="47" spans="1:26" ht="13.5">
      <c r="A47" s="327" t="s">
        <v>15</v>
      </c>
      <c r="B47" s="595">
        <v>0.0385</v>
      </c>
      <c r="C47" s="596">
        <v>0</v>
      </c>
      <c r="D47" s="596">
        <v>0.0095</v>
      </c>
      <c r="E47" s="596">
        <v>0.0057</v>
      </c>
      <c r="F47" s="596">
        <v>0.0521</v>
      </c>
      <c r="G47" s="531"/>
      <c r="H47" s="532"/>
      <c r="I47" s="599"/>
      <c r="J47" s="599"/>
      <c r="K47" s="599"/>
      <c r="L47" s="599"/>
      <c r="M47" s="532"/>
      <c r="N47" s="255"/>
      <c r="O47" s="255"/>
      <c r="P47" s="255"/>
      <c r="Q47" s="255"/>
      <c r="R47" s="255"/>
      <c r="S47" s="255"/>
      <c r="T47" s="255"/>
      <c r="U47" s="255"/>
      <c r="V47" s="255"/>
      <c r="W47" s="255"/>
      <c r="X47" s="255"/>
      <c r="Y47" s="255"/>
      <c r="Z47" s="255"/>
    </row>
    <row r="48" spans="1:26" ht="13.5">
      <c r="A48" s="327" t="s">
        <v>10</v>
      </c>
      <c r="B48" s="595">
        <v>0.0495</v>
      </c>
      <c r="C48" s="596">
        <v>0.1633</v>
      </c>
      <c r="D48" s="596">
        <v>0</v>
      </c>
      <c r="E48" s="596">
        <v>0</v>
      </c>
      <c r="F48" s="596">
        <v>0</v>
      </c>
      <c r="G48" s="531"/>
      <c r="H48" s="532"/>
      <c r="I48" s="599"/>
      <c r="J48" s="599"/>
      <c r="K48" s="599"/>
      <c r="L48" s="599"/>
      <c r="M48" s="532"/>
      <c r="N48" s="255"/>
      <c r="O48" s="255"/>
      <c r="P48" s="255"/>
      <c r="Q48" s="255"/>
      <c r="R48" s="255"/>
      <c r="S48" s="255"/>
      <c r="T48" s="255"/>
      <c r="U48" s="255"/>
      <c r="V48" s="255"/>
      <c r="W48" s="255"/>
      <c r="X48" s="255"/>
      <c r="Y48" s="255"/>
      <c r="Z48" s="255"/>
    </row>
    <row r="49" spans="1:26" ht="13.5">
      <c r="A49" s="327" t="s">
        <v>8</v>
      </c>
      <c r="B49" s="595">
        <v>0.0589</v>
      </c>
      <c r="C49" s="596">
        <v>0.14</v>
      </c>
      <c r="D49" s="596">
        <v>0.6381</v>
      </c>
      <c r="E49" s="596">
        <v>0.3146</v>
      </c>
      <c r="F49" s="596">
        <v>0</v>
      </c>
      <c r="G49" s="531"/>
      <c r="H49" s="532"/>
      <c r="I49" s="599"/>
      <c r="J49" s="599"/>
      <c r="K49" s="599"/>
      <c r="L49" s="599"/>
      <c r="M49" s="532"/>
      <c r="N49" s="255"/>
      <c r="O49" s="255"/>
      <c r="P49" s="255"/>
      <c r="Q49" s="255"/>
      <c r="R49" s="255"/>
      <c r="S49" s="255"/>
      <c r="T49" s="255"/>
      <c r="U49" s="255"/>
      <c r="V49" s="255"/>
      <c r="W49" s="255"/>
      <c r="X49" s="255"/>
      <c r="Y49" s="255"/>
      <c r="Z49" s="255"/>
    </row>
    <row r="50" spans="1:26" ht="13.5">
      <c r="A50" s="327" t="s">
        <v>18</v>
      </c>
      <c r="B50" s="595">
        <v>0.0024</v>
      </c>
      <c r="C50" s="596">
        <v>0.0052</v>
      </c>
      <c r="D50" s="596">
        <v>0.0253</v>
      </c>
      <c r="E50" s="596">
        <v>0.0125</v>
      </c>
      <c r="F50" s="596">
        <v>0</v>
      </c>
      <c r="G50" s="531"/>
      <c r="H50" s="532"/>
      <c r="I50" s="599"/>
      <c r="J50" s="599"/>
      <c r="K50" s="599"/>
      <c r="L50" s="599"/>
      <c r="M50" s="532"/>
      <c r="N50" s="255"/>
      <c r="O50" s="255"/>
      <c r="P50" s="255"/>
      <c r="Q50" s="255"/>
      <c r="R50" s="255"/>
      <c r="S50" s="255"/>
      <c r="T50" s="255"/>
      <c r="U50" s="255"/>
      <c r="V50" s="255"/>
      <c r="W50" s="255"/>
      <c r="X50" s="255"/>
      <c r="Y50" s="255"/>
      <c r="Z50" s="255"/>
    </row>
    <row r="51" spans="1:26" ht="13.5">
      <c r="A51" s="327" t="s">
        <v>146</v>
      </c>
      <c r="B51" s="595">
        <v>0.0055</v>
      </c>
      <c r="C51" s="596">
        <v>0.0049</v>
      </c>
      <c r="D51" s="596">
        <v>0.0905</v>
      </c>
      <c r="E51" s="596">
        <v>0</v>
      </c>
      <c r="F51" s="596">
        <v>0</v>
      </c>
      <c r="G51" s="531"/>
      <c r="H51" s="532"/>
      <c r="I51" s="599"/>
      <c r="J51" s="599"/>
      <c r="K51" s="599"/>
      <c r="L51" s="599"/>
      <c r="M51" s="532"/>
      <c r="N51" s="318"/>
      <c r="O51" s="318"/>
      <c r="P51" s="318"/>
      <c r="Q51" s="318"/>
      <c r="R51" s="318"/>
      <c r="S51" s="318"/>
      <c r="T51" s="318"/>
      <c r="U51" s="318"/>
      <c r="V51" s="318"/>
      <c r="W51" s="318"/>
      <c r="X51" s="318"/>
      <c r="Y51" s="318"/>
      <c r="Z51" s="318"/>
    </row>
    <row r="52" spans="1:26" ht="13.5">
      <c r="A52" s="327" t="s">
        <v>147</v>
      </c>
      <c r="B52" s="595">
        <v>0.0041</v>
      </c>
      <c r="C52" s="596">
        <v>0.0094</v>
      </c>
      <c r="D52" s="596">
        <v>0.0006</v>
      </c>
      <c r="E52" s="596">
        <v>0.0118</v>
      </c>
      <c r="F52" s="596">
        <v>0</v>
      </c>
      <c r="G52" s="531"/>
      <c r="H52" s="532"/>
      <c r="I52" s="599"/>
      <c r="J52" s="599"/>
      <c r="K52" s="599"/>
      <c r="L52" s="599"/>
      <c r="M52" s="532"/>
      <c r="N52" s="255"/>
      <c r="O52" s="255"/>
      <c r="P52" s="255"/>
      <c r="Q52" s="255"/>
      <c r="R52" s="255"/>
      <c r="S52" s="255"/>
      <c r="T52" s="255"/>
      <c r="U52" s="255"/>
      <c r="V52" s="255"/>
      <c r="W52" s="255"/>
      <c r="X52" s="255"/>
      <c r="Y52" s="255"/>
      <c r="Z52" s="255"/>
    </row>
    <row r="53" spans="1:26" ht="13.5">
      <c r="A53" s="327" t="s">
        <v>127</v>
      </c>
      <c r="B53" s="595">
        <v>0.002</v>
      </c>
      <c r="C53" s="596">
        <v>0.0029</v>
      </c>
      <c r="D53" s="596">
        <v>0.0192</v>
      </c>
      <c r="E53" s="596">
        <v>0.0085</v>
      </c>
      <c r="F53" s="596">
        <v>0</v>
      </c>
      <c r="G53" s="531"/>
      <c r="H53" s="532"/>
      <c r="I53" s="599"/>
      <c r="J53" s="599"/>
      <c r="K53" s="599"/>
      <c r="L53" s="599"/>
      <c r="M53" s="532"/>
      <c r="N53" s="255"/>
      <c r="O53" s="255"/>
      <c r="P53" s="255"/>
      <c r="Q53" s="255"/>
      <c r="R53" s="255"/>
      <c r="S53" s="255"/>
      <c r="T53" s="255"/>
      <c r="U53" s="255"/>
      <c r="V53" s="255"/>
      <c r="W53" s="255"/>
      <c r="X53" s="255"/>
      <c r="Y53" s="255"/>
      <c r="Z53" s="255"/>
    </row>
    <row r="54" spans="1:26" ht="13.5">
      <c r="A54" s="327" t="s">
        <v>128</v>
      </c>
      <c r="B54" s="595">
        <v>0.002</v>
      </c>
      <c r="C54" s="596">
        <v>0</v>
      </c>
      <c r="D54" s="596">
        <v>0.146</v>
      </c>
      <c r="E54" s="596">
        <v>0.0079</v>
      </c>
      <c r="F54" s="596">
        <v>0</v>
      </c>
      <c r="G54" s="531"/>
      <c r="H54" s="532"/>
      <c r="I54" s="599"/>
      <c r="J54" s="599"/>
      <c r="K54" s="599"/>
      <c r="L54" s="599"/>
      <c r="M54" s="532"/>
      <c r="N54" s="255"/>
      <c r="O54" s="255"/>
      <c r="P54" s="255"/>
      <c r="Q54" s="255"/>
      <c r="R54" s="255"/>
      <c r="S54" s="255"/>
      <c r="T54" s="255"/>
      <c r="U54" s="255"/>
      <c r="V54" s="255"/>
      <c r="W54" s="255"/>
      <c r="X54" s="255"/>
      <c r="Y54" s="255"/>
      <c r="Z54" s="255"/>
    </row>
    <row r="55" spans="1:26" ht="13.5">
      <c r="A55" s="471"/>
      <c r="B55" s="533">
        <f>SUM(B31:B54)</f>
        <v>0.9999999999999997</v>
      </c>
      <c r="C55" s="533">
        <f>SUM(C31:C54)</f>
        <v>0.9999999999999999</v>
      </c>
      <c r="D55" s="533">
        <f>SUM(D31:D54)</f>
        <v>1</v>
      </c>
      <c r="E55" s="533">
        <f>SUM(E31:E54)</f>
        <v>1</v>
      </c>
      <c r="F55" s="533">
        <f>SUM(F31:F54)</f>
        <v>1</v>
      </c>
      <c r="G55" s="534"/>
      <c r="H55" s="535"/>
      <c r="I55" s="535"/>
      <c r="J55" s="535"/>
      <c r="K55" s="535"/>
      <c r="L55" s="535"/>
      <c r="M55" s="535"/>
      <c r="N55" s="255"/>
      <c r="O55" s="255"/>
      <c r="P55" s="255"/>
      <c r="Q55" s="255"/>
      <c r="R55" s="255"/>
      <c r="S55" s="255"/>
      <c r="T55" s="255"/>
      <c r="U55" s="255"/>
      <c r="V55" s="255"/>
      <c r="W55" s="255"/>
      <c r="X55" s="255"/>
      <c r="Y55" s="255"/>
      <c r="Z55" s="255"/>
    </row>
    <row r="56" spans="1:26" ht="15" customHeight="1">
      <c r="A56" s="719" t="s">
        <v>369</v>
      </c>
      <c r="B56" s="720"/>
      <c r="C56" s="720"/>
      <c r="D56" s="720"/>
      <c r="E56" s="720"/>
      <c r="F56" s="720"/>
      <c r="G56" s="720"/>
      <c r="H56" s="255"/>
      <c r="I56" s="255"/>
      <c r="J56" s="255"/>
      <c r="K56" s="255"/>
      <c r="L56" s="255"/>
      <c r="M56" s="255"/>
      <c r="N56" s="255"/>
      <c r="O56" s="255"/>
      <c r="P56" s="255"/>
      <c r="Q56" s="255"/>
      <c r="R56" s="255"/>
      <c r="S56" s="255"/>
      <c r="T56" s="255"/>
      <c r="U56" s="255"/>
      <c r="V56" s="255"/>
      <c r="W56" s="255"/>
      <c r="X56" s="255"/>
      <c r="Y56" s="255"/>
      <c r="Z56" s="255"/>
    </row>
    <row r="57" spans="1:26" ht="14.25" thickBot="1">
      <c r="A57" s="336"/>
      <c r="B57" s="537"/>
      <c r="C57" s="537"/>
      <c r="D57" s="537"/>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ht="14.25" thickBot="1">
      <c r="A58" s="703" t="s">
        <v>229</v>
      </c>
      <c r="B58" s="522"/>
      <c r="C58" s="522"/>
      <c r="D58" s="340"/>
      <c r="E58" s="255"/>
      <c r="F58" s="439" t="s">
        <v>24</v>
      </c>
      <c r="G58" s="255"/>
      <c r="H58" s="255"/>
      <c r="I58" s="255"/>
      <c r="J58" s="255"/>
      <c r="K58" s="255"/>
      <c r="L58" s="255"/>
      <c r="M58" s="255"/>
      <c r="N58" s="255"/>
      <c r="O58" s="255"/>
      <c r="P58" s="255"/>
      <c r="Q58" s="255"/>
      <c r="R58" s="255"/>
      <c r="S58" s="255"/>
      <c r="T58" s="255"/>
      <c r="U58" s="255"/>
      <c r="V58" s="255"/>
      <c r="W58" s="255"/>
      <c r="X58" s="255"/>
      <c r="Y58" s="255"/>
      <c r="Z58" s="255"/>
    </row>
    <row r="59" spans="1:26" ht="14.25" thickBot="1">
      <c r="A59" s="704"/>
      <c r="B59" s="706" t="s">
        <v>29</v>
      </c>
      <c r="C59" s="707"/>
      <c r="D59" s="707"/>
      <c r="E59" s="708"/>
      <c r="F59" s="709" t="s">
        <v>39</v>
      </c>
      <c r="G59" s="710"/>
      <c r="H59" s="706" t="s">
        <v>5</v>
      </c>
      <c r="I59" s="708"/>
      <c r="J59" s="706" t="s">
        <v>8</v>
      </c>
      <c r="K59" s="707"/>
      <c r="L59" s="707"/>
      <c r="M59" s="707"/>
      <c r="N59" s="708"/>
      <c r="O59" s="706" t="s">
        <v>40</v>
      </c>
      <c r="P59" s="707"/>
      <c r="Q59" s="707"/>
      <c r="R59" s="708"/>
      <c r="S59" s="706" t="s">
        <v>11</v>
      </c>
      <c r="T59" s="707"/>
      <c r="U59" s="707"/>
      <c r="V59" s="708"/>
      <c r="W59" s="706" t="s">
        <v>41</v>
      </c>
      <c r="X59" s="708"/>
      <c r="Y59" s="706" t="s">
        <v>15</v>
      </c>
      <c r="Z59" s="708"/>
    </row>
    <row r="60" spans="1:26" ht="42" thickBot="1">
      <c r="A60" s="705"/>
      <c r="B60" s="713" t="s">
        <v>282</v>
      </c>
      <c r="C60" s="714"/>
      <c r="D60" s="715"/>
      <c r="E60" s="538">
        <f>'2nd IA CTRs'!F19</f>
        <v>0</v>
      </c>
      <c r="F60" s="578" t="s">
        <v>282</v>
      </c>
      <c r="G60" s="538">
        <f>'2nd IA CTRs'!H19</f>
        <v>0</v>
      </c>
      <c r="H60" s="578" t="s">
        <v>282</v>
      </c>
      <c r="I60" s="538">
        <f>'2nd IA CTRs'!J19</f>
        <v>0</v>
      </c>
      <c r="J60" s="713" t="s">
        <v>282</v>
      </c>
      <c r="K60" s="714"/>
      <c r="L60" s="714"/>
      <c r="M60" s="715"/>
      <c r="N60" s="538">
        <f>'2nd IA Load Pricing Results'!D28-'2nd IA Load Pricing Results'!D17</f>
        <v>94.9912661577608</v>
      </c>
      <c r="O60" s="713" t="s">
        <v>282</v>
      </c>
      <c r="P60" s="714"/>
      <c r="Q60" s="715"/>
      <c r="R60" s="538">
        <f>'2nd IA Load Pricing Results'!D29-'2nd IA Load Pricing Results'!D28</f>
        <v>-0.8828775213029871</v>
      </c>
      <c r="S60" s="716" t="s">
        <v>282</v>
      </c>
      <c r="T60" s="717"/>
      <c r="U60" s="718"/>
      <c r="V60" s="540">
        <f>'2nd IA CTRs'!V19</f>
        <v>0</v>
      </c>
      <c r="W60" s="541" t="s">
        <v>282</v>
      </c>
      <c r="X60" s="540">
        <f>'2nd IA Load Pricing Results'!D32-'2nd IA Load Pricing Results'!D17</f>
        <v>0</v>
      </c>
      <c r="Y60" s="541" t="s">
        <v>282</v>
      </c>
      <c r="Z60" s="540">
        <f>'2nd IA CTRs'!P19</f>
        <v>0</v>
      </c>
    </row>
    <row r="61" spans="1:26" ht="69" thickBot="1">
      <c r="A61" s="542" t="s">
        <v>71</v>
      </c>
      <c r="B61" s="543" t="s">
        <v>137</v>
      </c>
      <c r="C61" s="525" t="s">
        <v>138</v>
      </c>
      <c r="D61" s="544" t="s">
        <v>72</v>
      </c>
      <c r="E61" s="545" t="s">
        <v>86</v>
      </c>
      <c r="F61" s="543" t="s">
        <v>137</v>
      </c>
      <c r="G61" s="545" t="s">
        <v>86</v>
      </c>
      <c r="H61" s="546" t="s">
        <v>138</v>
      </c>
      <c r="I61" s="545" t="s">
        <v>86</v>
      </c>
      <c r="J61" s="543" t="s">
        <v>137</v>
      </c>
      <c r="K61" s="525" t="s">
        <v>139</v>
      </c>
      <c r="L61" s="525" t="s">
        <v>140</v>
      </c>
      <c r="M61" s="544" t="s">
        <v>72</v>
      </c>
      <c r="N61" s="545" t="s">
        <v>86</v>
      </c>
      <c r="O61" s="543" t="s">
        <v>137</v>
      </c>
      <c r="P61" s="525" t="s">
        <v>139</v>
      </c>
      <c r="Q61" s="544" t="s">
        <v>72</v>
      </c>
      <c r="R61" s="547" t="s">
        <v>86</v>
      </c>
      <c r="S61" s="548" t="s">
        <v>188</v>
      </c>
      <c r="T61" s="549" t="s">
        <v>321</v>
      </c>
      <c r="U61" s="544" t="s">
        <v>72</v>
      </c>
      <c r="V61" s="545" t="s">
        <v>86</v>
      </c>
      <c r="W61" s="711" t="s">
        <v>172</v>
      </c>
      <c r="X61" s="711"/>
      <c r="Y61" s="711"/>
      <c r="Z61" s="712"/>
    </row>
    <row r="62" spans="1:26" ht="13.5">
      <c r="A62" s="408" t="s">
        <v>16</v>
      </c>
      <c r="B62" s="550">
        <f aca="true" t="shared" si="4" ref="B62:B85">B31*$C$12</f>
        <v>0</v>
      </c>
      <c r="C62" s="500">
        <f aca="true" t="shared" si="5" ref="C62:C85">C31*$C$14</f>
        <v>0</v>
      </c>
      <c r="D62" s="500">
        <f>B62+C62</f>
        <v>0</v>
      </c>
      <c r="E62" s="551">
        <f>D62*$E$60</f>
        <v>0</v>
      </c>
      <c r="F62" s="550">
        <f aca="true" t="shared" si="6" ref="F62:F85">B31*$D$12</f>
        <v>14.0986</v>
      </c>
      <c r="G62" s="552">
        <f>F62*$G$60</f>
        <v>0</v>
      </c>
      <c r="H62" s="550">
        <f aca="true" t="shared" si="7" ref="H62:H85">C31*$E$14</f>
        <v>21.2352</v>
      </c>
      <c r="I62" s="552">
        <f>H62*$I$60</f>
        <v>0</v>
      </c>
      <c r="J62" s="550">
        <f aca="true" t="shared" si="8" ref="J62:J85">B31*$F$12</f>
        <v>1.08173</v>
      </c>
      <c r="K62" s="500">
        <f aca="true" t="shared" si="9" ref="K62:K85">D31*$F$15</f>
        <v>0.7144199999999999</v>
      </c>
      <c r="L62" s="500">
        <f aca="true" t="shared" si="10" ref="L62:L85">E31*$F$16</f>
        <v>0</v>
      </c>
      <c r="M62" s="500">
        <f>J62+K62+L62</f>
        <v>1.79615</v>
      </c>
      <c r="N62" s="551">
        <f>M62*$N$60</f>
        <v>170.61856270926205</v>
      </c>
      <c r="O62" s="550">
        <f>B31*$H$12</f>
        <v>0</v>
      </c>
      <c r="P62" s="500">
        <f>D31*$H$15</f>
        <v>0</v>
      </c>
      <c r="Q62" s="500">
        <f aca="true" t="shared" si="11" ref="Q62:Q84">O62+P62</f>
        <v>0</v>
      </c>
      <c r="R62" s="553">
        <f>Q62*$R$60</f>
        <v>0</v>
      </c>
      <c r="S62" s="550">
        <f aca="true" t="shared" si="12" ref="S62:S85">F31*$L$17</f>
        <v>0</v>
      </c>
      <c r="T62" s="500">
        <f aca="true" t="shared" si="13" ref="T62:T85">C31*$L$14</f>
        <v>11.1104</v>
      </c>
      <c r="U62" s="500">
        <f>S62+T62</f>
        <v>11.1104</v>
      </c>
      <c r="V62" s="552">
        <f>U62*$V$60</f>
        <v>0</v>
      </c>
      <c r="W62" s="255"/>
      <c r="X62" s="255"/>
      <c r="Y62" s="255"/>
      <c r="Z62" s="255"/>
    </row>
    <row r="63" spans="1:26" ht="13.5">
      <c r="A63" s="408" t="s">
        <v>31</v>
      </c>
      <c r="B63" s="550">
        <f t="shared" si="4"/>
        <v>0</v>
      </c>
      <c r="C63" s="500">
        <f t="shared" si="5"/>
        <v>0</v>
      </c>
      <c r="D63" s="500">
        <f>B63+C63</f>
        <v>0</v>
      </c>
      <c r="E63" s="551">
        <f>D63*$E$60</f>
        <v>0</v>
      </c>
      <c r="F63" s="550">
        <f t="shared" si="6"/>
        <v>136.3164</v>
      </c>
      <c r="G63" s="552">
        <f aca="true" t="shared" si="14" ref="G63:G85">F63*$G$60</f>
        <v>0</v>
      </c>
      <c r="H63" s="550">
        <f t="shared" si="7"/>
        <v>0</v>
      </c>
      <c r="I63" s="552">
        <f aca="true" t="shared" si="15" ref="I63:I85">H63*$I$60</f>
        <v>0</v>
      </c>
      <c r="J63" s="550">
        <f t="shared" si="8"/>
        <v>10.45902</v>
      </c>
      <c r="K63" s="500">
        <f t="shared" si="9"/>
        <v>0</v>
      </c>
      <c r="L63" s="500">
        <f t="shared" si="10"/>
        <v>0</v>
      </c>
      <c r="M63" s="500">
        <f aca="true" t="shared" si="16" ref="M63:M85">J63+K63+L63</f>
        <v>10.45902</v>
      </c>
      <c r="N63" s="551">
        <f aca="true" t="shared" si="17" ref="N63:N85">M63*$N$60</f>
        <v>993.5155525693435</v>
      </c>
      <c r="O63" s="550">
        <f aca="true" t="shared" si="18" ref="O63:O85">B32*$H$12</f>
        <v>0</v>
      </c>
      <c r="P63" s="500">
        <f aca="true" t="shared" si="19" ref="P63:P85">D32*$H$15</f>
        <v>0</v>
      </c>
      <c r="Q63" s="500">
        <f t="shared" si="11"/>
        <v>0</v>
      </c>
      <c r="R63" s="553">
        <f aca="true" t="shared" si="20" ref="R63:R85">Q63*$R$60</f>
        <v>0</v>
      </c>
      <c r="S63" s="550">
        <f t="shared" si="12"/>
        <v>0</v>
      </c>
      <c r="T63" s="500">
        <f t="shared" si="13"/>
        <v>0</v>
      </c>
      <c r="U63" s="500">
        <f>S63+T63</f>
        <v>0</v>
      </c>
      <c r="V63" s="552">
        <f aca="true" t="shared" si="21" ref="V63:V84">U63*$V$60</f>
        <v>0</v>
      </c>
      <c r="W63" s="255"/>
      <c r="X63" s="255"/>
      <c r="Y63" s="255"/>
      <c r="Z63" s="255"/>
    </row>
    <row r="64" spans="1:26" ht="13.5">
      <c r="A64" s="408" t="s">
        <v>19</v>
      </c>
      <c r="B64" s="550">
        <f t="shared" si="4"/>
        <v>0</v>
      </c>
      <c r="C64" s="500">
        <f t="shared" si="5"/>
        <v>0</v>
      </c>
      <c r="D64" s="500">
        <f>B64+C64</f>
        <v>0</v>
      </c>
      <c r="E64" s="551">
        <f aca="true" t="shared" si="22" ref="E64:E84">D64*$E$60</f>
        <v>0</v>
      </c>
      <c r="F64" s="550">
        <f t="shared" si="6"/>
        <v>52.8922</v>
      </c>
      <c r="G64" s="552">
        <f t="shared" si="14"/>
        <v>0</v>
      </c>
      <c r="H64" s="550">
        <f t="shared" si="7"/>
        <v>0</v>
      </c>
      <c r="I64" s="552">
        <f t="shared" si="15"/>
        <v>0</v>
      </c>
      <c r="J64" s="550">
        <f t="shared" si="8"/>
        <v>4.058210000000001</v>
      </c>
      <c r="K64" s="500">
        <f t="shared" si="9"/>
        <v>0</v>
      </c>
      <c r="L64" s="500">
        <f t="shared" si="10"/>
        <v>0</v>
      </c>
      <c r="M64" s="500">
        <f t="shared" si="16"/>
        <v>4.058210000000001</v>
      </c>
      <c r="N64" s="551">
        <f t="shared" si="17"/>
        <v>385.49450623408654</v>
      </c>
      <c r="O64" s="550">
        <f t="shared" si="18"/>
        <v>0</v>
      </c>
      <c r="P64" s="500">
        <f t="shared" si="19"/>
        <v>0</v>
      </c>
      <c r="Q64" s="500">
        <f t="shared" si="11"/>
        <v>0</v>
      </c>
      <c r="R64" s="553">
        <f t="shared" si="20"/>
        <v>0</v>
      </c>
      <c r="S64" s="550">
        <f t="shared" si="12"/>
        <v>8.044400000000001</v>
      </c>
      <c r="T64" s="500">
        <f t="shared" si="13"/>
        <v>0</v>
      </c>
      <c r="U64" s="500">
        <f>S64+T64</f>
        <v>8.044400000000001</v>
      </c>
      <c r="V64" s="552">
        <f t="shared" si="21"/>
        <v>0</v>
      </c>
      <c r="W64" s="255"/>
      <c r="X64" s="255"/>
      <c r="Y64" s="255"/>
      <c r="Z64" s="255"/>
    </row>
    <row r="65" spans="1:26" ht="13.5">
      <c r="A65" s="408" t="s">
        <v>49</v>
      </c>
      <c r="B65" s="550">
        <f t="shared" si="4"/>
        <v>0</v>
      </c>
      <c r="C65" s="500">
        <f t="shared" si="5"/>
        <v>0</v>
      </c>
      <c r="D65" s="500">
        <f aca="true" t="shared" si="23" ref="D65:D84">B65+C65</f>
        <v>0</v>
      </c>
      <c r="E65" s="551">
        <f t="shared" si="22"/>
        <v>0</v>
      </c>
      <c r="F65" s="550">
        <f t="shared" si="6"/>
        <v>68.1582</v>
      </c>
      <c r="G65" s="552">
        <f t="shared" si="14"/>
        <v>0</v>
      </c>
      <c r="H65" s="550">
        <f t="shared" si="7"/>
        <v>0</v>
      </c>
      <c r="I65" s="552">
        <f t="shared" si="15"/>
        <v>0</v>
      </c>
      <c r="J65" s="550">
        <f t="shared" si="8"/>
        <v>5.22951</v>
      </c>
      <c r="K65" s="500">
        <f t="shared" si="9"/>
        <v>0</v>
      </c>
      <c r="L65" s="500">
        <f t="shared" si="10"/>
        <v>0</v>
      </c>
      <c r="M65" s="500">
        <f t="shared" si="16"/>
        <v>5.22951</v>
      </c>
      <c r="N65" s="551">
        <f t="shared" si="17"/>
        <v>496.75777628467176</v>
      </c>
      <c r="O65" s="550">
        <f t="shared" si="18"/>
        <v>0</v>
      </c>
      <c r="P65" s="500">
        <f t="shared" si="19"/>
        <v>0</v>
      </c>
      <c r="Q65" s="500">
        <f t="shared" si="11"/>
        <v>0</v>
      </c>
      <c r="R65" s="553">
        <f t="shared" si="20"/>
        <v>0</v>
      </c>
      <c r="S65" s="550">
        <f t="shared" si="12"/>
        <v>0</v>
      </c>
      <c r="T65" s="500">
        <f t="shared" si="13"/>
        <v>0</v>
      </c>
      <c r="U65" s="500">
        <f>S65+T65</f>
        <v>0</v>
      </c>
      <c r="V65" s="552">
        <f t="shared" si="21"/>
        <v>0</v>
      </c>
      <c r="W65" s="255"/>
      <c r="X65" s="255"/>
      <c r="Y65" s="255"/>
      <c r="Z65" s="255"/>
    </row>
    <row r="66" spans="1:26" ht="13.5">
      <c r="A66" s="408" t="s">
        <v>11</v>
      </c>
      <c r="B66" s="550">
        <f t="shared" si="4"/>
        <v>0</v>
      </c>
      <c r="C66" s="500">
        <f t="shared" si="5"/>
        <v>0</v>
      </c>
      <c r="D66" s="500">
        <f t="shared" si="23"/>
        <v>0</v>
      </c>
      <c r="E66" s="551">
        <f t="shared" si="22"/>
        <v>0</v>
      </c>
      <c r="F66" s="550">
        <f t="shared" si="6"/>
        <v>36.9976</v>
      </c>
      <c r="G66" s="552">
        <f t="shared" si="14"/>
        <v>0</v>
      </c>
      <c r="H66" s="550">
        <f t="shared" si="7"/>
        <v>0</v>
      </c>
      <c r="I66" s="552">
        <f t="shared" si="15"/>
        <v>0</v>
      </c>
      <c r="J66" s="550">
        <f t="shared" si="8"/>
        <v>2.83868</v>
      </c>
      <c r="K66" s="500">
        <f t="shared" si="9"/>
        <v>2.99376</v>
      </c>
      <c r="L66" s="500">
        <f t="shared" si="10"/>
        <v>0</v>
      </c>
      <c r="M66" s="500">
        <f t="shared" si="16"/>
        <v>5.83244</v>
      </c>
      <c r="N66" s="551">
        <f t="shared" si="17"/>
        <v>554.0308603891705</v>
      </c>
      <c r="O66" s="550">
        <f t="shared" si="18"/>
        <v>0</v>
      </c>
      <c r="P66" s="500">
        <f t="shared" si="19"/>
        <v>0</v>
      </c>
      <c r="Q66" s="500">
        <f t="shared" si="11"/>
        <v>0</v>
      </c>
      <c r="R66" s="553">
        <f t="shared" si="20"/>
        <v>0</v>
      </c>
      <c r="S66" s="550">
        <f t="shared" si="12"/>
        <v>121.849</v>
      </c>
      <c r="T66" s="500">
        <f t="shared" si="13"/>
        <v>0</v>
      </c>
      <c r="U66" s="500">
        <f aca="true" t="shared" si="24" ref="U66:U84">S66+T66</f>
        <v>121.849</v>
      </c>
      <c r="V66" s="552">
        <f t="shared" si="21"/>
        <v>0</v>
      </c>
      <c r="W66" s="255"/>
      <c r="X66" s="255"/>
      <c r="Y66" s="255"/>
      <c r="Z66" s="255"/>
    </row>
    <row r="67" spans="1:26" ht="13.5">
      <c r="A67" s="408" t="s">
        <v>20</v>
      </c>
      <c r="B67" s="550">
        <f t="shared" si="4"/>
        <v>0</v>
      </c>
      <c r="C67" s="500">
        <f t="shared" si="5"/>
        <v>0</v>
      </c>
      <c r="D67" s="500">
        <f t="shared" si="23"/>
        <v>0</v>
      </c>
      <c r="E67" s="551">
        <f t="shared" si="22"/>
        <v>0</v>
      </c>
      <c r="F67" s="550">
        <f t="shared" si="6"/>
        <v>111.1724</v>
      </c>
      <c r="G67" s="552">
        <f t="shared" si="14"/>
        <v>0</v>
      </c>
      <c r="H67" s="550">
        <f t="shared" si="7"/>
        <v>0</v>
      </c>
      <c r="I67" s="552">
        <f t="shared" si="15"/>
        <v>0</v>
      </c>
      <c r="J67" s="550">
        <f t="shared" si="8"/>
        <v>8.52982</v>
      </c>
      <c r="K67" s="500">
        <f t="shared" si="9"/>
        <v>7.17822</v>
      </c>
      <c r="L67" s="500">
        <f t="shared" si="10"/>
        <v>0</v>
      </c>
      <c r="M67" s="500">
        <f t="shared" si="16"/>
        <v>15.70804</v>
      </c>
      <c r="N67" s="551">
        <f t="shared" si="17"/>
        <v>1492.126608456753</v>
      </c>
      <c r="O67" s="550">
        <f t="shared" si="18"/>
        <v>0</v>
      </c>
      <c r="P67" s="500">
        <f t="shared" si="19"/>
        <v>0</v>
      </c>
      <c r="Q67" s="500">
        <f t="shared" si="11"/>
        <v>0</v>
      </c>
      <c r="R67" s="553">
        <f t="shared" si="20"/>
        <v>0</v>
      </c>
      <c r="S67" s="550">
        <f t="shared" si="12"/>
        <v>7.4984</v>
      </c>
      <c r="T67" s="500">
        <f t="shared" si="13"/>
        <v>0</v>
      </c>
      <c r="U67" s="500">
        <f t="shared" si="24"/>
        <v>7.4984</v>
      </c>
      <c r="V67" s="552">
        <f t="shared" si="21"/>
        <v>0</v>
      </c>
      <c r="W67" s="255"/>
      <c r="X67" s="255"/>
      <c r="Y67" s="255"/>
      <c r="Z67" s="255"/>
    </row>
    <row r="68" spans="1:26" ht="13.5">
      <c r="A68" s="408" t="s">
        <v>21</v>
      </c>
      <c r="B68" s="550">
        <f t="shared" si="4"/>
        <v>0</v>
      </c>
      <c r="C68" s="500">
        <f t="shared" si="5"/>
        <v>0</v>
      </c>
      <c r="D68" s="500">
        <f t="shared" si="23"/>
        <v>0</v>
      </c>
      <c r="E68" s="551">
        <f t="shared" si="22"/>
        <v>0</v>
      </c>
      <c r="F68" s="550">
        <f t="shared" si="6"/>
        <v>18.139599999999998</v>
      </c>
      <c r="G68" s="552">
        <f t="shared" si="14"/>
        <v>0</v>
      </c>
      <c r="H68" s="550">
        <f t="shared" si="7"/>
        <v>0</v>
      </c>
      <c r="I68" s="552">
        <f t="shared" si="15"/>
        <v>0</v>
      </c>
      <c r="J68" s="550">
        <f t="shared" si="8"/>
        <v>1.39178</v>
      </c>
      <c r="K68" s="500">
        <f t="shared" si="9"/>
        <v>0.40823999999999994</v>
      </c>
      <c r="L68" s="500">
        <f t="shared" si="10"/>
        <v>0</v>
      </c>
      <c r="M68" s="500">
        <f t="shared" si="16"/>
        <v>1.80002</v>
      </c>
      <c r="N68" s="551">
        <f t="shared" si="17"/>
        <v>170.9861789092926</v>
      </c>
      <c r="O68" s="550">
        <f t="shared" si="18"/>
        <v>0</v>
      </c>
      <c r="P68" s="500">
        <f t="shared" si="19"/>
        <v>0</v>
      </c>
      <c r="Q68" s="500">
        <f t="shared" si="11"/>
        <v>0</v>
      </c>
      <c r="R68" s="553">
        <f t="shared" si="20"/>
        <v>0</v>
      </c>
      <c r="S68" s="550">
        <f t="shared" si="12"/>
        <v>0.8917999999999999</v>
      </c>
      <c r="T68" s="500">
        <f t="shared" si="13"/>
        <v>0</v>
      </c>
      <c r="U68" s="500">
        <f t="shared" si="24"/>
        <v>0.8917999999999999</v>
      </c>
      <c r="V68" s="552">
        <f t="shared" si="21"/>
        <v>0</v>
      </c>
      <c r="W68" s="255"/>
      <c r="X68" s="255"/>
      <c r="Y68" s="255"/>
      <c r="Z68" s="255"/>
    </row>
    <row r="69" spans="1:26" ht="13.5">
      <c r="A69" s="408" t="s">
        <v>63</v>
      </c>
      <c r="B69" s="550">
        <f t="shared" si="4"/>
        <v>0</v>
      </c>
      <c r="C69" s="500">
        <f t="shared" si="5"/>
        <v>0</v>
      </c>
      <c r="D69" s="500">
        <f t="shared" si="23"/>
        <v>0</v>
      </c>
      <c r="E69" s="551">
        <f t="shared" si="22"/>
        <v>0</v>
      </c>
      <c r="F69" s="550">
        <f t="shared" si="6"/>
        <v>28.287</v>
      </c>
      <c r="G69" s="552">
        <f t="shared" si="14"/>
        <v>0</v>
      </c>
      <c r="H69" s="550">
        <f t="shared" si="7"/>
        <v>0</v>
      </c>
      <c r="I69" s="552">
        <f t="shared" si="15"/>
        <v>0</v>
      </c>
      <c r="J69" s="550">
        <f t="shared" si="8"/>
        <v>2.17035</v>
      </c>
      <c r="K69" s="500">
        <f t="shared" si="9"/>
        <v>0</v>
      </c>
      <c r="L69" s="500">
        <f t="shared" si="10"/>
        <v>0</v>
      </c>
      <c r="M69" s="500">
        <f t="shared" si="16"/>
        <v>2.17035</v>
      </c>
      <c r="N69" s="551">
        <f t="shared" si="17"/>
        <v>206.16429450549617</v>
      </c>
      <c r="O69" s="550">
        <f t="shared" si="18"/>
        <v>0</v>
      </c>
      <c r="P69" s="500">
        <f t="shared" si="19"/>
        <v>0</v>
      </c>
      <c r="Q69" s="500">
        <f t="shared" si="11"/>
        <v>0</v>
      </c>
      <c r="R69" s="553">
        <f t="shared" si="20"/>
        <v>0</v>
      </c>
      <c r="S69" s="550">
        <f t="shared" si="12"/>
        <v>0</v>
      </c>
      <c r="T69" s="500">
        <f t="shared" si="13"/>
        <v>0</v>
      </c>
      <c r="U69" s="500">
        <f t="shared" si="24"/>
        <v>0</v>
      </c>
      <c r="V69" s="552">
        <f t="shared" si="21"/>
        <v>0</v>
      </c>
      <c r="W69" s="255"/>
      <c r="X69" s="255"/>
      <c r="Y69" s="255"/>
      <c r="Z69" s="255"/>
    </row>
    <row r="70" spans="1:26" ht="13.5">
      <c r="A70" s="408" t="s">
        <v>48</v>
      </c>
      <c r="B70" s="550">
        <f t="shared" si="4"/>
        <v>0</v>
      </c>
      <c r="C70" s="500">
        <f t="shared" si="5"/>
        <v>0</v>
      </c>
      <c r="D70" s="500">
        <f t="shared" si="23"/>
        <v>0</v>
      </c>
      <c r="E70" s="551">
        <f t="shared" si="22"/>
        <v>0</v>
      </c>
      <c r="F70" s="550">
        <f t="shared" si="6"/>
        <v>15.4456</v>
      </c>
      <c r="G70" s="552">
        <f t="shared" si="14"/>
        <v>0</v>
      </c>
      <c r="H70" s="550">
        <f t="shared" si="7"/>
        <v>0</v>
      </c>
      <c r="I70" s="552">
        <f t="shared" si="15"/>
        <v>0</v>
      </c>
      <c r="J70" s="550">
        <f t="shared" si="8"/>
        <v>1.1850800000000001</v>
      </c>
      <c r="K70" s="500">
        <f t="shared" si="9"/>
        <v>0</v>
      </c>
      <c r="L70" s="500">
        <f t="shared" si="10"/>
        <v>0</v>
      </c>
      <c r="M70" s="500">
        <f t="shared" si="16"/>
        <v>1.1850800000000001</v>
      </c>
      <c r="N70" s="551">
        <f t="shared" si="17"/>
        <v>112.57224969823919</v>
      </c>
      <c r="O70" s="550">
        <f t="shared" si="18"/>
        <v>0</v>
      </c>
      <c r="P70" s="500">
        <f t="shared" si="19"/>
        <v>0</v>
      </c>
      <c r="Q70" s="500">
        <f t="shared" si="11"/>
        <v>0</v>
      </c>
      <c r="R70" s="553">
        <f t="shared" si="20"/>
        <v>0</v>
      </c>
      <c r="S70" s="550">
        <f t="shared" si="12"/>
        <v>0</v>
      </c>
      <c r="T70" s="500">
        <f t="shared" si="13"/>
        <v>0</v>
      </c>
      <c r="U70" s="500">
        <f t="shared" si="24"/>
        <v>0</v>
      </c>
      <c r="V70" s="552">
        <f t="shared" si="21"/>
        <v>0</v>
      </c>
      <c r="W70" s="255"/>
      <c r="X70" s="255"/>
      <c r="Y70" s="255"/>
      <c r="Z70" s="255"/>
    </row>
    <row r="71" spans="1:26" ht="13.5">
      <c r="A71" s="408" t="s">
        <v>32</v>
      </c>
      <c r="B71" s="550">
        <f t="shared" si="4"/>
        <v>0</v>
      </c>
      <c r="C71" s="500">
        <f t="shared" si="5"/>
        <v>0</v>
      </c>
      <c r="D71" s="500">
        <f t="shared" si="23"/>
        <v>0</v>
      </c>
      <c r="E71" s="551">
        <f t="shared" si="22"/>
        <v>0</v>
      </c>
      <c r="F71" s="550">
        <f t="shared" si="6"/>
        <v>119.43400000000001</v>
      </c>
      <c r="G71" s="552">
        <f t="shared" si="14"/>
        <v>0</v>
      </c>
      <c r="H71" s="550">
        <f t="shared" si="7"/>
        <v>0</v>
      </c>
      <c r="I71" s="552">
        <f t="shared" si="15"/>
        <v>0</v>
      </c>
      <c r="J71" s="550">
        <f t="shared" si="8"/>
        <v>9.1637</v>
      </c>
      <c r="K71" s="500">
        <f t="shared" si="9"/>
        <v>0</v>
      </c>
      <c r="L71" s="500">
        <f t="shared" si="10"/>
        <v>0</v>
      </c>
      <c r="M71" s="500">
        <f t="shared" si="16"/>
        <v>9.1637</v>
      </c>
      <c r="N71" s="551">
        <f t="shared" si="17"/>
        <v>870.4714656898727</v>
      </c>
      <c r="O71" s="550">
        <f t="shared" si="18"/>
        <v>0</v>
      </c>
      <c r="P71" s="500">
        <f t="shared" si="19"/>
        <v>0</v>
      </c>
      <c r="Q71" s="500">
        <f t="shared" si="11"/>
        <v>0</v>
      </c>
      <c r="R71" s="553">
        <f t="shared" si="20"/>
        <v>0</v>
      </c>
      <c r="S71" s="550">
        <f t="shared" si="12"/>
        <v>34.1432</v>
      </c>
      <c r="T71" s="500">
        <f t="shared" si="13"/>
        <v>0</v>
      </c>
      <c r="U71" s="500">
        <f t="shared" si="24"/>
        <v>34.1432</v>
      </c>
      <c r="V71" s="552">
        <f t="shared" si="21"/>
        <v>0</v>
      </c>
      <c r="W71" s="255"/>
      <c r="X71" s="255"/>
      <c r="Y71" s="255"/>
      <c r="Z71" s="255"/>
    </row>
    <row r="72" spans="1:26" ht="13.5">
      <c r="A72" s="408" t="s">
        <v>17</v>
      </c>
      <c r="B72" s="550">
        <f t="shared" si="4"/>
        <v>0</v>
      </c>
      <c r="C72" s="500">
        <f t="shared" si="5"/>
        <v>0</v>
      </c>
      <c r="D72" s="500">
        <f t="shared" si="23"/>
        <v>0</v>
      </c>
      <c r="E72" s="551">
        <f t="shared" si="22"/>
        <v>0</v>
      </c>
      <c r="F72" s="550">
        <f t="shared" si="6"/>
        <v>22.7194</v>
      </c>
      <c r="G72" s="552">
        <f t="shared" si="14"/>
        <v>0</v>
      </c>
      <c r="H72" s="550">
        <f t="shared" si="7"/>
        <v>39.744899999999994</v>
      </c>
      <c r="I72" s="552">
        <f t="shared" si="15"/>
        <v>0</v>
      </c>
      <c r="J72" s="550">
        <f t="shared" si="8"/>
        <v>1.74317</v>
      </c>
      <c r="K72" s="500">
        <f t="shared" si="9"/>
        <v>0</v>
      </c>
      <c r="L72" s="500">
        <f t="shared" si="10"/>
        <v>0</v>
      </c>
      <c r="M72" s="500">
        <f t="shared" si="16"/>
        <v>1.74317</v>
      </c>
      <c r="N72" s="551">
        <f t="shared" si="17"/>
        <v>165.5859254282239</v>
      </c>
      <c r="O72" s="550">
        <f t="shared" si="18"/>
        <v>0</v>
      </c>
      <c r="P72" s="500">
        <f t="shared" si="19"/>
        <v>0</v>
      </c>
      <c r="Q72" s="500">
        <f t="shared" si="11"/>
        <v>0</v>
      </c>
      <c r="R72" s="553">
        <f t="shared" si="20"/>
        <v>0</v>
      </c>
      <c r="S72" s="550">
        <f t="shared" si="12"/>
        <v>0</v>
      </c>
      <c r="T72" s="500">
        <f t="shared" si="13"/>
        <v>20.7948</v>
      </c>
      <c r="U72" s="500">
        <f t="shared" si="24"/>
        <v>20.7948</v>
      </c>
      <c r="V72" s="552">
        <f t="shared" si="21"/>
        <v>0</v>
      </c>
      <c r="W72" s="255"/>
      <c r="X72" s="255"/>
      <c r="Y72" s="255"/>
      <c r="Z72" s="255"/>
    </row>
    <row r="73" spans="1:26" ht="13.5">
      <c r="A73" s="408" t="s">
        <v>160</v>
      </c>
      <c r="B73" s="550">
        <f t="shared" si="4"/>
        <v>0</v>
      </c>
      <c r="C73" s="500">
        <f t="shared" si="5"/>
        <v>0</v>
      </c>
      <c r="D73" s="500">
        <f>B73+C73</f>
        <v>0</v>
      </c>
      <c r="E73" s="551">
        <f>D73*$E$60</f>
        <v>0</v>
      </c>
      <c r="F73" s="550">
        <f t="shared" si="6"/>
        <v>19.2172</v>
      </c>
      <c r="G73" s="552">
        <f>F73*$G$60</f>
        <v>0</v>
      </c>
      <c r="H73" s="550">
        <f t="shared" si="7"/>
        <v>0</v>
      </c>
      <c r="I73" s="552">
        <f>H73*$I$60</f>
        <v>0</v>
      </c>
      <c r="J73" s="550">
        <f t="shared" si="8"/>
        <v>1.47446</v>
      </c>
      <c r="K73" s="500">
        <f t="shared" si="9"/>
        <v>0</v>
      </c>
      <c r="L73" s="500">
        <f t="shared" si="10"/>
        <v>0</v>
      </c>
      <c r="M73" s="500">
        <f>J73+K73+L73</f>
        <v>1.47446</v>
      </c>
      <c r="N73" s="551">
        <f>M73*$N$60</f>
        <v>140.060822298972</v>
      </c>
      <c r="O73" s="550">
        <f t="shared" si="18"/>
        <v>0</v>
      </c>
      <c r="P73" s="500">
        <f t="shared" si="19"/>
        <v>0</v>
      </c>
      <c r="Q73" s="500">
        <f>O73+P73</f>
        <v>0</v>
      </c>
      <c r="R73" s="553">
        <f>Q73*$R$60</f>
        <v>0</v>
      </c>
      <c r="S73" s="550">
        <f t="shared" si="12"/>
        <v>0</v>
      </c>
      <c r="T73" s="500">
        <f t="shared" si="13"/>
        <v>0</v>
      </c>
      <c r="U73" s="500">
        <f>S73+T73</f>
        <v>0</v>
      </c>
      <c r="V73" s="552">
        <f t="shared" si="21"/>
        <v>0</v>
      </c>
      <c r="W73" s="255"/>
      <c r="X73" s="255"/>
      <c r="Y73" s="255"/>
      <c r="Z73" s="255"/>
    </row>
    <row r="74" spans="1:26" ht="13.5">
      <c r="A74" s="408" t="s">
        <v>12</v>
      </c>
      <c r="B74" s="550">
        <f t="shared" si="4"/>
        <v>0</v>
      </c>
      <c r="C74" s="500">
        <f t="shared" si="5"/>
        <v>0</v>
      </c>
      <c r="D74" s="500">
        <f t="shared" si="23"/>
        <v>0</v>
      </c>
      <c r="E74" s="551">
        <f t="shared" si="22"/>
        <v>0</v>
      </c>
      <c r="F74" s="550">
        <f t="shared" si="6"/>
        <v>32.058600000000006</v>
      </c>
      <c r="G74" s="552">
        <f t="shared" si="14"/>
        <v>0</v>
      </c>
      <c r="H74" s="550">
        <f t="shared" si="7"/>
        <v>22.7283</v>
      </c>
      <c r="I74" s="552">
        <f t="shared" si="15"/>
        <v>0</v>
      </c>
      <c r="J74" s="550">
        <f t="shared" si="8"/>
        <v>2.4597300000000004</v>
      </c>
      <c r="K74" s="500">
        <f t="shared" si="9"/>
        <v>3.6061199999999998</v>
      </c>
      <c r="L74" s="500">
        <f t="shared" si="10"/>
        <v>11.57646</v>
      </c>
      <c r="M74" s="500">
        <f t="shared" si="16"/>
        <v>17.642310000000002</v>
      </c>
      <c r="N74" s="551">
        <f t="shared" si="17"/>
        <v>1675.8653648477252</v>
      </c>
      <c r="O74" s="550">
        <f t="shared" si="18"/>
        <v>0</v>
      </c>
      <c r="P74" s="500">
        <f t="shared" si="19"/>
        <v>0</v>
      </c>
      <c r="Q74" s="500">
        <f t="shared" si="11"/>
        <v>0</v>
      </c>
      <c r="R74" s="553">
        <f t="shared" si="20"/>
        <v>0</v>
      </c>
      <c r="S74" s="550">
        <f t="shared" si="12"/>
        <v>0</v>
      </c>
      <c r="T74" s="500">
        <f t="shared" si="13"/>
        <v>11.8916</v>
      </c>
      <c r="U74" s="500">
        <f t="shared" si="24"/>
        <v>11.8916</v>
      </c>
      <c r="V74" s="552">
        <f t="shared" si="21"/>
        <v>0</v>
      </c>
      <c r="W74" s="255"/>
      <c r="X74" s="255"/>
      <c r="Y74" s="255"/>
      <c r="Z74" s="255"/>
    </row>
    <row r="75" spans="1:26" ht="13.5">
      <c r="A75" s="408" t="s">
        <v>13</v>
      </c>
      <c r="B75" s="550">
        <f t="shared" si="4"/>
        <v>0</v>
      </c>
      <c r="C75" s="500">
        <f t="shared" si="5"/>
        <v>0</v>
      </c>
      <c r="D75" s="500">
        <f t="shared" si="23"/>
        <v>0</v>
      </c>
      <c r="E75" s="551">
        <f t="shared" si="22"/>
        <v>0</v>
      </c>
      <c r="F75" s="550">
        <f t="shared" si="6"/>
        <v>15.4456</v>
      </c>
      <c r="G75" s="552">
        <f t="shared" si="14"/>
        <v>0</v>
      </c>
      <c r="H75" s="550">
        <f t="shared" si="7"/>
        <v>3.4838999999999998</v>
      </c>
      <c r="I75" s="552">
        <f t="shared" si="15"/>
        <v>0</v>
      </c>
      <c r="J75" s="550">
        <f t="shared" si="8"/>
        <v>1.1850800000000001</v>
      </c>
      <c r="K75" s="500">
        <f t="shared" si="9"/>
        <v>0</v>
      </c>
      <c r="L75" s="500">
        <f t="shared" si="10"/>
        <v>0</v>
      </c>
      <c r="M75" s="500">
        <f t="shared" si="16"/>
        <v>1.1850800000000001</v>
      </c>
      <c r="N75" s="551">
        <f t="shared" si="17"/>
        <v>112.57224969823919</v>
      </c>
      <c r="O75" s="550">
        <f t="shared" si="18"/>
        <v>0</v>
      </c>
      <c r="P75" s="500">
        <f t="shared" si="19"/>
        <v>0</v>
      </c>
      <c r="Q75" s="500">
        <f t="shared" si="11"/>
        <v>0</v>
      </c>
      <c r="R75" s="553">
        <f t="shared" si="20"/>
        <v>0</v>
      </c>
      <c r="S75" s="550">
        <f t="shared" si="12"/>
        <v>0</v>
      </c>
      <c r="T75" s="500">
        <f t="shared" si="13"/>
        <v>1.8228</v>
      </c>
      <c r="U75" s="500">
        <f t="shared" si="24"/>
        <v>1.8228</v>
      </c>
      <c r="V75" s="552">
        <f t="shared" si="21"/>
        <v>0</v>
      </c>
      <c r="W75" s="255"/>
      <c r="X75" s="255"/>
      <c r="Y75" s="255"/>
      <c r="Z75" s="255"/>
    </row>
    <row r="76" spans="1:26" ht="13.5">
      <c r="A76" s="408" t="s">
        <v>9</v>
      </c>
      <c r="B76" s="550">
        <f t="shared" si="4"/>
        <v>0</v>
      </c>
      <c r="C76" s="500">
        <f t="shared" si="5"/>
        <v>0</v>
      </c>
      <c r="D76" s="500">
        <f t="shared" si="23"/>
        <v>0</v>
      </c>
      <c r="E76" s="551">
        <f t="shared" si="22"/>
        <v>0</v>
      </c>
      <c r="F76" s="550">
        <f t="shared" si="6"/>
        <v>44.6306</v>
      </c>
      <c r="G76" s="552">
        <f t="shared" si="14"/>
        <v>0</v>
      </c>
      <c r="H76" s="550">
        <f t="shared" si="7"/>
        <v>72.6168</v>
      </c>
      <c r="I76" s="552">
        <f t="shared" si="15"/>
        <v>0</v>
      </c>
      <c r="J76" s="550">
        <f t="shared" si="8"/>
        <v>3.4243300000000003</v>
      </c>
      <c r="K76" s="500">
        <f t="shared" si="9"/>
        <v>0</v>
      </c>
      <c r="L76" s="500">
        <f t="shared" si="10"/>
        <v>46.12524</v>
      </c>
      <c r="M76" s="500">
        <f t="shared" si="16"/>
        <v>49.549569999999996</v>
      </c>
      <c r="N76" s="551">
        <f t="shared" si="17"/>
        <v>4706.7763918726</v>
      </c>
      <c r="O76" s="550">
        <f t="shared" si="18"/>
        <v>0</v>
      </c>
      <c r="P76" s="500">
        <f t="shared" si="19"/>
        <v>0</v>
      </c>
      <c r="Q76" s="500">
        <f t="shared" si="11"/>
        <v>0</v>
      </c>
      <c r="R76" s="553">
        <f t="shared" si="20"/>
        <v>0</v>
      </c>
      <c r="S76" s="550">
        <f t="shared" si="12"/>
        <v>0</v>
      </c>
      <c r="T76" s="500">
        <f t="shared" si="13"/>
        <v>37.9936</v>
      </c>
      <c r="U76" s="500">
        <f t="shared" si="24"/>
        <v>37.9936</v>
      </c>
      <c r="V76" s="552">
        <f t="shared" si="21"/>
        <v>0</v>
      </c>
      <c r="W76" s="255"/>
      <c r="X76" s="255"/>
      <c r="Y76" s="255"/>
      <c r="Z76" s="255"/>
    </row>
    <row r="77" spans="1:26" ht="13.5">
      <c r="A77" s="408" t="s">
        <v>14</v>
      </c>
      <c r="B77" s="550">
        <f t="shared" si="4"/>
        <v>0</v>
      </c>
      <c r="C77" s="500">
        <f t="shared" si="5"/>
        <v>0</v>
      </c>
      <c r="D77" s="500">
        <f t="shared" si="23"/>
        <v>0</v>
      </c>
      <c r="E77" s="551">
        <f t="shared" si="22"/>
        <v>0</v>
      </c>
      <c r="F77" s="550">
        <f t="shared" si="6"/>
        <v>16.7028</v>
      </c>
      <c r="G77" s="552">
        <f t="shared" si="14"/>
        <v>0</v>
      </c>
      <c r="H77" s="550">
        <f t="shared" si="7"/>
        <v>0</v>
      </c>
      <c r="I77" s="552">
        <f t="shared" si="15"/>
        <v>0</v>
      </c>
      <c r="J77" s="550">
        <f t="shared" si="8"/>
        <v>1.28154</v>
      </c>
      <c r="K77" s="500">
        <f t="shared" si="9"/>
        <v>9.1854</v>
      </c>
      <c r="L77" s="500">
        <f t="shared" si="10"/>
        <v>0</v>
      </c>
      <c r="M77" s="500">
        <f t="shared" si="16"/>
        <v>10.46694</v>
      </c>
      <c r="N77" s="551">
        <f t="shared" si="17"/>
        <v>994.2678833973129</v>
      </c>
      <c r="O77" s="550">
        <f t="shared" si="18"/>
        <v>0</v>
      </c>
      <c r="P77" s="500">
        <f t="shared" si="19"/>
        <v>0</v>
      </c>
      <c r="Q77" s="500">
        <f t="shared" si="11"/>
        <v>0</v>
      </c>
      <c r="R77" s="553">
        <f t="shared" si="20"/>
        <v>0</v>
      </c>
      <c r="S77" s="550">
        <f t="shared" si="12"/>
        <v>0.091</v>
      </c>
      <c r="T77" s="500">
        <f t="shared" si="13"/>
        <v>0</v>
      </c>
      <c r="U77" s="500">
        <f t="shared" si="24"/>
        <v>0.091</v>
      </c>
      <c r="V77" s="552">
        <f t="shared" si="21"/>
        <v>0</v>
      </c>
      <c r="W77" s="255"/>
      <c r="X77" s="255"/>
      <c r="Y77" s="255"/>
      <c r="Z77" s="255"/>
    </row>
    <row r="78" spans="1:26" ht="13.5">
      <c r="A78" s="408" t="s">
        <v>15</v>
      </c>
      <c r="B78" s="550">
        <f t="shared" si="4"/>
        <v>0</v>
      </c>
      <c r="C78" s="500">
        <f t="shared" si="5"/>
        <v>0</v>
      </c>
      <c r="D78" s="500">
        <f t="shared" si="23"/>
        <v>0</v>
      </c>
      <c r="E78" s="551">
        <f t="shared" si="22"/>
        <v>0</v>
      </c>
      <c r="F78" s="550">
        <f t="shared" si="6"/>
        <v>34.573</v>
      </c>
      <c r="G78" s="552">
        <f t="shared" si="14"/>
        <v>0</v>
      </c>
      <c r="H78" s="550">
        <f t="shared" si="7"/>
        <v>0</v>
      </c>
      <c r="I78" s="552">
        <f t="shared" si="15"/>
        <v>0</v>
      </c>
      <c r="J78" s="550">
        <f t="shared" si="8"/>
        <v>2.6526500000000004</v>
      </c>
      <c r="K78" s="500">
        <f t="shared" si="9"/>
        <v>3.2319</v>
      </c>
      <c r="L78" s="500">
        <f t="shared" si="10"/>
        <v>0.51471</v>
      </c>
      <c r="M78" s="500">
        <f t="shared" si="16"/>
        <v>6.399260000000001</v>
      </c>
      <c r="N78" s="551">
        <f t="shared" si="17"/>
        <v>607.8738098727125</v>
      </c>
      <c r="O78" s="550">
        <f t="shared" si="18"/>
        <v>0</v>
      </c>
      <c r="P78" s="500">
        <f t="shared" si="19"/>
        <v>0</v>
      </c>
      <c r="Q78" s="500">
        <f t="shared" si="11"/>
        <v>0</v>
      </c>
      <c r="R78" s="553">
        <f t="shared" si="20"/>
        <v>0</v>
      </c>
      <c r="S78" s="550">
        <f t="shared" si="12"/>
        <v>9.4822</v>
      </c>
      <c r="T78" s="500">
        <f t="shared" si="13"/>
        <v>0</v>
      </c>
      <c r="U78" s="500">
        <f t="shared" si="24"/>
        <v>9.4822</v>
      </c>
      <c r="V78" s="552">
        <f t="shared" si="21"/>
        <v>0</v>
      </c>
      <c r="W78" s="255"/>
      <c r="X78" s="255"/>
      <c r="Y78" s="255"/>
      <c r="Z78" s="255"/>
    </row>
    <row r="79" spans="1:26" ht="13.5">
      <c r="A79" s="408" t="s">
        <v>10</v>
      </c>
      <c r="B79" s="550">
        <f t="shared" si="4"/>
        <v>0</v>
      </c>
      <c r="C79" s="500">
        <f t="shared" si="5"/>
        <v>0</v>
      </c>
      <c r="D79" s="500">
        <f t="shared" si="23"/>
        <v>0</v>
      </c>
      <c r="E79" s="551">
        <f t="shared" si="22"/>
        <v>0</v>
      </c>
      <c r="F79" s="550">
        <f t="shared" si="6"/>
        <v>44.451</v>
      </c>
      <c r="G79" s="552">
        <f t="shared" si="14"/>
        <v>0</v>
      </c>
      <c r="H79" s="550">
        <f t="shared" si="7"/>
        <v>38.7021</v>
      </c>
      <c r="I79" s="552">
        <f t="shared" si="15"/>
        <v>0</v>
      </c>
      <c r="J79" s="550">
        <f t="shared" si="8"/>
        <v>3.4105500000000006</v>
      </c>
      <c r="K79" s="500">
        <f t="shared" si="9"/>
        <v>0</v>
      </c>
      <c r="L79" s="500">
        <f t="shared" si="10"/>
        <v>0</v>
      </c>
      <c r="M79" s="500">
        <f t="shared" si="16"/>
        <v>3.4105500000000006</v>
      </c>
      <c r="N79" s="551">
        <f t="shared" si="17"/>
        <v>323.97246279435115</v>
      </c>
      <c r="O79" s="550">
        <f t="shared" si="18"/>
        <v>0</v>
      </c>
      <c r="P79" s="500">
        <f t="shared" si="19"/>
        <v>0</v>
      </c>
      <c r="Q79" s="500">
        <f t="shared" si="11"/>
        <v>0</v>
      </c>
      <c r="R79" s="553">
        <f t="shared" si="20"/>
        <v>0</v>
      </c>
      <c r="S79" s="550">
        <f t="shared" si="12"/>
        <v>0</v>
      </c>
      <c r="T79" s="500">
        <f t="shared" si="13"/>
        <v>20.249200000000002</v>
      </c>
      <c r="U79" s="500">
        <f t="shared" si="24"/>
        <v>20.249200000000002</v>
      </c>
      <c r="V79" s="552">
        <f t="shared" si="21"/>
        <v>0</v>
      </c>
      <c r="W79" s="255"/>
      <c r="X79" s="255"/>
      <c r="Y79" s="255"/>
      <c r="Z79" s="255"/>
    </row>
    <row r="80" spans="1:26" ht="13.5">
      <c r="A80" s="408" t="s">
        <v>8</v>
      </c>
      <c r="B80" s="550">
        <f t="shared" si="4"/>
        <v>0</v>
      </c>
      <c r="C80" s="500">
        <f t="shared" si="5"/>
        <v>0</v>
      </c>
      <c r="D80" s="500">
        <f t="shared" si="23"/>
        <v>0</v>
      </c>
      <c r="E80" s="551">
        <f t="shared" si="22"/>
        <v>0</v>
      </c>
      <c r="F80" s="550">
        <f t="shared" si="6"/>
        <v>52.8922</v>
      </c>
      <c r="G80" s="552">
        <f t="shared" si="14"/>
        <v>0</v>
      </c>
      <c r="H80" s="550">
        <f t="shared" si="7"/>
        <v>33.18</v>
      </c>
      <c r="I80" s="552">
        <f t="shared" si="15"/>
        <v>0</v>
      </c>
      <c r="J80" s="550">
        <f t="shared" si="8"/>
        <v>4.058210000000001</v>
      </c>
      <c r="K80" s="500">
        <f t="shared" si="9"/>
        <v>217.08162</v>
      </c>
      <c r="L80" s="500">
        <f t="shared" si="10"/>
        <v>28.408379999999998</v>
      </c>
      <c r="M80" s="500">
        <f t="shared" si="16"/>
        <v>249.54820999999998</v>
      </c>
      <c r="N80" s="551">
        <f t="shared" si="17"/>
        <v>23704.900435302785</v>
      </c>
      <c r="O80" s="550">
        <f t="shared" si="18"/>
        <v>0</v>
      </c>
      <c r="P80" s="500">
        <f t="shared" si="19"/>
        <v>0</v>
      </c>
      <c r="Q80" s="500">
        <f t="shared" si="11"/>
        <v>0</v>
      </c>
      <c r="R80" s="553">
        <f t="shared" si="20"/>
        <v>0</v>
      </c>
      <c r="S80" s="550">
        <f t="shared" si="12"/>
        <v>0</v>
      </c>
      <c r="T80" s="500">
        <f t="shared" si="13"/>
        <v>17.360000000000003</v>
      </c>
      <c r="U80" s="500">
        <f t="shared" si="24"/>
        <v>17.360000000000003</v>
      </c>
      <c r="V80" s="552">
        <f t="shared" si="21"/>
        <v>0</v>
      </c>
      <c r="W80" s="255"/>
      <c r="X80" s="255"/>
      <c r="Y80" s="255"/>
      <c r="Z80" s="255"/>
    </row>
    <row r="81" spans="1:26" ht="13.5">
      <c r="A81" s="408" t="s">
        <v>18</v>
      </c>
      <c r="B81" s="550">
        <f t="shared" si="4"/>
        <v>0</v>
      </c>
      <c r="C81" s="500">
        <f t="shared" si="5"/>
        <v>0</v>
      </c>
      <c r="D81" s="500">
        <f t="shared" si="23"/>
        <v>0</v>
      </c>
      <c r="E81" s="551">
        <f t="shared" si="22"/>
        <v>0</v>
      </c>
      <c r="F81" s="550">
        <f t="shared" si="6"/>
        <v>2.1552</v>
      </c>
      <c r="G81" s="552">
        <f t="shared" si="14"/>
        <v>0</v>
      </c>
      <c r="H81" s="550">
        <f t="shared" si="7"/>
        <v>1.2324</v>
      </c>
      <c r="I81" s="552">
        <f t="shared" si="15"/>
        <v>0</v>
      </c>
      <c r="J81" s="550">
        <f t="shared" si="8"/>
        <v>0.16536</v>
      </c>
      <c r="K81" s="500">
        <f t="shared" si="9"/>
        <v>8.607059999999999</v>
      </c>
      <c r="L81" s="500">
        <f t="shared" si="10"/>
        <v>1.12875</v>
      </c>
      <c r="M81" s="500">
        <f t="shared" si="16"/>
        <v>9.901169999999999</v>
      </c>
      <c r="N81" s="551">
        <f t="shared" si="17"/>
        <v>940.5246747432365</v>
      </c>
      <c r="O81" s="550">
        <f t="shared" si="18"/>
        <v>0</v>
      </c>
      <c r="P81" s="500">
        <f t="shared" si="19"/>
        <v>0</v>
      </c>
      <c r="Q81" s="500">
        <f t="shared" si="11"/>
        <v>0</v>
      </c>
      <c r="R81" s="553">
        <f t="shared" si="20"/>
        <v>0</v>
      </c>
      <c r="S81" s="550">
        <f t="shared" si="12"/>
        <v>0</v>
      </c>
      <c r="T81" s="500">
        <f t="shared" si="13"/>
        <v>0.6447999999999999</v>
      </c>
      <c r="U81" s="500">
        <f t="shared" si="24"/>
        <v>0.6447999999999999</v>
      </c>
      <c r="V81" s="552">
        <f t="shared" si="21"/>
        <v>0</v>
      </c>
      <c r="W81" s="255"/>
      <c r="X81" s="255"/>
      <c r="Y81" s="255"/>
      <c r="Z81" s="255"/>
    </row>
    <row r="82" spans="1:26" ht="13.5">
      <c r="A82" s="408" t="s">
        <v>146</v>
      </c>
      <c r="B82" s="550">
        <f t="shared" si="4"/>
        <v>0</v>
      </c>
      <c r="C82" s="500">
        <f t="shared" si="5"/>
        <v>0</v>
      </c>
      <c r="D82" s="500">
        <f>B82+C82</f>
        <v>0</v>
      </c>
      <c r="E82" s="551">
        <f>D82*$E$60</f>
        <v>0</v>
      </c>
      <c r="F82" s="550">
        <f t="shared" si="6"/>
        <v>4.939</v>
      </c>
      <c r="G82" s="552">
        <f>F82*$G$60</f>
        <v>0</v>
      </c>
      <c r="H82" s="550">
        <f t="shared" si="7"/>
        <v>1.1613</v>
      </c>
      <c r="I82" s="552">
        <f>H82*$I$60</f>
        <v>0</v>
      </c>
      <c r="J82" s="550">
        <f t="shared" si="8"/>
        <v>0.37895</v>
      </c>
      <c r="K82" s="500">
        <f t="shared" si="9"/>
        <v>30.788099999999996</v>
      </c>
      <c r="L82" s="500">
        <f t="shared" si="10"/>
        <v>0</v>
      </c>
      <c r="M82" s="500">
        <f>J82+K82+L82</f>
        <v>31.167049999999996</v>
      </c>
      <c r="N82" s="551">
        <f>M82*$N$60</f>
        <v>2960.5975419022384</v>
      </c>
      <c r="O82" s="550">
        <f t="shared" si="18"/>
        <v>0</v>
      </c>
      <c r="P82" s="500">
        <f t="shared" si="19"/>
        <v>0</v>
      </c>
      <c r="Q82" s="500">
        <f>O82+P82</f>
        <v>0</v>
      </c>
      <c r="R82" s="553">
        <f>Q82*$R$60</f>
        <v>0</v>
      </c>
      <c r="S82" s="550">
        <f t="shared" si="12"/>
        <v>0</v>
      </c>
      <c r="T82" s="500">
        <f t="shared" si="13"/>
        <v>0.6076</v>
      </c>
      <c r="U82" s="500">
        <f>S82+T82</f>
        <v>0.6076</v>
      </c>
      <c r="V82" s="552">
        <f t="shared" si="21"/>
        <v>0</v>
      </c>
      <c r="W82" s="255"/>
      <c r="X82" s="255"/>
      <c r="Y82" s="255"/>
      <c r="Z82" s="255"/>
    </row>
    <row r="83" spans="1:26" ht="13.5">
      <c r="A83" s="408" t="s">
        <v>147</v>
      </c>
      <c r="B83" s="550">
        <f t="shared" si="4"/>
        <v>0</v>
      </c>
      <c r="C83" s="500">
        <f t="shared" si="5"/>
        <v>0</v>
      </c>
      <c r="D83" s="500">
        <f t="shared" si="23"/>
        <v>0</v>
      </c>
      <c r="E83" s="551">
        <f t="shared" si="22"/>
        <v>0</v>
      </c>
      <c r="F83" s="550">
        <f t="shared" si="6"/>
        <v>3.6818000000000004</v>
      </c>
      <c r="G83" s="552">
        <f t="shared" si="14"/>
        <v>0</v>
      </c>
      <c r="H83" s="550">
        <f t="shared" si="7"/>
        <v>2.2278000000000002</v>
      </c>
      <c r="I83" s="552">
        <f t="shared" si="15"/>
        <v>0</v>
      </c>
      <c r="J83" s="550">
        <f t="shared" si="8"/>
        <v>0.2824900000000001</v>
      </c>
      <c r="K83" s="500">
        <f t="shared" si="9"/>
        <v>0.20411999999999997</v>
      </c>
      <c r="L83" s="500">
        <f t="shared" si="10"/>
        <v>1.06554</v>
      </c>
      <c r="M83" s="500">
        <f t="shared" si="16"/>
        <v>1.55215</v>
      </c>
      <c r="N83" s="551">
        <f t="shared" si="17"/>
        <v>147.44069376676842</v>
      </c>
      <c r="O83" s="550">
        <f t="shared" si="18"/>
        <v>0</v>
      </c>
      <c r="P83" s="500">
        <f t="shared" si="19"/>
        <v>0</v>
      </c>
      <c r="Q83" s="500">
        <f t="shared" si="11"/>
        <v>0</v>
      </c>
      <c r="R83" s="553">
        <f t="shared" si="20"/>
        <v>0</v>
      </c>
      <c r="S83" s="550">
        <f t="shared" si="12"/>
        <v>0</v>
      </c>
      <c r="T83" s="500">
        <f t="shared" si="13"/>
        <v>1.1656</v>
      </c>
      <c r="U83" s="500">
        <f t="shared" si="24"/>
        <v>1.1656</v>
      </c>
      <c r="V83" s="552">
        <f t="shared" si="21"/>
        <v>0</v>
      </c>
      <c r="W83" s="255"/>
      <c r="X83" s="255"/>
      <c r="Y83" s="255"/>
      <c r="Z83" s="255"/>
    </row>
    <row r="84" spans="1:26" ht="13.5">
      <c r="A84" s="408" t="s">
        <v>127</v>
      </c>
      <c r="B84" s="550">
        <f t="shared" si="4"/>
        <v>0</v>
      </c>
      <c r="C84" s="500">
        <f t="shared" si="5"/>
        <v>0</v>
      </c>
      <c r="D84" s="500">
        <f t="shared" si="23"/>
        <v>0</v>
      </c>
      <c r="E84" s="551">
        <f t="shared" si="22"/>
        <v>0</v>
      </c>
      <c r="F84" s="550">
        <f t="shared" si="6"/>
        <v>1.796</v>
      </c>
      <c r="G84" s="552">
        <f t="shared" si="14"/>
        <v>0</v>
      </c>
      <c r="H84" s="550">
        <f t="shared" si="7"/>
        <v>0.6872999999999999</v>
      </c>
      <c r="I84" s="552">
        <f t="shared" si="15"/>
        <v>0</v>
      </c>
      <c r="J84" s="550">
        <f t="shared" si="8"/>
        <v>0.1378</v>
      </c>
      <c r="K84" s="500">
        <f t="shared" si="9"/>
        <v>6.531839999999999</v>
      </c>
      <c r="L84" s="500">
        <f t="shared" si="10"/>
        <v>0.7675500000000001</v>
      </c>
      <c r="M84" s="500">
        <f t="shared" si="16"/>
        <v>7.437189999999999</v>
      </c>
      <c r="N84" s="551">
        <f t="shared" si="17"/>
        <v>706.468094755837</v>
      </c>
      <c r="O84" s="550">
        <f t="shared" si="18"/>
        <v>0</v>
      </c>
      <c r="P84" s="500">
        <f t="shared" si="19"/>
        <v>0</v>
      </c>
      <c r="Q84" s="500">
        <f t="shared" si="11"/>
        <v>0</v>
      </c>
      <c r="R84" s="553">
        <f t="shared" si="20"/>
        <v>0</v>
      </c>
      <c r="S84" s="550">
        <f t="shared" si="12"/>
        <v>0</v>
      </c>
      <c r="T84" s="500">
        <f t="shared" si="13"/>
        <v>0.3596</v>
      </c>
      <c r="U84" s="500">
        <f t="shared" si="24"/>
        <v>0.3596</v>
      </c>
      <c r="V84" s="552">
        <f t="shared" si="21"/>
        <v>0</v>
      </c>
      <c r="W84" s="255"/>
      <c r="X84" s="255"/>
      <c r="Y84" s="255"/>
      <c r="Z84" s="255"/>
    </row>
    <row r="85" spans="1:26" ht="14.25" thickBot="1">
      <c r="A85" s="408" t="s">
        <v>128</v>
      </c>
      <c r="B85" s="550">
        <f t="shared" si="4"/>
        <v>0</v>
      </c>
      <c r="C85" s="500">
        <f t="shared" si="5"/>
        <v>0</v>
      </c>
      <c r="D85" s="500">
        <f>B85+C85</f>
        <v>0</v>
      </c>
      <c r="E85" s="551">
        <f>D85*$E$60</f>
        <v>0</v>
      </c>
      <c r="F85" s="550">
        <f t="shared" si="6"/>
        <v>1.796</v>
      </c>
      <c r="G85" s="552">
        <f t="shared" si="14"/>
        <v>0</v>
      </c>
      <c r="H85" s="550">
        <f t="shared" si="7"/>
        <v>0</v>
      </c>
      <c r="I85" s="552">
        <f t="shared" si="15"/>
        <v>0</v>
      </c>
      <c r="J85" s="550">
        <f t="shared" si="8"/>
        <v>0.1378</v>
      </c>
      <c r="K85" s="500">
        <f t="shared" si="9"/>
        <v>49.6692</v>
      </c>
      <c r="L85" s="500">
        <f t="shared" si="10"/>
        <v>0.7133700000000001</v>
      </c>
      <c r="M85" s="500">
        <f t="shared" si="16"/>
        <v>50.52036999999999</v>
      </c>
      <c r="N85" s="551">
        <f t="shared" si="17"/>
        <v>4798.9939130585535</v>
      </c>
      <c r="O85" s="550">
        <f t="shared" si="18"/>
        <v>0</v>
      </c>
      <c r="P85" s="500">
        <f t="shared" si="19"/>
        <v>0</v>
      </c>
      <c r="Q85" s="500">
        <f>O85+P85</f>
        <v>0</v>
      </c>
      <c r="R85" s="553">
        <f t="shared" si="20"/>
        <v>0</v>
      </c>
      <c r="S85" s="550">
        <f t="shared" si="12"/>
        <v>0</v>
      </c>
      <c r="T85" s="500">
        <f t="shared" si="13"/>
        <v>0</v>
      </c>
      <c r="U85" s="500">
        <f>S85+T85</f>
        <v>0</v>
      </c>
      <c r="V85" s="552">
        <f>U85*$V$60</f>
        <v>0</v>
      </c>
      <c r="W85" s="255"/>
      <c r="X85" s="255"/>
      <c r="Y85" s="255"/>
      <c r="Z85" s="255"/>
    </row>
    <row r="86" spans="1:26" ht="14.25" thickBot="1">
      <c r="A86" s="554" t="s">
        <v>54</v>
      </c>
      <c r="B86" s="555">
        <f>SUM(B62:B85)</f>
        <v>0</v>
      </c>
      <c r="C86" s="556">
        <f aca="true" t="shared" si="25" ref="C86:T86">SUM(C62:C85)</f>
        <v>0</v>
      </c>
      <c r="D86" s="556">
        <f t="shared" si="25"/>
        <v>0</v>
      </c>
      <c r="E86" s="557">
        <f t="shared" si="25"/>
        <v>0</v>
      </c>
      <c r="F86" s="555">
        <f t="shared" si="25"/>
        <v>897.9999999999999</v>
      </c>
      <c r="G86" s="557">
        <f t="shared" si="25"/>
        <v>0</v>
      </c>
      <c r="H86" s="555">
        <f t="shared" si="25"/>
        <v>237.00000000000003</v>
      </c>
      <c r="I86" s="557">
        <f t="shared" si="25"/>
        <v>0</v>
      </c>
      <c r="J86" s="555">
        <f t="shared" si="25"/>
        <v>68.9</v>
      </c>
      <c r="K86" s="556">
        <f t="shared" si="25"/>
        <v>340.19999999999993</v>
      </c>
      <c r="L86" s="556">
        <f t="shared" si="25"/>
        <v>90.3</v>
      </c>
      <c r="M86" s="556">
        <f t="shared" si="25"/>
        <v>499.3999999999999</v>
      </c>
      <c r="N86" s="557">
        <f t="shared" si="25"/>
        <v>47438.638319185746</v>
      </c>
      <c r="O86" s="555">
        <f t="shared" si="25"/>
        <v>0</v>
      </c>
      <c r="P86" s="556">
        <f t="shared" si="25"/>
        <v>0</v>
      </c>
      <c r="Q86" s="556">
        <f t="shared" si="25"/>
        <v>0</v>
      </c>
      <c r="R86" s="558">
        <f t="shared" si="25"/>
        <v>0</v>
      </c>
      <c r="S86" s="555">
        <f>SUM(S62:S85)</f>
        <v>182.00000000000003</v>
      </c>
      <c r="T86" s="556">
        <f t="shared" si="25"/>
        <v>124.00000000000001</v>
      </c>
      <c r="U86" s="556">
        <f>SUM(U62:U85)</f>
        <v>305.99999999999994</v>
      </c>
      <c r="V86" s="557">
        <f>SUM(V62:V85)</f>
        <v>0</v>
      </c>
      <c r="W86" s="255"/>
      <c r="X86" s="255"/>
      <c r="Y86" s="255"/>
      <c r="Z86" s="255"/>
    </row>
    <row r="87" spans="1:26" ht="13.5">
      <c r="A87" s="559" t="s">
        <v>82</v>
      </c>
      <c r="B87" s="342"/>
      <c r="C87" s="342"/>
      <c r="D87" s="342"/>
      <c r="E87" s="335"/>
      <c r="F87" s="342"/>
      <c r="G87" s="335"/>
      <c r="H87" s="255"/>
      <c r="I87" s="255"/>
      <c r="J87" s="255"/>
      <c r="K87" s="255"/>
      <c r="L87" s="255"/>
      <c r="M87" s="255"/>
      <c r="N87" s="255"/>
      <c r="O87" s="255"/>
      <c r="P87" s="255"/>
      <c r="Q87" s="255"/>
      <c r="R87" s="255"/>
      <c r="S87" s="255"/>
      <c r="T87" s="255"/>
      <c r="U87" s="255"/>
      <c r="V87" s="255"/>
      <c r="W87" s="255"/>
      <c r="X87" s="255"/>
      <c r="Y87" s="255"/>
      <c r="Z87" s="255"/>
    </row>
    <row r="88" spans="1:26" ht="13.5">
      <c r="A88" s="495" t="s">
        <v>346</v>
      </c>
      <c r="B88" s="522"/>
      <c r="C88" s="522"/>
      <c r="D88" s="340"/>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ht="13.5">
      <c r="A89" s="495" t="s">
        <v>347</v>
      </c>
      <c r="B89" s="522"/>
      <c r="C89" s="522"/>
      <c r="D89" s="340"/>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ht="14.25" thickBot="1">
      <c r="A90" s="255"/>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ht="15.75" thickBot="1">
      <c r="A91" s="560" t="s">
        <v>74</v>
      </c>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ht="96">
      <c r="A92" s="561" t="s">
        <v>3</v>
      </c>
      <c r="B92" s="570" t="s">
        <v>91</v>
      </c>
      <c r="C92" s="562" t="s">
        <v>141</v>
      </c>
      <c r="D92" s="563"/>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ht="13.5">
      <c r="A93" s="408" t="s">
        <v>29</v>
      </c>
      <c r="B93" s="355">
        <f>C23*E60</f>
        <v>0</v>
      </c>
      <c r="C93" s="551">
        <f>(C12+C18)*E60</f>
        <v>0</v>
      </c>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ht="13.5">
      <c r="A94" s="408" t="s">
        <v>39</v>
      </c>
      <c r="B94" s="355">
        <f>D23*G60</f>
        <v>0</v>
      </c>
      <c r="C94" s="551">
        <f>(D12+D18)*G60</f>
        <v>0</v>
      </c>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ht="13.5">
      <c r="A95" s="408" t="s">
        <v>5</v>
      </c>
      <c r="B95" s="355">
        <f>E23*I60</f>
        <v>0</v>
      </c>
      <c r="C95" s="551">
        <f>(E12+E18)*I60</f>
        <v>0</v>
      </c>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ht="13.5">
      <c r="A96" s="564" t="s">
        <v>8</v>
      </c>
      <c r="B96" s="355">
        <f>F23*N60</f>
        <v>0</v>
      </c>
      <c r="C96" s="551">
        <f>(F12+F18)*N60</f>
        <v>47438.638319185746</v>
      </c>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3.5">
      <c r="A97" s="564" t="s">
        <v>40</v>
      </c>
      <c r="B97" s="355">
        <f>G23*R60</f>
        <v>0</v>
      </c>
      <c r="C97" s="551">
        <f>(H12+H18)*R60</f>
        <v>0</v>
      </c>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3.5">
      <c r="A98" s="564" t="s">
        <v>41</v>
      </c>
      <c r="B98" s="565">
        <f>J23*X60</f>
        <v>0</v>
      </c>
      <c r="C98" s="551">
        <f>(J12+J18)*X60</f>
        <v>0</v>
      </c>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ht="13.5">
      <c r="A99" s="564" t="s">
        <v>15</v>
      </c>
      <c r="B99" s="565">
        <f>K23*Z60</f>
        <v>0</v>
      </c>
      <c r="C99" s="551">
        <f>(K12+K18)*Z60</f>
        <v>0</v>
      </c>
      <c r="D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ht="13.5">
      <c r="A100" s="564" t="s">
        <v>11</v>
      </c>
      <c r="B100" s="565">
        <f>L23*V60</f>
        <v>0</v>
      </c>
      <c r="C100" s="566">
        <f>(L12+L18)*V60</f>
        <v>0</v>
      </c>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ht="14.25" thickBot="1">
      <c r="A101" s="567" t="s">
        <v>54</v>
      </c>
      <c r="B101" s="568">
        <f>SUM(B93:B100)</f>
        <v>0</v>
      </c>
      <c r="C101" s="569">
        <f>SUM(C93:C100)</f>
        <v>47438.638319185746</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sheetData>
  <sheetProtection/>
  <mergeCells count="18">
    <mergeCell ref="A3:A4"/>
    <mergeCell ref="A26:K26"/>
    <mergeCell ref="A58:A60"/>
    <mergeCell ref="B59:E59"/>
    <mergeCell ref="F59:G59"/>
    <mergeCell ref="H59:I59"/>
    <mergeCell ref="J59:N59"/>
    <mergeCell ref="A56:G56"/>
    <mergeCell ref="A27:K27"/>
    <mergeCell ref="W61:Z61"/>
    <mergeCell ref="O59:R59"/>
    <mergeCell ref="S59:V59"/>
    <mergeCell ref="W59:X59"/>
    <mergeCell ref="Y59:Z59"/>
    <mergeCell ref="B60:D60"/>
    <mergeCell ref="J60:M60"/>
    <mergeCell ref="O60:Q60"/>
    <mergeCell ref="S60:U60"/>
  </mergeCells>
  <printOptions/>
  <pageMargins left="0.7" right="0.7" top="0.75" bottom="0.75" header="0.3" footer="0.3"/>
  <pageSetup fitToHeight="1" fitToWidth="1" horizontalDpi="600" verticalDpi="600" orientation="landscape" paperSize="17" scale="42" r:id="rId1"/>
</worksheet>
</file>

<file path=xl/worksheets/sheet2.xml><?xml version="1.0" encoding="utf-8"?>
<worksheet xmlns="http://schemas.openxmlformats.org/spreadsheetml/2006/main" xmlns:r="http://schemas.openxmlformats.org/officeDocument/2006/relationships">
  <sheetPr>
    <pageSetUpPr fitToPage="1"/>
  </sheetPr>
  <dimension ref="A1:T99"/>
  <sheetViews>
    <sheetView zoomScalePageLayoutView="0" workbookViewId="0" topLeftCell="A1">
      <pane xSplit="1" topLeftCell="B1" activePane="topRight" state="frozen"/>
      <selection pane="topLeft" activeCell="A1" sqref="A1"/>
      <selection pane="topRight" activeCell="A1" sqref="A1:G1"/>
    </sheetView>
  </sheetViews>
  <sheetFormatPr defaultColWidth="9.140625" defaultRowHeight="12.75"/>
  <cols>
    <col min="1" max="1" width="16.7109375" style="0" customWidth="1"/>
    <col min="2" max="7" width="15.7109375" style="0" customWidth="1"/>
    <col min="8" max="8" width="16.7109375" style="0" customWidth="1"/>
    <col min="9" max="9" width="15.7109375" style="0" customWidth="1"/>
    <col min="10" max="10" width="16.7109375" style="0" customWidth="1"/>
    <col min="11" max="20" width="15.7109375" style="0" customWidth="1"/>
  </cols>
  <sheetData>
    <row r="1" spans="1:14" ht="15" customHeight="1">
      <c r="A1" s="622" t="s">
        <v>380</v>
      </c>
      <c r="B1" s="622"/>
      <c r="C1" s="622"/>
      <c r="D1" s="622"/>
      <c r="E1" s="622"/>
      <c r="F1" s="622"/>
      <c r="G1" s="622"/>
      <c r="H1" s="273"/>
      <c r="I1" s="273"/>
      <c r="J1" s="273"/>
      <c r="K1" s="273"/>
      <c r="L1" s="273"/>
      <c r="M1" s="273"/>
      <c r="N1" s="255"/>
    </row>
    <row r="2" spans="1:14" s="20" customFormat="1" ht="15" customHeight="1">
      <c r="A2" s="255"/>
      <c r="B2" s="255"/>
      <c r="C2" s="255"/>
      <c r="D2" s="255"/>
      <c r="E2" s="255"/>
      <c r="F2" s="255"/>
      <c r="G2" s="255"/>
      <c r="H2" s="255"/>
      <c r="I2" s="255"/>
      <c r="J2" s="255"/>
      <c r="K2" s="255"/>
      <c r="L2" s="255"/>
      <c r="M2" s="255"/>
      <c r="N2" s="255"/>
    </row>
    <row r="3" spans="1:14" ht="15" customHeight="1">
      <c r="A3" s="274" t="s">
        <v>66</v>
      </c>
      <c r="B3" s="257"/>
      <c r="C3" s="257"/>
      <c r="D3" s="257"/>
      <c r="E3" s="257"/>
      <c r="F3" s="275"/>
      <c r="G3" s="275"/>
      <c r="H3" s="275"/>
      <c r="I3" s="275"/>
      <c r="J3" s="275"/>
      <c r="K3" s="275"/>
      <c r="L3" s="275"/>
      <c r="M3" s="275"/>
      <c r="N3" s="255"/>
    </row>
    <row r="4" spans="1:14" ht="15" customHeight="1">
      <c r="A4" s="274"/>
      <c r="B4" s="629" t="s">
        <v>149</v>
      </c>
      <c r="C4" s="629"/>
      <c r="D4" s="629"/>
      <c r="E4" s="630" t="s">
        <v>295</v>
      </c>
      <c r="F4" s="630"/>
      <c r="G4" s="630"/>
      <c r="H4" s="619" t="s">
        <v>359</v>
      </c>
      <c r="I4" s="619"/>
      <c r="J4" s="619"/>
      <c r="K4" s="255"/>
      <c r="L4" s="255"/>
      <c r="M4" s="255"/>
      <c r="N4" s="255"/>
    </row>
    <row r="5" spans="1:14" ht="15" customHeight="1">
      <c r="A5" s="274"/>
      <c r="B5" s="629" t="s">
        <v>296</v>
      </c>
      <c r="C5" s="629"/>
      <c r="D5" s="629"/>
      <c r="E5" s="630" t="s">
        <v>296</v>
      </c>
      <c r="F5" s="630"/>
      <c r="G5" s="630"/>
      <c r="H5" s="619" t="s">
        <v>296</v>
      </c>
      <c r="I5" s="619"/>
      <c r="J5" s="619"/>
      <c r="K5" s="255"/>
      <c r="L5" s="255"/>
      <c r="M5" s="255"/>
      <c r="N5" s="255"/>
    </row>
    <row r="6" spans="1:14" ht="39.75" customHeight="1">
      <c r="A6" s="276" t="s">
        <v>3</v>
      </c>
      <c r="B6" s="260" t="s">
        <v>299</v>
      </c>
      <c r="C6" s="260" t="s">
        <v>298</v>
      </c>
      <c r="D6" s="260" t="s">
        <v>297</v>
      </c>
      <c r="E6" s="261" t="s">
        <v>299</v>
      </c>
      <c r="F6" s="261" t="s">
        <v>298</v>
      </c>
      <c r="G6" s="261" t="s">
        <v>297</v>
      </c>
      <c r="H6" s="579" t="s">
        <v>299</v>
      </c>
      <c r="I6" s="579" t="s">
        <v>298</v>
      </c>
      <c r="J6" s="579" t="s">
        <v>297</v>
      </c>
      <c r="K6" s="276" t="s">
        <v>3</v>
      </c>
      <c r="L6" s="255"/>
      <c r="M6" s="255"/>
      <c r="N6" s="255"/>
    </row>
    <row r="7" spans="1:14" ht="15" customHeight="1">
      <c r="A7" s="277" t="s">
        <v>6</v>
      </c>
      <c r="B7" s="278">
        <f>'BRA Resource Clearing Results'!D5</f>
        <v>120</v>
      </c>
      <c r="C7" s="278">
        <f>'BRA Resource Clearing Results'!F5</f>
        <v>120</v>
      </c>
      <c r="D7" s="278">
        <f>'BRA Resource Clearing Results'!H5</f>
        <v>106.02</v>
      </c>
      <c r="E7" s="279">
        <f>'1stIA Resource Clearing Results'!D5</f>
        <v>84</v>
      </c>
      <c r="F7" s="279">
        <f>'1stIA Resource Clearing Results'!F5</f>
        <v>84</v>
      </c>
      <c r="G7" s="279">
        <f>'1stIA Resource Clearing Results'!H5</f>
        <v>84</v>
      </c>
      <c r="H7" s="583">
        <f>'2ndIA Resource Clearing Results'!D5</f>
        <v>26.5</v>
      </c>
      <c r="I7" s="583">
        <f>'2ndIA Resource Clearing Results'!F5</f>
        <v>26.5</v>
      </c>
      <c r="J7" s="583">
        <f>'2ndIA Resource Clearing Results'!H5</f>
        <v>26.5</v>
      </c>
      <c r="K7" s="280" t="s">
        <v>6</v>
      </c>
      <c r="L7" s="282"/>
      <c r="M7" s="282"/>
      <c r="N7" s="255"/>
    </row>
    <row r="8" spans="1:14" ht="15" customHeight="1">
      <c r="A8" s="277" t="s">
        <v>29</v>
      </c>
      <c r="B8" s="278">
        <f>'BRA Resource Clearing Results'!D6</f>
        <v>120</v>
      </c>
      <c r="C8" s="278">
        <f>'BRA Resource Clearing Results'!F6</f>
        <v>120</v>
      </c>
      <c r="D8" s="278">
        <f>'BRA Resource Clearing Results'!H6</f>
        <v>106.02</v>
      </c>
      <c r="E8" s="279">
        <f>'1stIA Resource Clearing Results'!D6</f>
        <v>84</v>
      </c>
      <c r="F8" s="279">
        <f>'1stIA Resource Clearing Results'!F6</f>
        <v>84</v>
      </c>
      <c r="G8" s="279">
        <f>'1stIA Resource Clearing Results'!H6</f>
        <v>84</v>
      </c>
      <c r="H8" s="583">
        <f>'2ndIA Resource Clearing Results'!D6</f>
        <v>26.5</v>
      </c>
      <c r="I8" s="583">
        <f>'2ndIA Resource Clearing Results'!F6</f>
        <v>26.5</v>
      </c>
      <c r="J8" s="583">
        <f>'2ndIA Resource Clearing Results'!H6</f>
        <v>26.5</v>
      </c>
      <c r="K8" s="280" t="s">
        <v>29</v>
      </c>
      <c r="L8" s="255"/>
      <c r="M8" s="255"/>
      <c r="N8" s="255"/>
    </row>
    <row r="9" spans="1:14" ht="15" customHeight="1">
      <c r="A9" s="277" t="s">
        <v>39</v>
      </c>
      <c r="B9" s="278">
        <f>'BRA Resource Clearing Results'!D7</f>
        <v>120</v>
      </c>
      <c r="C9" s="278">
        <f>'BRA Resource Clearing Results'!F7</f>
        <v>120</v>
      </c>
      <c r="D9" s="278">
        <f>'BRA Resource Clearing Results'!H7</f>
        <v>106.02</v>
      </c>
      <c r="E9" s="279">
        <f>'1stIA Resource Clearing Results'!D7</f>
        <v>84</v>
      </c>
      <c r="F9" s="279">
        <f>'1stIA Resource Clearing Results'!F7</f>
        <v>84</v>
      </c>
      <c r="G9" s="279">
        <f>'1stIA Resource Clearing Results'!H7</f>
        <v>84</v>
      </c>
      <c r="H9" s="583">
        <f>'2ndIA Resource Clearing Results'!D7</f>
        <v>26.5</v>
      </c>
      <c r="I9" s="583">
        <f>'2ndIA Resource Clearing Results'!F7</f>
        <v>26.5</v>
      </c>
      <c r="J9" s="583">
        <f>'2ndIA Resource Clearing Results'!H7</f>
        <v>26.5</v>
      </c>
      <c r="K9" s="280" t="s">
        <v>39</v>
      </c>
      <c r="L9" s="255"/>
      <c r="M9" s="255"/>
      <c r="N9" s="255"/>
    </row>
    <row r="10" spans="1:14" ht="15" customHeight="1">
      <c r="A10" s="277" t="s">
        <v>5</v>
      </c>
      <c r="B10" s="278">
        <f>'BRA Resource Clearing Results'!D8</f>
        <v>120</v>
      </c>
      <c r="C10" s="278">
        <f>'BRA Resource Clearing Results'!F8</f>
        <v>120</v>
      </c>
      <c r="D10" s="278">
        <f>'BRA Resource Clearing Results'!H8</f>
        <v>106.02</v>
      </c>
      <c r="E10" s="279">
        <f>'1stIA Resource Clearing Results'!D8</f>
        <v>84</v>
      </c>
      <c r="F10" s="279">
        <f>'1stIA Resource Clearing Results'!F8</f>
        <v>84</v>
      </c>
      <c r="G10" s="279">
        <f>'1stIA Resource Clearing Results'!H8</f>
        <v>84</v>
      </c>
      <c r="H10" s="583">
        <f>'2ndIA Resource Clearing Results'!D8</f>
        <v>26.5</v>
      </c>
      <c r="I10" s="583">
        <f>'2ndIA Resource Clearing Results'!F8</f>
        <v>26.5</v>
      </c>
      <c r="J10" s="583">
        <f>'2ndIA Resource Clearing Results'!H8</f>
        <v>26.5</v>
      </c>
      <c r="K10" s="280" t="s">
        <v>5</v>
      </c>
      <c r="L10" s="255"/>
      <c r="M10" s="255"/>
      <c r="N10" s="255"/>
    </row>
    <row r="11" spans="1:14" ht="15" customHeight="1">
      <c r="A11" s="277" t="s">
        <v>8</v>
      </c>
      <c r="B11" s="278">
        <f>'BRA Resource Clearing Results'!D9</f>
        <v>215</v>
      </c>
      <c r="C11" s="278">
        <f>'BRA Resource Clearing Results'!F9</f>
        <v>215</v>
      </c>
      <c r="D11" s="278">
        <f>'BRA Resource Clearing Results'!H9</f>
        <v>201.02</v>
      </c>
      <c r="E11" s="279">
        <f>'1stIA Resource Clearing Results'!D9</f>
        <v>143.07999999999998</v>
      </c>
      <c r="F11" s="279">
        <f>'1stIA Resource Clearing Results'!F9</f>
        <v>143.07999999999998</v>
      </c>
      <c r="G11" s="279">
        <f>'1stIA Resource Clearing Results'!H9</f>
        <v>143.07999999999998</v>
      </c>
      <c r="H11" s="583">
        <f>'2ndIA Resource Clearing Results'!D9</f>
        <v>120.43</v>
      </c>
      <c r="I11" s="583">
        <f>'2ndIA Resource Clearing Results'!F9</f>
        <v>120.43</v>
      </c>
      <c r="J11" s="583">
        <f>'2ndIA Resource Clearing Results'!H9</f>
        <v>120.43</v>
      </c>
      <c r="K11" s="280" t="s">
        <v>8</v>
      </c>
      <c r="L11" s="255"/>
      <c r="M11" s="255"/>
      <c r="N11" s="255"/>
    </row>
    <row r="12" spans="1:14" ht="15" customHeight="1">
      <c r="A12" s="277" t="s">
        <v>40</v>
      </c>
      <c r="B12" s="278">
        <f>'BRA Resource Clearing Results'!D10</f>
        <v>215</v>
      </c>
      <c r="C12" s="278">
        <f>'BRA Resource Clearing Results'!F10</f>
        <v>215</v>
      </c>
      <c r="D12" s="278">
        <f>'BRA Resource Clearing Results'!H10</f>
        <v>201.02</v>
      </c>
      <c r="E12" s="279">
        <f>'1stIA Resource Clearing Results'!D10</f>
        <v>143.07999999999998</v>
      </c>
      <c r="F12" s="279">
        <f>'1stIA Resource Clearing Results'!F10</f>
        <v>143.07999999999998</v>
      </c>
      <c r="G12" s="279">
        <f>'1stIA Resource Clearing Results'!H10</f>
        <v>143.07999999999998</v>
      </c>
      <c r="H12" s="583">
        <f>'2ndIA Resource Clearing Results'!D10</f>
        <v>179</v>
      </c>
      <c r="I12" s="583">
        <f>'2ndIA Resource Clearing Results'!F10</f>
        <v>179</v>
      </c>
      <c r="J12" s="583">
        <f>'2ndIA Resource Clearing Results'!H10</f>
        <v>179</v>
      </c>
      <c r="K12" s="280" t="s">
        <v>40</v>
      </c>
      <c r="L12" s="255"/>
      <c r="M12" s="255"/>
      <c r="N12" s="255"/>
    </row>
    <row r="13" spans="1:14" ht="15" customHeight="1">
      <c r="A13" s="277" t="s">
        <v>41</v>
      </c>
      <c r="B13" s="278">
        <f>'BRA Resource Clearing Results'!D11</f>
        <v>120</v>
      </c>
      <c r="C13" s="278">
        <f>'BRA Resource Clearing Results'!F11</f>
        <v>120</v>
      </c>
      <c r="D13" s="278">
        <f>'BRA Resource Clearing Results'!H11</f>
        <v>106.02</v>
      </c>
      <c r="E13" s="279">
        <f>'1stIA Resource Clearing Results'!D11</f>
        <v>84</v>
      </c>
      <c r="F13" s="279">
        <f>'1stIA Resource Clearing Results'!F11</f>
        <v>84</v>
      </c>
      <c r="G13" s="279">
        <f>'1stIA Resource Clearing Results'!H11</f>
        <v>84</v>
      </c>
      <c r="H13" s="583">
        <f>'2ndIA Resource Clearing Results'!D11</f>
        <v>26.5</v>
      </c>
      <c r="I13" s="583">
        <f>'2ndIA Resource Clearing Results'!F11</f>
        <v>26.5</v>
      </c>
      <c r="J13" s="583">
        <f>'2ndIA Resource Clearing Results'!H11</f>
        <v>26.5</v>
      </c>
      <c r="K13" s="280" t="s">
        <v>41</v>
      </c>
      <c r="L13" s="255"/>
      <c r="M13" s="255"/>
      <c r="N13" s="255"/>
    </row>
    <row r="14" spans="1:14" ht="15" customHeight="1">
      <c r="A14" s="277" t="s">
        <v>15</v>
      </c>
      <c r="B14" s="278">
        <f>'BRA Resource Clearing Results'!D12</f>
        <v>120</v>
      </c>
      <c r="C14" s="278">
        <f>'BRA Resource Clearing Results'!F12</f>
        <v>120</v>
      </c>
      <c r="D14" s="278">
        <f>'BRA Resource Clearing Results'!H12</f>
        <v>106.02</v>
      </c>
      <c r="E14" s="279">
        <f>'1stIA Resource Clearing Results'!D12</f>
        <v>84</v>
      </c>
      <c r="F14" s="279">
        <f>'1stIA Resource Clearing Results'!F12</f>
        <v>84</v>
      </c>
      <c r="G14" s="279">
        <f>'1stIA Resource Clearing Results'!H12</f>
        <v>84</v>
      </c>
      <c r="H14" s="583">
        <f>'2ndIA Resource Clearing Results'!D12</f>
        <v>26.5</v>
      </c>
      <c r="I14" s="583">
        <f>'2ndIA Resource Clearing Results'!F12</f>
        <v>26.5</v>
      </c>
      <c r="J14" s="583">
        <f>'2ndIA Resource Clearing Results'!H12</f>
        <v>26.5</v>
      </c>
      <c r="K14" s="280" t="s">
        <v>15</v>
      </c>
      <c r="L14" s="255"/>
      <c r="M14" s="255"/>
      <c r="N14" s="255"/>
    </row>
    <row r="15" spans="1:14" ht="15" customHeight="1">
      <c r="A15" s="277" t="s">
        <v>49</v>
      </c>
      <c r="B15" s="278">
        <f>'BRA Resource Clearing Results'!D13</f>
        <v>120</v>
      </c>
      <c r="C15" s="278">
        <f>'BRA Resource Clearing Results'!F13</f>
        <v>120</v>
      </c>
      <c r="D15" s="278">
        <f>'BRA Resource Clearing Results'!H13</f>
        <v>106.02</v>
      </c>
      <c r="E15" s="279">
        <f>'1stIA Resource Clearing Results'!D13</f>
        <v>84</v>
      </c>
      <c r="F15" s="279">
        <f>'1stIA Resource Clearing Results'!F13</f>
        <v>84</v>
      </c>
      <c r="G15" s="279">
        <f>'1stIA Resource Clearing Results'!H13</f>
        <v>84</v>
      </c>
      <c r="H15" s="583">
        <f>'2ndIA Resource Clearing Results'!D13</f>
        <v>26.5</v>
      </c>
      <c r="I15" s="583">
        <f>'2ndIA Resource Clearing Results'!F13</f>
        <v>26.5</v>
      </c>
      <c r="J15" s="583">
        <f>'2ndIA Resource Clearing Results'!H13</f>
        <v>26.5</v>
      </c>
      <c r="K15" s="280" t="s">
        <v>49</v>
      </c>
      <c r="L15" s="255"/>
      <c r="M15" s="255"/>
      <c r="N15" s="255"/>
    </row>
    <row r="16" spans="1:14" ht="15" customHeight="1">
      <c r="A16" s="277" t="s">
        <v>156</v>
      </c>
      <c r="B16" s="278">
        <f>'BRA Resource Clearing Results'!D14</f>
        <v>120</v>
      </c>
      <c r="C16" s="278">
        <f>'BRA Resource Clearing Results'!F14</f>
        <v>120</v>
      </c>
      <c r="D16" s="278">
        <f>'BRA Resource Clearing Results'!H14</f>
        <v>106.02</v>
      </c>
      <c r="E16" s="279">
        <f>'1stIA Resource Clearing Results'!D14</f>
        <v>84</v>
      </c>
      <c r="F16" s="279">
        <f>'1stIA Resource Clearing Results'!F14</f>
        <v>84</v>
      </c>
      <c r="G16" s="279">
        <f>'1stIA Resource Clearing Results'!H14</f>
        <v>84</v>
      </c>
      <c r="H16" s="583">
        <f>'2ndIA Resource Clearing Results'!D14</f>
        <v>26.5</v>
      </c>
      <c r="I16" s="583">
        <f>'2ndIA Resource Clearing Results'!F14</f>
        <v>26.5</v>
      </c>
      <c r="J16" s="583">
        <f>'2ndIA Resource Clearing Results'!H14</f>
        <v>26.5</v>
      </c>
      <c r="K16" s="280" t="s">
        <v>156</v>
      </c>
      <c r="L16" s="255"/>
      <c r="M16" s="255"/>
      <c r="N16" s="255"/>
    </row>
    <row r="17" spans="1:14" ht="15" customHeight="1">
      <c r="A17" s="277" t="s">
        <v>20</v>
      </c>
      <c r="B17" s="278">
        <f>'BRA Resource Clearing Results'!D15</f>
        <v>120</v>
      </c>
      <c r="C17" s="278">
        <f>'BRA Resource Clearing Results'!F15</f>
        <v>120</v>
      </c>
      <c r="D17" s="278">
        <f>'BRA Resource Clearing Results'!H15</f>
        <v>106.02</v>
      </c>
      <c r="E17" s="279">
        <f>'1stIA Resource Clearing Results'!D15</f>
        <v>84</v>
      </c>
      <c r="F17" s="279">
        <f>'1stIA Resource Clearing Results'!F15</f>
        <v>84</v>
      </c>
      <c r="G17" s="279">
        <f>'1stIA Resource Clearing Results'!H15</f>
        <v>84</v>
      </c>
      <c r="H17" s="583">
        <f>'2ndIA Resource Clearing Results'!D15</f>
        <v>26.5</v>
      </c>
      <c r="I17" s="583">
        <f>'2ndIA Resource Clearing Results'!F15</f>
        <v>26.5</v>
      </c>
      <c r="J17" s="583">
        <f>'2ndIA Resource Clearing Results'!H15</f>
        <v>26.5</v>
      </c>
      <c r="K17" s="280" t="s">
        <v>20</v>
      </c>
      <c r="L17" s="255"/>
      <c r="M17" s="255"/>
      <c r="N17" s="255"/>
    </row>
    <row r="18" spans="1:14" ht="15" customHeight="1">
      <c r="A18" s="277" t="s">
        <v>11</v>
      </c>
      <c r="B18" s="278">
        <f>'BRA Resource Clearing Results'!D16</f>
        <v>120</v>
      </c>
      <c r="C18" s="278">
        <f>'BRA Resource Clearing Results'!F16</f>
        <v>120</v>
      </c>
      <c r="D18" s="278">
        <f>'BRA Resource Clearing Results'!H16</f>
        <v>106.02</v>
      </c>
      <c r="E18" s="279">
        <f>'1stIA Resource Clearing Results'!D16</f>
        <v>84</v>
      </c>
      <c r="F18" s="279">
        <f>'1stIA Resource Clearing Results'!F16</f>
        <v>84</v>
      </c>
      <c r="G18" s="279">
        <f>'1stIA Resource Clearing Results'!H16</f>
        <v>84</v>
      </c>
      <c r="H18" s="583">
        <f>'2ndIA Resource Clearing Results'!D16</f>
        <v>26.5</v>
      </c>
      <c r="I18" s="583">
        <f>'2ndIA Resource Clearing Results'!F16</f>
        <v>26.5</v>
      </c>
      <c r="J18" s="583">
        <f>'2ndIA Resource Clearing Results'!H16</f>
        <v>26.5</v>
      </c>
      <c r="K18" s="280" t="s">
        <v>11</v>
      </c>
      <c r="L18" s="255"/>
      <c r="M18" s="255"/>
      <c r="N18" s="255"/>
    </row>
    <row r="19" spans="1:14" ht="15" customHeight="1">
      <c r="A19" s="277" t="s">
        <v>10</v>
      </c>
      <c r="B19" s="278">
        <f>'BRA Resource Clearing Results'!D17</f>
        <v>120</v>
      </c>
      <c r="C19" s="278">
        <f>'BRA Resource Clearing Results'!F17</f>
        <v>53.980000000000004</v>
      </c>
      <c r="D19" s="278">
        <f>'BRA Resource Clearing Results'!H17</f>
        <v>40</v>
      </c>
      <c r="E19" s="279">
        <f>'1stIA Resource Clearing Results'!D17</f>
        <v>84</v>
      </c>
      <c r="F19" s="279">
        <f>'1stIA Resource Clearing Results'!F17</f>
        <v>84</v>
      </c>
      <c r="G19" s="279">
        <f>'1stIA Resource Clearing Results'!H17</f>
        <v>84</v>
      </c>
      <c r="H19" s="583">
        <f>'2ndIA Resource Clearing Results'!D17</f>
        <v>26.5</v>
      </c>
      <c r="I19" s="583">
        <f>'2ndIA Resource Clearing Results'!F17</f>
        <v>26.5</v>
      </c>
      <c r="J19" s="583">
        <f>'2ndIA Resource Clearing Results'!H17</f>
        <v>26.5</v>
      </c>
      <c r="K19" s="280" t="s">
        <v>10</v>
      </c>
      <c r="L19" s="255"/>
      <c r="M19" s="255"/>
      <c r="N19" s="255"/>
    </row>
    <row r="20" spans="1:14" ht="15" customHeight="1">
      <c r="A20" s="277" t="s">
        <v>175</v>
      </c>
      <c r="B20" s="278">
        <f>'BRA Resource Clearing Results'!D18</f>
        <v>120</v>
      </c>
      <c r="C20" s="284" t="str">
        <f>'BRA Resource Clearing Results'!F18</f>
        <v>NA</v>
      </c>
      <c r="D20" s="285" t="str">
        <f>'BRA Resource Clearing Results'!H18</f>
        <v>NA</v>
      </c>
      <c r="E20" s="286" t="str">
        <f>'1stIA Resource Clearing Results'!D18</f>
        <v>NA</v>
      </c>
      <c r="F20" s="286" t="str">
        <f>'1stIA Resource Clearing Results'!F18</f>
        <v>NA</v>
      </c>
      <c r="G20" s="286" t="str">
        <f>'1stIA Resource Clearing Results'!H18</f>
        <v>NA</v>
      </c>
      <c r="H20" s="584" t="str">
        <f>'2ndIA Resource Clearing Results'!D18</f>
        <v>NA</v>
      </c>
      <c r="I20" s="584" t="str">
        <f>'2ndIA Resource Clearing Results'!F18</f>
        <v>NA</v>
      </c>
      <c r="J20" s="584" t="str">
        <f>'2ndIA Resource Clearing Results'!H18</f>
        <v>NA</v>
      </c>
      <c r="K20" s="280" t="s">
        <v>175</v>
      </c>
      <c r="L20" s="255"/>
      <c r="M20" s="255"/>
      <c r="N20" s="255"/>
    </row>
    <row r="21" spans="1:14" ht="15" customHeight="1">
      <c r="A21" s="277" t="s">
        <v>176</v>
      </c>
      <c r="B21" s="278">
        <f>'BRA Resource Clearing Results'!D19</f>
        <v>120</v>
      </c>
      <c r="C21" s="284" t="str">
        <f>'BRA Resource Clearing Results'!F19</f>
        <v>NA</v>
      </c>
      <c r="D21" s="285" t="str">
        <f>'BRA Resource Clearing Results'!H19</f>
        <v>NA</v>
      </c>
      <c r="E21" s="286" t="str">
        <f>'1stIA Resource Clearing Results'!D19</f>
        <v>NA</v>
      </c>
      <c r="F21" s="286" t="str">
        <f>'1stIA Resource Clearing Results'!F19</f>
        <v>NA</v>
      </c>
      <c r="G21" s="286" t="str">
        <f>'1stIA Resource Clearing Results'!H19</f>
        <v>NA</v>
      </c>
      <c r="H21" s="584" t="str">
        <f>'2ndIA Resource Clearing Results'!D19</f>
        <v>NA</v>
      </c>
      <c r="I21" s="584" t="str">
        <f>'2ndIA Resource Clearing Results'!F19</f>
        <v>NA</v>
      </c>
      <c r="J21" s="584" t="str">
        <f>'2ndIA Resource Clearing Results'!H19</f>
        <v>NA</v>
      </c>
      <c r="K21" s="280" t="s">
        <v>176</v>
      </c>
      <c r="L21" s="255"/>
      <c r="M21" s="255"/>
      <c r="N21" s="255"/>
    </row>
    <row r="22" spans="1:14" ht="15" customHeight="1">
      <c r="A22" s="277" t="s">
        <v>177</v>
      </c>
      <c r="B22" s="278">
        <f>'BRA Resource Clearing Results'!D20</f>
        <v>120</v>
      </c>
      <c r="C22" s="284" t="str">
        <f>'BRA Resource Clearing Results'!F20</f>
        <v>NA</v>
      </c>
      <c r="D22" s="285" t="str">
        <f>'BRA Resource Clearing Results'!H20</f>
        <v>NA</v>
      </c>
      <c r="E22" s="286" t="str">
        <f>'1stIA Resource Clearing Results'!D20</f>
        <v>NA</v>
      </c>
      <c r="F22" s="286" t="str">
        <f>'1stIA Resource Clearing Results'!F20</f>
        <v>NA</v>
      </c>
      <c r="G22" s="286" t="str">
        <f>'1stIA Resource Clearing Results'!H20</f>
        <v>NA</v>
      </c>
      <c r="H22" s="584" t="str">
        <f>'2ndIA Resource Clearing Results'!D20</f>
        <v>NA</v>
      </c>
      <c r="I22" s="584" t="str">
        <f>'2ndIA Resource Clearing Results'!F20</f>
        <v>NA</v>
      </c>
      <c r="J22" s="584" t="str">
        <f>'2ndIA Resource Clearing Results'!H20</f>
        <v>NA</v>
      </c>
      <c r="K22" s="280" t="s">
        <v>177</v>
      </c>
      <c r="L22" s="255"/>
      <c r="M22" s="255"/>
      <c r="N22" s="255"/>
    </row>
    <row r="23" spans="1:14" ht="15" customHeight="1">
      <c r="A23" s="277" t="s">
        <v>178</v>
      </c>
      <c r="B23" s="278">
        <f>'BRA Resource Clearing Results'!D21</f>
        <v>120</v>
      </c>
      <c r="C23" s="284" t="str">
        <f>'BRA Resource Clearing Results'!F21</f>
        <v>NA</v>
      </c>
      <c r="D23" s="285" t="str">
        <f>'BRA Resource Clearing Results'!H21</f>
        <v>NA</v>
      </c>
      <c r="E23" s="286" t="str">
        <f>'1stIA Resource Clearing Results'!D21</f>
        <v>NA</v>
      </c>
      <c r="F23" s="286" t="str">
        <f>'1stIA Resource Clearing Results'!F21</f>
        <v>NA</v>
      </c>
      <c r="G23" s="286" t="str">
        <f>'1stIA Resource Clearing Results'!H21</f>
        <v>NA</v>
      </c>
      <c r="H23" s="584">
        <f>'2ndIA Resource Clearing Results'!D21</f>
        <v>26.5</v>
      </c>
      <c r="I23" s="584" t="str">
        <f>'2ndIA Resource Clearing Results'!F21</f>
        <v>NA</v>
      </c>
      <c r="J23" s="584" t="str">
        <f>'2ndIA Resource Clearing Results'!H21</f>
        <v>NA</v>
      </c>
      <c r="K23" s="280" t="s">
        <v>178</v>
      </c>
      <c r="L23" s="255"/>
      <c r="M23" s="255"/>
      <c r="N23" s="255"/>
    </row>
    <row r="24" spans="1:14" ht="15" customHeight="1">
      <c r="A24" s="277" t="s">
        <v>179</v>
      </c>
      <c r="B24" s="278">
        <f>'BRA Resource Clearing Results'!D22</f>
        <v>120</v>
      </c>
      <c r="C24" s="284" t="str">
        <f>'BRA Resource Clearing Results'!F22</f>
        <v>NA</v>
      </c>
      <c r="D24" s="285" t="str">
        <f>'BRA Resource Clearing Results'!H22</f>
        <v>NA</v>
      </c>
      <c r="E24" s="286" t="str">
        <f>'1stIA Resource Clearing Results'!D22</f>
        <v>NA</v>
      </c>
      <c r="F24" s="286" t="str">
        <f>'1stIA Resource Clearing Results'!F22</f>
        <v>NA</v>
      </c>
      <c r="G24" s="286" t="str">
        <f>'1stIA Resource Clearing Results'!H22</f>
        <v>NA</v>
      </c>
      <c r="H24" s="584" t="str">
        <f>'2ndIA Resource Clearing Results'!D22</f>
        <v>NA</v>
      </c>
      <c r="I24" s="584" t="str">
        <f>'2ndIA Resource Clearing Results'!F22</f>
        <v>NA</v>
      </c>
      <c r="J24" s="584" t="str">
        <f>'2ndIA Resource Clearing Results'!H22</f>
        <v>NA</v>
      </c>
      <c r="K24" s="280" t="s">
        <v>179</v>
      </c>
      <c r="L24" s="255"/>
      <c r="M24" s="255"/>
      <c r="N24" s="255"/>
    </row>
    <row r="25" spans="1:14" ht="15" customHeight="1">
      <c r="A25" s="287" t="s">
        <v>24</v>
      </c>
      <c r="B25" s="287"/>
      <c r="C25" s="287"/>
      <c r="D25" s="288"/>
      <c r="E25" s="288"/>
      <c r="F25" s="288"/>
      <c r="G25" s="288"/>
      <c r="H25" s="288"/>
      <c r="I25" s="288"/>
      <c r="J25" s="288"/>
      <c r="K25" s="288"/>
      <c r="L25" s="288"/>
      <c r="M25" s="288"/>
      <c r="N25" s="255"/>
    </row>
    <row r="26" spans="1:14" ht="15" customHeight="1">
      <c r="A26" s="274" t="s">
        <v>300</v>
      </c>
      <c r="B26" s="275"/>
      <c r="C26" s="275"/>
      <c r="D26" s="275"/>
      <c r="E26" s="275"/>
      <c r="F26" s="255"/>
      <c r="G26" s="255"/>
      <c r="H26" s="255"/>
      <c r="I26" s="255"/>
      <c r="J26" s="288"/>
      <c r="K26" s="288"/>
      <c r="L26" s="288"/>
      <c r="M26" s="288"/>
      <c r="N26" s="255"/>
    </row>
    <row r="27" spans="1:14" s="2" customFormat="1" ht="15" customHeight="1">
      <c r="A27" s="289"/>
      <c r="B27" s="624" t="s">
        <v>149</v>
      </c>
      <c r="C27" s="624"/>
      <c r="D27" s="624"/>
      <c r="E27" s="624"/>
      <c r="F27" s="623" t="s">
        <v>295</v>
      </c>
      <c r="G27" s="623"/>
      <c r="H27" s="623"/>
      <c r="I27" s="623"/>
      <c r="J27" s="620" t="s">
        <v>359</v>
      </c>
      <c r="K27" s="620"/>
      <c r="L27" s="620"/>
      <c r="M27" s="620"/>
      <c r="N27" s="255"/>
    </row>
    <row r="28" spans="1:14" s="2" customFormat="1" ht="15" customHeight="1">
      <c r="A28" s="289"/>
      <c r="B28" s="624" t="s">
        <v>240</v>
      </c>
      <c r="C28" s="624"/>
      <c r="D28" s="624"/>
      <c r="E28" s="624"/>
      <c r="F28" s="623" t="s">
        <v>308</v>
      </c>
      <c r="G28" s="623"/>
      <c r="H28" s="623"/>
      <c r="I28" s="623"/>
      <c r="J28" s="620" t="s">
        <v>308</v>
      </c>
      <c r="K28" s="620"/>
      <c r="L28" s="620"/>
      <c r="M28" s="620"/>
      <c r="N28" s="255"/>
    </row>
    <row r="29" spans="1:14" s="2" customFormat="1" ht="39.75" customHeight="1">
      <c r="A29" s="290" t="s">
        <v>3</v>
      </c>
      <c r="B29" s="260" t="s">
        <v>299</v>
      </c>
      <c r="C29" s="260" t="s">
        <v>298</v>
      </c>
      <c r="D29" s="260" t="s">
        <v>297</v>
      </c>
      <c r="E29" s="260" t="s">
        <v>301</v>
      </c>
      <c r="F29" s="261" t="s">
        <v>299</v>
      </c>
      <c r="G29" s="261" t="s">
        <v>298</v>
      </c>
      <c r="H29" s="261" t="s">
        <v>297</v>
      </c>
      <c r="I29" s="261" t="s">
        <v>301</v>
      </c>
      <c r="J29" s="579" t="s">
        <v>376</v>
      </c>
      <c r="K29" s="579" t="s">
        <v>298</v>
      </c>
      <c r="L29" s="579" t="s">
        <v>297</v>
      </c>
      <c r="M29" s="579" t="s">
        <v>301</v>
      </c>
      <c r="N29" s="290" t="s">
        <v>3</v>
      </c>
    </row>
    <row r="30" spans="1:14" s="2" customFormat="1" ht="15" customHeight="1">
      <c r="A30" s="277" t="s">
        <v>6</v>
      </c>
      <c r="B30" s="291">
        <f>'BRA Resource Clearing Results'!B28</f>
        <v>157264.3</v>
      </c>
      <c r="C30" s="291">
        <f>'BRA Resource Clearing Results'!C28</f>
        <v>7163.3</v>
      </c>
      <c r="D30" s="291">
        <f>'BRA Resource Clearing Results'!D28</f>
        <v>2322.1</v>
      </c>
      <c r="E30" s="291">
        <f>'BRA Resource Clearing Results'!E28</f>
        <v>166749.69999999998</v>
      </c>
      <c r="F30" s="292">
        <f>'1stIA Resource Clearing Results'!J30</f>
        <v>2962.5</v>
      </c>
      <c r="G30" s="292">
        <f>'1stIA Resource Clearing Results'!K30</f>
        <v>747.4</v>
      </c>
      <c r="H30" s="292">
        <f>'1stIA Resource Clearing Results'!L30</f>
        <v>-130.60000000000002</v>
      </c>
      <c r="I30" s="292">
        <f>'1stIA Resource Clearing Results'!M30</f>
        <v>3579.3</v>
      </c>
      <c r="J30" s="585">
        <f>'2ndIA Resource Clearing Results'!J30</f>
        <v>2281.2999999999997</v>
      </c>
      <c r="K30" s="585">
        <f>'2ndIA Resource Clearing Results'!K30</f>
        <v>418.7</v>
      </c>
      <c r="L30" s="585">
        <f>'2ndIA Resource Clearing Results'!L30</f>
        <v>63.39999999999999</v>
      </c>
      <c r="M30" s="585">
        <f>'2ndIA Resource Clearing Results'!M30</f>
        <v>2763.3999999999996</v>
      </c>
      <c r="N30" s="280" t="s">
        <v>6</v>
      </c>
    </row>
    <row r="31" spans="1:14" s="2" customFormat="1" ht="15" customHeight="1">
      <c r="A31" s="277" t="s">
        <v>29</v>
      </c>
      <c r="B31" s="291">
        <f>'BRA Resource Clearing Results'!B29</f>
        <v>64900.6</v>
      </c>
      <c r="C31" s="291">
        <f>'BRA Resource Clearing Results'!C29</f>
        <v>2577.9000000000005</v>
      </c>
      <c r="D31" s="291">
        <f>'BRA Resource Clearing Results'!D29</f>
        <v>885.4000000000001</v>
      </c>
      <c r="E31" s="291">
        <f>'BRA Resource Clearing Results'!E29</f>
        <v>68363.9</v>
      </c>
      <c r="F31" s="292">
        <f>'1stIA Resource Clearing Results'!J31</f>
        <v>2047.8000000000002</v>
      </c>
      <c r="G31" s="292">
        <f>'1stIA Resource Clearing Results'!K31</f>
        <v>105.50000000000001</v>
      </c>
      <c r="H31" s="292">
        <f>'1stIA Resource Clearing Results'!L31</f>
        <v>-111.8</v>
      </c>
      <c r="I31" s="292">
        <f>'1stIA Resource Clearing Results'!M31</f>
        <v>2041.5000000000002</v>
      </c>
      <c r="J31" s="585">
        <f>'2ndIA Resource Clearing Results'!J31</f>
        <v>1562.9</v>
      </c>
      <c r="K31" s="585">
        <f>'2ndIA Resource Clearing Results'!K31</f>
        <v>25.000000000000004</v>
      </c>
      <c r="L31" s="585">
        <f>'2ndIA Resource Clearing Results'!L31</f>
        <v>112.7</v>
      </c>
      <c r="M31" s="585">
        <f>'2ndIA Resource Clearing Results'!M31</f>
        <v>1700.6000000000001</v>
      </c>
      <c r="N31" s="280" t="s">
        <v>29</v>
      </c>
    </row>
    <row r="32" spans="1:14" s="2" customFormat="1" ht="15" customHeight="1">
      <c r="A32" s="277" t="s">
        <v>39</v>
      </c>
      <c r="B32" s="291">
        <f>'BRA Resource Clearing Results'!B30</f>
        <v>30840.4</v>
      </c>
      <c r="C32" s="291">
        <f>'BRA Resource Clearing Results'!C30</f>
        <v>873.5000000000001</v>
      </c>
      <c r="D32" s="291">
        <f>'BRA Resource Clearing Results'!D30</f>
        <v>497</v>
      </c>
      <c r="E32" s="291">
        <f>'BRA Resource Clearing Results'!E30</f>
        <v>32210.9</v>
      </c>
      <c r="F32" s="292">
        <f>'1stIA Resource Clearing Results'!J32</f>
        <v>45.400000000000006</v>
      </c>
      <c r="G32" s="292">
        <f>'1stIA Resource Clearing Results'!K32</f>
        <v>68.2</v>
      </c>
      <c r="H32" s="292">
        <f>'1stIA Resource Clearing Results'!L32</f>
        <v>-1.5</v>
      </c>
      <c r="I32" s="292">
        <f>'1stIA Resource Clearing Results'!M32</f>
        <v>112.10000000000001</v>
      </c>
      <c r="J32" s="585">
        <f>'2ndIA Resource Clearing Results'!J32</f>
        <v>1211.9</v>
      </c>
      <c r="K32" s="585">
        <f>'2ndIA Resource Clearing Results'!K32</f>
        <v>8.1</v>
      </c>
      <c r="L32" s="585">
        <f>'2ndIA Resource Clearing Results'!L32</f>
        <v>35.199999999999996</v>
      </c>
      <c r="M32" s="585">
        <f>'2ndIA Resource Clearing Results'!M32</f>
        <v>1255.2</v>
      </c>
      <c r="N32" s="280" t="s">
        <v>39</v>
      </c>
    </row>
    <row r="33" spans="1:14" s="2" customFormat="1" ht="15" customHeight="1">
      <c r="A33" s="277" t="s">
        <v>5</v>
      </c>
      <c r="B33" s="291">
        <f>'BRA Resource Clearing Results'!B31</f>
        <v>10374</v>
      </c>
      <c r="C33" s="291">
        <f>'BRA Resource Clearing Results'!C31</f>
        <v>1164.2</v>
      </c>
      <c r="D33" s="291">
        <f>'BRA Resource Clearing Results'!D31</f>
        <v>155.2</v>
      </c>
      <c r="E33" s="291">
        <f>'BRA Resource Clearing Results'!E31</f>
        <v>11693.400000000001</v>
      </c>
      <c r="F33" s="292">
        <f>'1stIA Resource Clearing Results'!J33</f>
        <v>548.7</v>
      </c>
      <c r="G33" s="292">
        <f>'1stIA Resource Clearing Results'!K33</f>
        <v>-15.599999999999998</v>
      </c>
      <c r="H33" s="292">
        <f>'1stIA Resource Clearing Results'!L33</f>
        <v>0</v>
      </c>
      <c r="I33" s="292">
        <f>'1stIA Resource Clearing Results'!M33</f>
        <v>533.1</v>
      </c>
      <c r="J33" s="585">
        <f>'2ndIA Resource Clearing Results'!J33</f>
        <v>147.2</v>
      </c>
      <c r="K33" s="585">
        <f>'2ndIA Resource Clearing Results'!K33</f>
        <v>16.900000000000002</v>
      </c>
      <c r="L33" s="585">
        <f>'2ndIA Resource Clearing Results'!L33</f>
        <v>22.2</v>
      </c>
      <c r="M33" s="585">
        <f>'2ndIA Resource Clearing Results'!M33</f>
        <v>186.29999999999998</v>
      </c>
      <c r="N33" s="280" t="s">
        <v>5</v>
      </c>
    </row>
    <row r="34" spans="1:14" s="2" customFormat="1" ht="15" customHeight="1">
      <c r="A34" s="277" t="s">
        <v>8</v>
      </c>
      <c r="B34" s="291">
        <f>'BRA Resource Clearing Results'!B32</f>
        <v>5778.4</v>
      </c>
      <c r="C34" s="291">
        <f>'BRA Resource Clearing Results'!C32</f>
        <v>154.8</v>
      </c>
      <c r="D34" s="291">
        <f>'BRA Resource Clearing Results'!D32</f>
        <v>177.5</v>
      </c>
      <c r="E34" s="291">
        <f>'BRA Resource Clearing Results'!E32</f>
        <v>6110.7</v>
      </c>
      <c r="F34" s="292">
        <f>'1stIA Resource Clearing Results'!J34</f>
        <v>-19.5</v>
      </c>
      <c r="G34" s="292">
        <f>'1stIA Resource Clearing Results'!K34</f>
        <v>9.6</v>
      </c>
      <c r="H34" s="292">
        <f>'1stIA Resource Clearing Results'!L34</f>
        <v>1.8</v>
      </c>
      <c r="I34" s="292">
        <f>'1stIA Resource Clearing Results'!M34</f>
        <v>-8.1</v>
      </c>
      <c r="J34" s="585">
        <f>'2ndIA Resource Clearing Results'!J34</f>
        <v>224</v>
      </c>
      <c r="K34" s="585">
        <f>'2ndIA Resource Clearing Results'!K34</f>
        <v>0</v>
      </c>
      <c r="L34" s="585">
        <f>'2ndIA Resource Clearing Results'!L34</f>
        <v>-0.20000000000000018</v>
      </c>
      <c r="M34" s="585">
        <f>'2ndIA Resource Clearing Results'!M34</f>
        <v>223.8</v>
      </c>
      <c r="N34" s="280" t="s">
        <v>8</v>
      </c>
    </row>
    <row r="35" spans="1:14" s="2" customFormat="1" ht="15" customHeight="1">
      <c r="A35" s="277" t="s">
        <v>40</v>
      </c>
      <c r="B35" s="291">
        <f>'BRA Resource Clearing Results'!B33</f>
        <v>3765.8</v>
      </c>
      <c r="C35" s="291">
        <f>'BRA Resource Clearing Results'!C33</f>
        <v>62.5</v>
      </c>
      <c r="D35" s="291">
        <f>'BRA Resource Clearing Results'!D33</f>
        <v>64.9</v>
      </c>
      <c r="E35" s="291">
        <f>'BRA Resource Clearing Results'!E33</f>
        <v>3893.2000000000003</v>
      </c>
      <c r="F35" s="292">
        <f>'1stIA Resource Clearing Results'!J35</f>
        <v>127.1</v>
      </c>
      <c r="G35" s="292">
        <f>'1stIA Resource Clearing Results'!K35</f>
        <v>1.4</v>
      </c>
      <c r="H35" s="292">
        <f>'1stIA Resource Clearing Results'!L35</f>
        <v>0.39999999999999997</v>
      </c>
      <c r="I35" s="292">
        <f>'1stIA Resource Clearing Results'!M35</f>
        <v>128.9</v>
      </c>
      <c r="J35" s="585">
        <f>'2ndIA Resource Clearing Results'!J35</f>
        <v>57</v>
      </c>
      <c r="K35" s="585">
        <f>'2ndIA Resource Clearing Results'!K35</f>
        <v>0</v>
      </c>
      <c r="L35" s="585">
        <f>'2ndIA Resource Clearing Results'!L35</f>
        <v>-1.1</v>
      </c>
      <c r="M35" s="585">
        <f>'2ndIA Resource Clearing Results'!M35</f>
        <v>55.9</v>
      </c>
      <c r="N35" s="280" t="s">
        <v>40</v>
      </c>
    </row>
    <row r="36" spans="1:14" s="2" customFormat="1" ht="15" customHeight="1">
      <c r="A36" s="277" t="s">
        <v>41</v>
      </c>
      <c r="B36" s="291">
        <f>'BRA Resource Clearing Results'!B34</f>
        <v>1605.3999999999994</v>
      </c>
      <c r="C36" s="291">
        <f>'BRA Resource Clearing Results'!C34</f>
        <v>52.599999999999994</v>
      </c>
      <c r="D36" s="291">
        <f>'BRA Resource Clearing Results'!D34</f>
        <v>24.3</v>
      </c>
      <c r="E36" s="291">
        <f>'BRA Resource Clearing Results'!E34</f>
        <v>1682.2999999999993</v>
      </c>
      <c r="F36" s="292">
        <f>'1stIA Resource Clearing Results'!J36</f>
        <v>-6.6</v>
      </c>
      <c r="G36" s="292">
        <f>'1stIA Resource Clearing Results'!K36</f>
        <v>5</v>
      </c>
      <c r="H36" s="292">
        <f>'1stIA Resource Clearing Results'!L36</f>
        <v>0</v>
      </c>
      <c r="I36" s="292">
        <f>'1stIA Resource Clearing Results'!M36</f>
        <v>-1.5999999999999996</v>
      </c>
      <c r="J36" s="585">
        <f>'2ndIA Resource Clearing Results'!J36</f>
        <v>55.6</v>
      </c>
      <c r="K36" s="585">
        <f>'2ndIA Resource Clearing Results'!K36</f>
        <v>0</v>
      </c>
      <c r="L36" s="585">
        <f>'2ndIA Resource Clearing Results'!L36</f>
        <v>1.9</v>
      </c>
      <c r="M36" s="585">
        <f>'2ndIA Resource Clearing Results'!M36</f>
        <v>57.5</v>
      </c>
      <c r="N36" s="280" t="s">
        <v>41</v>
      </c>
    </row>
    <row r="37" spans="1:14" s="2" customFormat="1" ht="15" customHeight="1">
      <c r="A37" s="277" t="s">
        <v>15</v>
      </c>
      <c r="B37" s="291">
        <f>'BRA Resource Clearing Results'!B35</f>
        <v>5375.2</v>
      </c>
      <c r="C37" s="291">
        <f>'BRA Resource Clearing Results'!C35</f>
        <v>472.59999999999997</v>
      </c>
      <c r="D37" s="291">
        <f>'BRA Resource Clearing Results'!D35</f>
        <v>89.99999999999999</v>
      </c>
      <c r="E37" s="291">
        <f>'BRA Resource Clearing Results'!E35</f>
        <v>5937.8</v>
      </c>
      <c r="F37" s="292">
        <f>'1stIA Resource Clearing Results'!J37</f>
        <v>73</v>
      </c>
      <c r="G37" s="292">
        <f>'1stIA Resource Clearing Results'!K37</f>
        <v>-17</v>
      </c>
      <c r="H37" s="292">
        <f>'1stIA Resource Clearing Results'!L37</f>
        <v>0</v>
      </c>
      <c r="I37" s="292">
        <f>'1stIA Resource Clearing Results'!M37</f>
        <v>56</v>
      </c>
      <c r="J37" s="585">
        <f>'2ndIA Resource Clearing Results'!J37</f>
        <v>9.300000000000004</v>
      </c>
      <c r="K37" s="585">
        <f>'2ndIA Resource Clearing Results'!K37</f>
        <v>5.400000000000002</v>
      </c>
      <c r="L37" s="585">
        <f>'2ndIA Resource Clearing Results'!L37</f>
        <v>3.9</v>
      </c>
      <c r="M37" s="585">
        <f>'2ndIA Resource Clearing Results'!M37</f>
        <v>18.600000000000005</v>
      </c>
      <c r="N37" s="280" t="s">
        <v>15</v>
      </c>
    </row>
    <row r="38" spans="1:14" s="2" customFormat="1" ht="15" customHeight="1">
      <c r="A38" s="277" t="s">
        <v>49</v>
      </c>
      <c r="B38" s="291">
        <f>'BRA Resource Clearing Results'!B36</f>
        <v>8068.200000000002</v>
      </c>
      <c r="C38" s="291">
        <f>'BRA Resource Clearing Results'!C36</f>
        <v>735.8999999999999</v>
      </c>
      <c r="D38" s="291">
        <f>'BRA Resource Clearing Results'!D36</f>
        <v>173.2</v>
      </c>
      <c r="E38" s="291">
        <f>'BRA Resource Clearing Results'!E36</f>
        <v>8977.300000000003</v>
      </c>
      <c r="F38" s="292">
        <f>'1stIA Resource Clearing Results'!J38</f>
        <v>284.29999999999995</v>
      </c>
      <c r="G38" s="292">
        <f>'1stIA Resource Clearing Results'!K38</f>
        <v>187.20000000000002</v>
      </c>
      <c r="H38" s="292">
        <f>'1stIA Resource Clearing Results'!L38</f>
        <v>-7.6</v>
      </c>
      <c r="I38" s="292">
        <f>'1stIA Resource Clearing Results'!M38</f>
        <v>463.9</v>
      </c>
      <c r="J38" s="585">
        <f>'2ndIA Resource Clearing Results'!J38</f>
        <v>179.6</v>
      </c>
      <c r="K38" s="585">
        <f>'2ndIA Resource Clearing Results'!K38</f>
        <v>70.1</v>
      </c>
      <c r="L38" s="585">
        <f>'2ndIA Resource Clearing Results'!L38</f>
        <v>-65</v>
      </c>
      <c r="M38" s="585">
        <f>'2ndIA Resource Clearing Results'!M38</f>
        <v>184.7</v>
      </c>
      <c r="N38" s="280" t="s">
        <v>49</v>
      </c>
    </row>
    <row r="39" spans="1:14" s="2" customFormat="1" ht="15" customHeight="1">
      <c r="A39" s="277" t="s">
        <v>156</v>
      </c>
      <c r="B39" s="291">
        <f>'BRA Resource Clearing Results'!B37</f>
        <v>2286.5</v>
      </c>
      <c r="C39" s="291">
        <f>'BRA Resource Clearing Results'!C37</f>
        <v>235.89999999999998</v>
      </c>
      <c r="D39" s="291">
        <f>'BRA Resource Clearing Results'!D37</f>
        <v>26.2</v>
      </c>
      <c r="E39" s="291">
        <f>'BRA Resource Clearing Results'!E37</f>
        <v>2548.6</v>
      </c>
      <c r="F39" s="292">
        <f>'1stIA Resource Clearing Results'!J39</f>
        <v>186.70000000000002</v>
      </c>
      <c r="G39" s="292">
        <f>'1stIA Resource Clearing Results'!K39</f>
        <v>82.7</v>
      </c>
      <c r="H39" s="292">
        <f>'1stIA Resource Clearing Results'!L39</f>
        <v>0</v>
      </c>
      <c r="I39" s="292">
        <f>'1stIA Resource Clearing Results'!M39</f>
        <v>269.40000000000003</v>
      </c>
      <c r="J39" s="585">
        <f>'2ndIA Resource Clearing Results'!J39</f>
        <v>132.70000000000002</v>
      </c>
      <c r="K39" s="585">
        <f>'2ndIA Resource Clearing Results'!K39</f>
        <v>31.5</v>
      </c>
      <c r="L39" s="585">
        <f>'2ndIA Resource Clearing Results'!L39</f>
        <v>-11.5</v>
      </c>
      <c r="M39" s="585">
        <f>'2ndIA Resource Clearing Results'!M39</f>
        <v>152.70000000000002</v>
      </c>
      <c r="N39" s="280" t="s">
        <v>156</v>
      </c>
    </row>
    <row r="40" spans="1:14" s="2" customFormat="1" ht="15" customHeight="1">
      <c r="A40" s="277" t="s">
        <v>20</v>
      </c>
      <c r="B40" s="291">
        <f>'BRA Resource Clearing Results'!B38</f>
        <v>21125.300000000007</v>
      </c>
      <c r="C40" s="291">
        <f>'BRA Resource Clearing Results'!C38</f>
        <v>1169.6000000000004</v>
      </c>
      <c r="D40" s="291">
        <f>'BRA Resource Clearing Results'!D38</f>
        <v>256.09999999999997</v>
      </c>
      <c r="E40" s="291">
        <f>'BRA Resource Clearing Results'!E38</f>
        <v>22551.000000000007</v>
      </c>
      <c r="F40" s="292">
        <f>'1stIA Resource Clearing Results'!J40</f>
        <v>141.3</v>
      </c>
      <c r="G40" s="292">
        <f>'1stIA Resource Clearing Results'!K40</f>
        <v>99</v>
      </c>
      <c r="H40" s="292">
        <f>'1stIA Resource Clearing Results'!L40</f>
        <v>-19.9</v>
      </c>
      <c r="I40" s="292">
        <f>'1stIA Resource Clearing Results'!M40</f>
        <v>220.4</v>
      </c>
      <c r="J40" s="585">
        <f>'2ndIA Resource Clearing Results'!J40</f>
        <v>139.2</v>
      </c>
      <c r="K40" s="585">
        <f>'2ndIA Resource Clearing Results'!K40</f>
        <v>100</v>
      </c>
      <c r="L40" s="585">
        <f>'2ndIA Resource Clearing Results'!L40</f>
        <v>11.3</v>
      </c>
      <c r="M40" s="585">
        <f>'2ndIA Resource Clearing Results'!M40</f>
        <v>250.5</v>
      </c>
      <c r="N40" s="280" t="s">
        <v>20</v>
      </c>
    </row>
    <row r="41" spans="1:14" s="2" customFormat="1" ht="15" customHeight="1">
      <c r="A41" s="277" t="s">
        <v>11</v>
      </c>
      <c r="B41" s="291">
        <f>'BRA Resource Clearing Results'!B39</f>
        <v>2594.5</v>
      </c>
      <c r="C41" s="291">
        <f>'BRA Resource Clearing Results'!C39</f>
        <v>691.6</v>
      </c>
      <c r="D41" s="291">
        <f>'BRA Resource Clearing Results'!D39</f>
        <v>65.20000000000002</v>
      </c>
      <c r="E41" s="291">
        <f>'BRA Resource Clearing Results'!E39</f>
        <v>3351.2999999999997</v>
      </c>
      <c r="F41" s="292">
        <f>'1stIA Resource Clearing Results'!J41</f>
        <v>50.7</v>
      </c>
      <c r="G41" s="292">
        <f>'1stIA Resource Clearing Results'!K41</f>
        <v>1.3999999999999995</v>
      </c>
      <c r="H41" s="292">
        <f>'1stIA Resource Clearing Results'!L41</f>
        <v>0</v>
      </c>
      <c r="I41" s="292">
        <f>'1stIA Resource Clearing Results'!M41</f>
        <v>52.1</v>
      </c>
      <c r="J41" s="585">
        <f>'2ndIA Resource Clearing Results'!J41</f>
        <v>-12.100000000000001</v>
      </c>
      <c r="K41" s="585">
        <f>'2ndIA Resource Clearing Results'!K41</f>
        <v>11.5</v>
      </c>
      <c r="L41" s="585">
        <f>'2ndIA Resource Clearing Results'!L41</f>
        <v>0</v>
      </c>
      <c r="M41" s="585">
        <f>'2ndIA Resource Clearing Results'!M41</f>
        <v>-0.6000000000000014</v>
      </c>
      <c r="N41" s="280" t="s">
        <v>11</v>
      </c>
    </row>
    <row r="42" spans="1:14" s="2" customFormat="1" ht="15" customHeight="1">
      <c r="A42" s="277" t="s">
        <v>10</v>
      </c>
      <c r="B42" s="291">
        <f>'BRA Resource Clearing Results'!B40</f>
        <v>9123.499999999998</v>
      </c>
      <c r="C42" s="291">
        <f>'BRA Resource Clearing Results'!C40</f>
        <v>183.3</v>
      </c>
      <c r="D42" s="291">
        <f>'BRA Resource Clearing Results'!D40</f>
        <v>41.7</v>
      </c>
      <c r="E42" s="291">
        <f>'BRA Resource Clearing Results'!E40</f>
        <v>9348.499999999998</v>
      </c>
      <c r="F42" s="292">
        <f>'1stIA Resource Clearing Results'!J42</f>
        <v>464.20000000000005</v>
      </c>
      <c r="G42" s="292">
        <f>'1stIA Resource Clearing Results'!K42</f>
        <v>0</v>
      </c>
      <c r="H42" s="292">
        <f>'1stIA Resource Clearing Results'!L42</f>
        <v>-109.9</v>
      </c>
      <c r="I42" s="292">
        <f>'1stIA Resource Clearing Results'!M42</f>
        <v>354.30000000000007</v>
      </c>
      <c r="J42" s="585">
        <f>'2ndIA Resource Clearing Results'!J42</f>
        <v>263.1</v>
      </c>
      <c r="K42" s="585">
        <f>'2ndIA Resource Clearing Results'!K42</f>
        <v>0</v>
      </c>
      <c r="L42" s="585">
        <f>'2ndIA Resource Clearing Results'!L42</f>
        <v>27.5</v>
      </c>
      <c r="M42" s="585">
        <f>'2ndIA Resource Clearing Results'!M42</f>
        <v>290.6</v>
      </c>
      <c r="N42" s="280" t="s">
        <v>10</v>
      </c>
    </row>
    <row r="43" spans="1:14" s="2" customFormat="1" ht="15" customHeight="1">
      <c r="A43" s="277" t="s">
        <v>175</v>
      </c>
      <c r="B43" s="291">
        <f>'BRA Resource Clearing Results'!B41</f>
        <v>26.9</v>
      </c>
      <c r="C43" s="291">
        <f>'BRA Resource Clearing Results'!C41</f>
        <v>0</v>
      </c>
      <c r="D43" s="291">
        <f>'BRA Resource Clearing Results'!D41</f>
        <v>0</v>
      </c>
      <c r="E43" s="291">
        <f>'BRA Resource Clearing Results'!E41</f>
        <v>26.9</v>
      </c>
      <c r="F43" s="292">
        <v>0</v>
      </c>
      <c r="G43" s="292">
        <v>0</v>
      </c>
      <c r="H43" s="292">
        <v>0</v>
      </c>
      <c r="I43" s="292">
        <v>0</v>
      </c>
      <c r="J43" s="585">
        <v>0</v>
      </c>
      <c r="K43" s="585">
        <v>0</v>
      </c>
      <c r="L43" s="585">
        <v>0</v>
      </c>
      <c r="M43" s="585">
        <v>0</v>
      </c>
      <c r="N43" s="280" t="s">
        <v>175</v>
      </c>
    </row>
    <row r="44" spans="1:14" s="2" customFormat="1" ht="15" customHeight="1">
      <c r="A44" s="277" t="s">
        <v>176</v>
      </c>
      <c r="B44" s="291">
        <f>'BRA Resource Clearing Results'!B42</f>
        <v>0</v>
      </c>
      <c r="C44" s="291">
        <f>'BRA Resource Clearing Results'!C42</f>
        <v>0</v>
      </c>
      <c r="D44" s="291">
        <f>'BRA Resource Clearing Results'!D42</f>
        <v>0</v>
      </c>
      <c r="E44" s="291">
        <f>'BRA Resource Clearing Results'!E42</f>
        <v>0</v>
      </c>
      <c r="F44" s="292">
        <v>0</v>
      </c>
      <c r="G44" s="292">
        <v>0</v>
      </c>
      <c r="H44" s="292">
        <v>0</v>
      </c>
      <c r="I44" s="292">
        <v>0</v>
      </c>
      <c r="J44" s="585">
        <v>0</v>
      </c>
      <c r="K44" s="585">
        <v>0</v>
      </c>
      <c r="L44" s="585">
        <v>0</v>
      </c>
      <c r="M44" s="585">
        <v>0</v>
      </c>
      <c r="N44" s="280" t="s">
        <v>176</v>
      </c>
    </row>
    <row r="45" spans="1:14" s="2" customFormat="1" ht="15" customHeight="1">
      <c r="A45" s="277" t="s">
        <v>177</v>
      </c>
      <c r="B45" s="291">
        <f>'BRA Resource Clearing Results'!B43</f>
        <v>87.5</v>
      </c>
      <c r="C45" s="291">
        <f>'BRA Resource Clearing Results'!C43</f>
        <v>0</v>
      </c>
      <c r="D45" s="291">
        <f>'BRA Resource Clearing Results'!D43</f>
        <v>0</v>
      </c>
      <c r="E45" s="291">
        <f>'BRA Resource Clearing Results'!E43</f>
        <v>87.5</v>
      </c>
      <c r="F45" s="292">
        <v>0</v>
      </c>
      <c r="G45" s="292">
        <v>0</v>
      </c>
      <c r="H45" s="292">
        <v>0</v>
      </c>
      <c r="I45" s="292">
        <v>0</v>
      </c>
      <c r="J45" s="585">
        <v>0</v>
      </c>
      <c r="K45" s="585">
        <v>0</v>
      </c>
      <c r="L45" s="585">
        <v>0</v>
      </c>
      <c r="M45" s="585">
        <v>0</v>
      </c>
      <c r="N45" s="280" t="s">
        <v>177</v>
      </c>
    </row>
    <row r="46" spans="1:14" s="2" customFormat="1" ht="15" customHeight="1">
      <c r="A46" s="277" t="s">
        <v>178</v>
      </c>
      <c r="B46" s="291">
        <f>'BRA Resource Clearing Results'!B44</f>
        <v>139.60000000000005</v>
      </c>
      <c r="C46" s="291">
        <f>'BRA Resource Clearing Results'!C44</f>
        <v>0</v>
      </c>
      <c r="D46" s="291">
        <f>'BRA Resource Clearing Results'!D44</f>
        <v>0</v>
      </c>
      <c r="E46" s="291">
        <f>'BRA Resource Clearing Results'!E44</f>
        <v>139.60000000000005</v>
      </c>
      <c r="F46" s="292">
        <v>0</v>
      </c>
      <c r="G46" s="292">
        <v>0</v>
      </c>
      <c r="H46" s="292">
        <v>0</v>
      </c>
      <c r="I46" s="292">
        <v>0</v>
      </c>
      <c r="J46" s="585">
        <v>0</v>
      </c>
      <c r="K46" s="585">
        <v>0</v>
      </c>
      <c r="L46" s="585">
        <v>0</v>
      </c>
      <c r="M46" s="585">
        <v>0</v>
      </c>
      <c r="N46" s="280" t="s">
        <v>178</v>
      </c>
    </row>
    <row r="47" spans="1:14" s="2" customFormat="1" ht="15" customHeight="1">
      <c r="A47" s="277" t="s">
        <v>179</v>
      </c>
      <c r="B47" s="291">
        <f>'BRA Resource Clearing Results'!B45</f>
        <v>0</v>
      </c>
      <c r="C47" s="291">
        <f>'BRA Resource Clearing Results'!C45</f>
        <v>0</v>
      </c>
      <c r="D47" s="291">
        <f>'BRA Resource Clearing Results'!D45</f>
        <v>0</v>
      </c>
      <c r="E47" s="291">
        <f>'BRA Resource Clearing Results'!E45</f>
        <v>0</v>
      </c>
      <c r="F47" s="292">
        <v>0</v>
      </c>
      <c r="G47" s="292">
        <v>0</v>
      </c>
      <c r="H47" s="292">
        <v>0</v>
      </c>
      <c r="I47" s="292">
        <v>0</v>
      </c>
      <c r="J47" s="585">
        <v>0</v>
      </c>
      <c r="K47" s="585">
        <v>0</v>
      </c>
      <c r="L47" s="585">
        <v>0</v>
      </c>
      <c r="M47" s="585">
        <v>0</v>
      </c>
      <c r="N47" s="280" t="s">
        <v>179</v>
      </c>
    </row>
    <row r="48" spans="1:14" s="2" customFormat="1" ht="15" customHeight="1">
      <c r="A48" s="272" t="s">
        <v>307</v>
      </c>
      <c r="B48" s="293"/>
      <c r="C48" s="293"/>
      <c r="D48" s="293"/>
      <c r="E48" s="293"/>
      <c r="F48" s="293"/>
      <c r="G48" s="293"/>
      <c r="H48" s="293"/>
      <c r="I48" s="293"/>
      <c r="J48" s="607" t="s">
        <v>377</v>
      </c>
      <c r="K48" s="257"/>
      <c r="L48" s="257"/>
      <c r="M48" s="257"/>
      <c r="N48" s="255"/>
    </row>
    <row r="49" spans="1:14" s="2" customFormat="1" ht="15" customHeight="1">
      <c r="A49" s="272" t="s">
        <v>303</v>
      </c>
      <c r="B49" s="293"/>
      <c r="C49" s="293"/>
      <c r="D49" s="293"/>
      <c r="E49" s="293"/>
      <c r="F49" s="293"/>
      <c r="G49" s="293"/>
      <c r="H49" s="293"/>
      <c r="I49" s="293"/>
      <c r="J49" s="257"/>
      <c r="K49" s="257"/>
      <c r="L49" s="257"/>
      <c r="M49" s="257"/>
      <c r="N49" s="255"/>
    </row>
    <row r="50" spans="1:14" s="2" customFormat="1" ht="15" customHeight="1">
      <c r="A50" s="272"/>
      <c r="B50" s="293"/>
      <c r="C50" s="293"/>
      <c r="D50" s="293"/>
      <c r="E50" s="293"/>
      <c r="F50" s="293"/>
      <c r="G50" s="293"/>
      <c r="H50" s="293"/>
      <c r="I50" s="293"/>
      <c r="J50" s="257"/>
      <c r="K50" s="257"/>
      <c r="L50" s="257"/>
      <c r="M50" s="257"/>
      <c r="N50" s="255"/>
    </row>
    <row r="51" spans="1:14" s="2" customFormat="1" ht="15" customHeight="1">
      <c r="A51" s="274" t="s">
        <v>247</v>
      </c>
      <c r="B51" s="294"/>
      <c r="C51" s="294"/>
      <c r="D51" s="294"/>
      <c r="E51" s="294"/>
      <c r="F51" s="283"/>
      <c r="G51" s="283"/>
      <c r="H51" s="283"/>
      <c r="I51" s="294"/>
      <c r="J51" s="257"/>
      <c r="K51" s="257"/>
      <c r="L51" s="257"/>
      <c r="M51" s="257"/>
      <c r="N51" s="255"/>
    </row>
    <row r="52" spans="1:14" s="2" customFormat="1" ht="15" customHeight="1">
      <c r="A52" s="274"/>
      <c r="B52" s="628" t="s">
        <v>149</v>
      </c>
      <c r="C52" s="628"/>
      <c r="D52" s="628"/>
      <c r="E52" s="628"/>
      <c r="F52" s="627" t="s">
        <v>295</v>
      </c>
      <c r="G52" s="627"/>
      <c r="H52" s="627"/>
      <c r="I52" s="627"/>
      <c r="J52" s="621" t="s">
        <v>359</v>
      </c>
      <c r="K52" s="621"/>
      <c r="L52" s="621"/>
      <c r="M52" s="621"/>
      <c r="N52" s="255"/>
    </row>
    <row r="53" spans="1:14" s="2" customFormat="1" ht="15" customHeight="1">
      <c r="A53" s="274"/>
      <c r="B53" s="633" t="s">
        <v>302</v>
      </c>
      <c r="C53" s="633"/>
      <c r="D53" s="633"/>
      <c r="E53" s="633"/>
      <c r="F53" s="627" t="s">
        <v>309</v>
      </c>
      <c r="G53" s="627"/>
      <c r="H53" s="627"/>
      <c r="I53" s="627"/>
      <c r="J53" s="621" t="s">
        <v>309</v>
      </c>
      <c r="K53" s="621"/>
      <c r="L53" s="621"/>
      <c r="M53" s="621"/>
      <c r="N53" s="255"/>
    </row>
    <row r="54" spans="1:14" s="2" customFormat="1" ht="39.75" customHeight="1">
      <c r="A54" s="295" t="s">
        <v>3</v>
      </c>
      <c r="B54" s="633"/>
      <c r="C54" s="633"/>
      <c r="D54" s="633"/>
      <c r="E54" s="633"/>
      <c r="F54" s="261" t="s">
        <v>299</v>
      </c>
      <c r="G54" s="261" t="s">
        <v>298</v>
      </c>
      <c r="H54" s="261" t="s">
        <v>297</v>
      </c>
      <c r="I54" s="261" t="s">
        <v>301</v>
      </c>
      <c r="J54" s="579" t="s">
        <v>299</v>
      </c>
      <c r="K54" s="579" t="s">
        <v>298</v>
      </c>
      <c r="L54" s="579" t="s">
        <v>297</v>
      </c>
      <c r="M54" s="579" t="s">
        <v>301</v>
      </c>
      <c r="N54" s="295" t="s">
        <v>3</v>
      </c>
    </row>
    <row r="55" spans="1:14" s="2" customFormat="1" ht="15" customHeight="1">
      <c r="A55" s="296" t="s">
        <v>6</v>
      </c>
      <c r="B55" s="633"/>
      <c r="C55" s="633"/>
      <c r="D55" s="633"/>
      <c r="E55" s="633"/>
      <c r="F55" s="292">
        <f>'1stIA Resource Clearing Results'!J47</f>
        <v>-3709.9</v>
      </c>
      <c r="G55" s="292">
        <f>'1stIA Resource Clearing Results'!K47</f>
        <v>0</v>
      </c>
      <c r="H55" s="292">
        <f>'1stIA Resource Clearing Results'!L47</f>
        <v>130.6</v>
      </c>
      <c r="I55" s="292">
        <f>'1stIA Resource Clearing Results'!M47</f>
        <v>-3579.3</v>
      </c>
      <c r="J55" s="585">
        <f>'2ndIA Resource Clearing Results'!J47</f>
        <v>-2693.9</v>
      </c>
      <c r="K55" s="585">
        <f>'2ndIA Resource Clearing Results'!K47</f>
        <v>-69.5</v>
      </c>
      <c r="L55" s="585">
        <f>'2ndIA Resource Clearing Results'!L47</f>
        <v>0</v>
      </c>
      <c r="M55" s="585">
        <f>'2ndIA Resource Clearing Results'!M47</f>
        <v>-2763.4</v>
      </c>
      <c r="N55" s="297" t="s">
        <v>6</v>
      </c>
    </row>
    <row r="56" spans="1:14" s="2" customFormat="1" ht="15" customHeight="1">
      <c r="A56" s="296" t="s">
        <v>29</v>
      </c>
      <c r="B56" s="633"/>
      <c r="C56" s="633"/>
      <c r="D56" s="633"/>
      <c r="E56" s="633"/>
      <c r="F56" s="292">
        <f>'1stIA Resource Clearing Results'!J48</f>
        <v>-1355.8</v>
      </c>
      <c r="G56" s="292">
        <f>'1stIA Resource Clearing Results'!K48</f>
        <v>0</v>
      </c>
      <c r="H56" s="292">
        <f>'1stIA Resource Clearing Results'!L48</f>
        <v>34.7</v>
      </c>
      <c r="I56" s="292">
        <f>'1stIA Resource Clearing Results'!M48</f>
        <v>-1321.1</v>
      </c>
      <c r="J56" s="585">
        <f>'2ndIA Resource Clearing Results'!J48</f>
        <v>-1698.3999999999999</v>
      </c>
      <c r="K56" s="585">
        <f>'2ndIA Resource Clearing Results'!K48</f>
        <v>-69.5</v>
      </c>
      <c r="L56" s="585">
        <f>'2ndIA Resource Clearing Results'!L48</f>
        <v>0</v>
      </c>
      <c r="M56" s="585">
        <f>'2ndIA Resource Clearing Results'!M48</f>
        <v>-1767.8999999999999</v>
      </c>
      <c r="N56" s="297" t="s">
        <v>29</v>
      </c>
    </row>
    <row r="57" spans="1:14" s="2" customFormat="1" ht="15" customHeight="1">
      <c r="A57" s="296" t="s">
        <v>39</v>
      </c>
      <c r="B57" s="633"/>
      <c r="C57" s="633"/>
      <c r="D57" s="633"/>
      <c r="E57" s="633"/>
      <c r="F57" s="292">
        <f>'1stIA Resource Clearing Results'!J49</f>
        <v>-481.7</v>
      </c>
      <c r="G57" s="292">
        <f>'1stIA Resource Clearing Results'!K49</f>
        <v>0</v>
      </c>
      <c r="H57" s="292">
        <f>'1stIA Resource Clearing Results'!L49</f>
        <v>34.7</v>
      </c>
      <c r="I57" s="292">
        <f>'1stIA Resource Clearing Results'!M49</f>
        <v>-447</v>
      </c>
      <c r="J57" s="585">
        <f>'2ndIA Resource Clearing Results'!J49</f>
        <v>-831.9</v>
      </c>
      <c r="K57" s="585">
        <f>'2ndIA Resource Clearing Results'!K49</f>
        <v>0</v>
      </c>
      <c r="L57" s="585">
        <f>'2ndIA Resource Clearing Results'!L49</f>
        <v>0</v>
      </c>
      <c r="M57" s="585">
        <f>'2ndIA Resource Clearing Results'!M49</f>
        <v>-831.9</v>
      </c>
      <c r="N57" s="297" t="s">
        <v>39</v>
      </c>
    </row>
    <row r="58" spans="1:14" s="2" customFormat="1" ht="15" customHeight="1">
      <c r="A58" s="296" t="s">
        <v>5</v>
      </c>
      <c r="B58" s="633"/>
      <c r="C58" s="633"/>
      <c r="D58" s="633"/>
      <c r="E58" s="633"/>
      <c r="F58" s="292">
        <f>'1stIA Resource Clearing Results'!J50</f>
        <v>-444</v>
      </c>
      <c r="G58" s="292">
        <f>'1stIA Resource Clearing Results'!K50</f>
        <v>0</v>
      </c>
      <c r="H58" s="292">
        <f>'1stIA Resource Clearing Results'!L50</f>
        <v>0</v>
      </c>
      <c r="I58" s="292">
        <f>'1stIA Resource Clearing Results'!M50</f>
        <v>-444</v>
      </c>
      <c r="J58" s="585">
        <f>'2ndIA Resource Clearing Results'!J50</f>
        <v>29.800000000000004</v>
      </c>
      <c r="K58" s="585">
        <f>'2ndIA Resource Clearing Results'!K50</f>
        <v>-69.5</v>
      </c>
      <c r="L58" s="585">
        <f>'2ndIA Resource Clearing Results'!L50</f>
        <v>0</v>
      </c>
      <c r="M58" s="585">
        <f>'2ndIA Resource Clearing Results'!M50</f>
        <v>-39.699999999999996</v>
      </c>
      <c r="N58" s="297" t="s">
        <v>5</v>
      </c>
    </row>
    <row r="59" spans="1:14" s="2" customFormat="1" ht="15" customHeight="1">
      <c r="A59" s="296" t="s">
        <v>8</v>
      </c>
      <c r="B59" s="633"/>
      <c r="C59" s="633"/>
      <c r="D59" s="633"/>
      <c r="E59" s="633"/>
      <c r="F59" s="292">
        <f>'1stIA Resource Clearing Results'!J51</f>
        <v>-26.6</v>
      </c>
      <c r="G59" s="292">
        <f>'1stIA Resource Clearing Results'!K51</f>
        <v>0</v>
      </c>
      <c r="H59" s="292">
        <f>'1stIA Resource Clearing Results'!L51</f>
        <v>34.7</v>
      </c>
      <c r="I59" s="292">
        <f>'1stIA Resource Clearing Results'!M51</f>
        <v>8.100000000000001</v>
      </c>
      <c r="J59" s="585">
        <f>'2ndIA Resource Clearing Results'!J51</f>
        <v>-223.79999999999998</v>
      </c>
      <c r="K59" s="585">
        <f>'2ndIA Resource Clearing Results'!K51</f>
        <v>0</v>
      </c>
      <c r="L59" s="585">
        <f>'2ndIA Resource Clearing Results'!L51</f>
        <v>0</v>
      </c>
      <c r="M59" s="585">
        <f>'2ndIA Resource Clearing Results'!M51</f>
        <v>-223.79999999999998</v>
      </c>
      <c r="N59" s="297" t="s">
        <v>8</v>
      </c>
    </row>
    <row r="60" spans="1:14" s="2" customFormat="1" ht="15" customHeight="1">
      <c r="A60" s="296" t="s">
        <v>40</v>
      </c>
      <c r="B60" s="633"/>
      <c r="C60" s="633"/>
      <c r="D60" s="633"/>
      <c r="E60" s="633"/>
      <c r="F60" s="292">
        <f>'1stIA Resource Clearing Results'!J52</f>
        <v>0</v>
      </c>
      <c r="G60" s="292">
        <f>'1stIA Resource Clearing Results'!K52</f>
        <v>0</v>
      </c>
      <c r="H60" s="292">
        <f>'1stIA Resource Clearing Results'!L52</f>
        <v>34.7</v>
      </c>
      <c r="I60" s="292">
        <f>'1stIA Resource Clearing Results'!M52</f>
        <v>34.7</v>
      </c>
      <c r="J60" s="585">
        <f>'2ndIA Resource Clearing Results'!J52</f>
        <v>-28.8</v>
      </c>
      <c r="K60" s="585">
        <f>'2ndIA Resource Clearing Results'!K52</f>
        <v>0</v>
      </c>
      <c r="L60" s="585">
        <f>'2ndIA Resource Clearing Results'!L52</f>
        <v>0</v>
      </c>
      <c r="M60" s="585">
        <f>'2ndIA Resource Clearing Results'!M52</f>
        <v>-28.8</v>
      </c>
      <c r="N60" s="297" t="s">
        <v>40</v>
      </c>
    </row>
    <row r="61" spans="1:14" s="2" customFormat="1" ht="15" customHeight="1">
      <c r="A61" s="296" t="s">
        <v>41</v>
      </c>
      <c r="B61" s="633"/>
      <c r="C61" s="633"/>
      <c r="D61" s="633"/>
      <c r="E61" s="633"/>
      <c r="F61" s="292">
        <f>'1stIA Resource Clearing Results'!J53</f>
        <v>-76.2</v>
      </c>
      <c r="G61" s="292">
        <f>'1stIA Resource Clearing Results'!K53</f>
        <v>0</v>
      </c>
      <c r="H61" s="292">
        <f>'1stIA Resource Clearing Results'!L53</f>
        <v>0</v>
      </c>
      <c r="I61" s="292">
        <f>'1stIA Resource Clearing Results'!M53</f>
        <v>-76.2</v>
      </c>
      <c r="J61" s="585">
        <f>'2ndIA Resource Clearing Results'!J53</f>
        <v>-78.89999999999999</v>
      </c>
      <c r="K61" s="585">
        <f>'2ndIA Resource Clearing Results'!K53</f>
        <v>0</v>
      </c>
      <c r="L61" s="585">
        <f>'2ndIA Resource Clearing Results'!L53</f>
        <v>0</v>
      </c>
      <c r="M61" s="585">
        <f>'2ndIA Resource Clearing Results'!M53</f>
        <v>-78.89999999999999</v>
      </c>
      <c r="N61" s="297" t="s">
        <v>41</v>
      </c>
    </row>
    <row r="62" spans="1:14" s="2" customFormat="1" ht="15" customHeight="1">
      <c r="A62" s="296" t="s">
        <v>15</v>
      </c>
      <c r="B62" s="633"/>
      <c r="C62" s="633"/>
      <c r="D62" s="633"/>
      <c r="E62" s="633"/>
      <c r="F62" s="292">
        <f>'1stIA Resource Clearing Results'!J54</f>
        <v>-187.2</v>
      </c>
      <c r="G62" s="292">
        <f>'1stIA Resource Clearing Results'!K54</f>
        <v>0</v>
      </c>
      <c r="H62" s="292">
        <f>'1stIA Resource Clearing Results'!L54</f>
        <v>0</v>
      </c>
      <c r="I62" s="292">
        <f>'1stIA Resource Clearing Results'!M54</f>
        <v>-187.2</v>
      </c>
      <c r="J62" s="585">
        <f>'2ndIA Resource Clearing Results'!J54</f>
        <v>24.9</v>
      </c>
      <c r="K62" s="585">
        <f>'2ndIA Resource Clearing Results'!K54</f>
        <v>0</v>
      </c>
      <c r="L62" s="585">
        <f>'2ndIA Resource Clearing Results'!L54</f>
        <v>0</v>
      </c>
      <c r="M62" s="585">
        <f>'2ndIA Resource Clearing Results'!M54</f>
        <v>24.9</v>
      </c>
      <c r="N62" s="297" t="s">
        <v>15</v>
      </c>
    </row>
    <row r="63" spans="1:14" s="2" customFormat="1" ht="15" customHeight="1">
      <c r="A63" s="296" t="s">
        <v>49</v>
      </c>
      <c r="B63" s="633"/>
      <c r="C63" s="633"/>
      <c r="D63" s="633"/>
      <c r="E63" s="633"/>
      <c r="F63" s="292">
        <f>'1stIA Resource Clearing Results'!J55</f>
        <v>0</v>
      </c>
      <c r="G63" s="292">
        <f>'1stIA Resource Clearing Results'!K55</f>
        <v>0</v>
      </c>
      <c r="H63" s="292">
        <f>'1stIA Resource Clearing Results'!L55</f>
        <v>95.9</v>
      </c>
      <c r="I63" s="292">
        <f>'1stIA Resource Clearing Results'!M55</f>
        <v>95.9</v>
      </c>
      <c r="J63" s="585">
        <f>'2ndIA Resource Clearing Results'!J55</f>
        <v>-227.5</v>
      </c>
      <c r="K63" s="585">
        <f>'2ndIA Resource Clearing Results'!K55</f>
        <v>0</v>
      </c>
      <c r="L63" s="585">
        <f>'2ndIA Resource Clearing Results'!L55</f>
        <v>0</v>
      </c>
      <c r="M63" s="585">
        <f>'2ndIA Resource Clearing Results'!M55</f>
        <v>-227.5</v>
      </c>
      <c r="N63" s="297" t="s">
        <v>49</v>
      </c>
    </row>
    <row r="64" spans="1:14" s="2" customFormat="1" ht="15" customHeight="1">
      <c r="A64" s="277" t="s">
        <v>156</v>
      </c>
      <c r="B64" s="633"/>
      <c r="C64" s="633"/>
      <c r="D64" s="633"/>
      <c r="E64" s="633"/>
      <c r="F64" s="292">
        <f>'1stIA Resource Clearing Results'!J56</f>
        <v>0</v>
      </c>
      <c r="G64" s="292">
        <f>'1stIA Resource Clearing Results'!K56</f>
        <v>0</v>
      </c>
      <c r="H64" s="292">
        <f>'1stIA Resource Clearing Results'!L56</f>
        <v>0</v>
      </c>
      <c r="I64" s="292">
        <f>'1stIA Resource Clearing Results'!M56</f>
        <v>0</v>
      </c>
      <c r="J64" s="585">
        <f>'2ndIA Resource Clearing Results'!J56</f>
        <v>-236.1</v>
      </c>
      <c r="K64" s="585">
        <f>'2ndIA Resource Clearing Results'!K56</f>
        <v>0</v>
      </c>
      <c r="L64" s="585">
        <f>'2ndIA Resource Clearing Results'!L56</f>
        <v>0</v>
      </c>
      <c r="M64" s="585">
        <f>'2ndIA Resource Clearing Results'!M56</f>
        <v>-236.1</v>
      </c>
      <c r="N64" s="280" t="s">
        <v>156</v>
      </c>
    </row>
    <row r="65" spans="1:14" s="2" customFormat="1" ht="15" customHeight="1">
      <c r="A65" s="277" t="s">
        <v>20</v>
      </c>
      <c r="B65" s="633"/>
      <c r="C65" s="633"/>
      <c r="D65" s="633"/>
      <c r="E65" s="633"/>
      <c r="F65" s="292">
        <f>'1stIA Resource Clearing Results'!J57</f>
        <v>-999.7</v>
      </c>
      <c r="G65" s="292">
        <f>'1stIA Resource Clearing Results'!K57</f>
        <v>0</v>
      </c>
      <c r="H65" s="292">
        <f>'1stIA Resource Clearing Results'!L57</f>
        <v>0</v>
      </c>
      <c r="I65" s="292">
        <f>'1stIA Resource Clearing Results'!M57</f>
        <v>-999.7</v>
      </c>
      <c r="J65" s="585">
        <f>'2ndIA Resource Clearing Results'!J57</f>
        <v>-871.1999999999999</v>
      </c>
      <c r="K65" s="585">
        <f>'2ndIA Resource Clearing Results'!K57</f>
        <v>0</v>
      </c>
      <c r="L65" s="585">
        <f>'2ndIA Resource Clearing Results'!L57</f>
        <v>0</v>
      </c>
      <c r="M65" s="585">
        <f>'2ndIA Resource Clearing Results'!M57</f>
        <v>-871.1999999999999</v>
      </c>
      <c r="N65" s="280" t="s">
        <v>20</v>
      </c>
    </row>
    <row r="66" spans="1:14" s="2" customFormat="1" ht="15" customHeight="1">
      <c r="A66" s="277" t="s">
        <v>11</v>
      </c>
      <c r="B66" s="633"/>
      <c r="C66" s="633"/>
      <c r="D66" s="633"/>
      <c r="E66" s="633"/>
      <c r="F66" s="292">
        <f>'1stIA Resource Clearing Results'!J58</f>
        <v>-12.8</v>
      </c>
      <c r="G66" s="292">
        <f>'1stIA Resource Clearing Results'!K58</f>
        <v>0</v>
      </c>
      <c r="H66" s="292">
        <f>'1stIA Resource Clearing Results'!L58</f>
        <v>0</v>
      </c>
      <c r="I66" s="292">
        <f>'1stIA Resource Clearing Results'!M58</f>
        <v>-12.8</v>
      </c>
      <c r="J66" s="585">
        <f>'2ndIA Resource Clearing Results'!J58</f>
        <v>4.9</v>
      </c>
      <c r="K66" s="585">
        <f>'2ndIA Resource Clearing Results'!K58</f>
        <v>-69.5</v>
      </c>
      <c r="L66" s="585">
        <f>'2ndIA Resource Clearing Results'!L58</f>
        <v>0</v>
      </c>
      <c r="M66" s="585">
        <f>'2ndIA Resource Clearing Results'!M58</f>
        <v>-64.6</v>
      </c>
      <c r="N66" s="280" t="s">
        <v>11</v>
      </c>
    </row>
    <row r="67" spans="1:14" s="2" customFormat="1" ht="15" customHeight="1">
      <c r="A67" s="277" t="s">
        <v>10</v>
      </c>
      <c r="B67" s="633"/>
      <c r="C67" s="633"/>
      <c r="D67" s="633"/>
      <c r="E67" s="633"/>
      <c r="F67" s="292">
        <f>'1stIA Resource Clearing Results'!J59</f>
        <v>-430.1</v>
      </c>
      <c r="G67" s="292">
        <f>'1stIA Resource Clearing Results'!K59</f>
        <v>0</v>
      </c>
      <c r="H67" s="292">
        <f>'1stIA Resource Clearing Results'!L59</f>
        <v>0</v>
      </c>
      <c r="I67" s="292">
        <f>'1stIA Resource Clearing Results'!M59</f>
        <v>-430.1</v>
      </c>
      <c r="J67" s="585">
        <f>'2ndIA Resource Clearing Results'!J59</f>
        <v>1</v>
      </c>
      <c r="K67" s="585">
        <f>'2ndIA Resource Clearing Results'!K59</f>
        <v>0</v>
      </c>
      <c r="L67" s="585">
        <f>'2ndIA Resource Clearing Results'!L59</f>
        <v>0</v>
      </c>
      <c r="M67" s="585">
        <f>'2ndIA Resource Clearing Results'!M59</f>
        <v>1</v>
      </c>
      <c r="N67" s="280" t="s">
        <v>10</v>
      </c>
    </row>
    <row r="68" spans="1:14" s="2" customFormat="1" ht="15" customHeight="1">
      <c r="A68" s="272" t="s">
        <v>304</v>
      </c>
      <c r="B68" s="293"/>
      <c r="C68" s="293"/>
      <c r="D68" s="293"/>
      <c r="E68" s="293"/>
      <c r="F68" s="293"/>
      <c r="G68" s="293"/>
      <c r="H68" s="293"/>
      <c r="I68" s="293"/>
      <c r="J68" s="257"/>
      <c r="K68" s="257"/>
      <c r="L68" s="257"/>
      <c r="M68" s="257"/>
      <c r="N68" s="255"/>
    </row>
    <row r="69" spans="1:14" s="2" customFormat="1" ht="15" customHeight="1">
      <c r="A69" s="272" t="s">
        <v>305</v>
      </c>
      <c r="B69" s="293"/>
      <c r="C69" s="293"/>
      <c r="D69" s="293"/>
      <c r="E69" s="293"/>
      <c r="F69" s="293"/>
      <c r="G69" s="293"/>
      <c r="H69" s="293"/>
      <c r="I69" s="293"/>
      <c r="J69" s="257"/>
      <c r="K69" s="257"/>
      <c r="L69" s="257"/>
      <c r="M69" s="257"/>
      <c r="N69" s="255"/>
    </row>
    <row r="70" spans="1:14" s="2" customFormat="1" ht="15" customHeight="1">
      <c r="A70" s="274"/>
      <c r="B70" s="257"/>
      <c r="C70" s="257"/>
      <c r="D70" s="257"/>
      <c r="E70" s="257"/>
      <c r="F70" s="257"/>
      <c r="G70" s="257"/>
      <c r="H70" s="257"/>
      <c r="I70" s="257"/>
      <c r="J70" s="257"/>
      <c r="K70" s="257"/>
      <c r="L70" s="257"/>
      <c r="M70" s="257"/>
      <c r="N70" s="255"/>
    </row>
    <row r="71" spans="1:14" s="2" customFormat="1" ht="15" customHeight="1">
      <c r="A71" s="274" t="s">
        <v>150</v>
      </c>
      <c r="B71" s="257"/>
      <c r="C71" s="257"/>
      <c r="D71" s="257"/>
      <c r="E71" s="257"/>
      <c r="F71" s="257"/>
      <c r="G71" s="257"/>
      <c r="H71" s="257"/>
      <c r="I71" s="257"/>
      <c r="J71" s="257"/>
      <c r="K71" s="257"/>
      <c r="L71" s="257"/>
      <c r="M71" s="257"/>
      <c r="N71" s="255"/>
    </row>
    <row r="72" spans="1:19" ht="15" customHeight="1">
      <c r="A72" s="258"/>
      <c r="B72" s="610" t="s">
        <v>149</v>
      </c>
      <c r="C72" s="611"/>
      <c r="D72" s="611"/>
      <c r="E72" s="611"/>
      <c r="F72" s="611"/>
      <c r="G72" s="612"/>
      <c r="H72" s="613" t="s">
        <v>295</v>
      </c>
      <c r="I72" s="614"/>
      <c r="J72" s="614"/>
      <c r="K72" s="614"/>
      <c r="L72" s="614"/>
      <c r="M72" s="615"/>
      <c r="N72" s="616" t="s">
        <v>359</v>
      </c>
      <c r="O72" s="617"/>
      <c r="P72" s="617"/>
      <c r="Q72" s="617"/>
      <c r="R72" s="617"/>
      <c r="S72" s="618"/>
    </row>
    <row r="73" spans="1:20" ht="75" customHeight="1">
      <c r="A73" s="259" t="s">
        <v>7</v>
      </c>
      <c r="B73" s="260" t="s">
        <v>153</v>
      </c>
      <c r="C73" s="260" t="s">
        <v>154</v>
      </c>
      <c r="D73" s="260" t="s">
        <v>233</v>
      </c>
      <c r="E73" s="260" t="s">
        <v>232</v>
      </c>
      <c r="F73" s="260" t="s">
        <v>151</v>
      </c>
      <c r="G73" s="260" t="s">
        <v>236</v>
      </c>
      <c r="H73" s="261" t="s">
        <v>310</v>
      </c>
      <c r="I73" s="261" t="s">
        <v>311</v>
      </c>
      <c r="J73" s="261" t="s">
        <v>351</v>
      </c>
      <c r="K73" s="261" t="s">
        <v>232</v>
      </c>
      <c r="L73" s="261" t="s">
        <v>306</v>
      </c>
      <c r="M73" s="261" t="s">
        <v>236</v>
      </c>
      <c r="N73" s="579" t="s">
        <v>310</v>
      </c>
      <c r="O73" s="579" t="s">
        <v>311</v>
      </c>
      <c r="P73" s="579" t="s">
        <v>371</v>
      </c>
      <c r="Q73" s="579" t="s">
        <v>232</v>
      </c>
      <c r="R73" s="579" t="s">
        <v>306</v>
      </c>
      <c r="S73" s="579" t="s">
        <v>236</v>
      </c>
      <c r="T73" s="259" t="s">
        <v>7</v>
      </c>
    </row>
    <row r="74" spans="1:20" ht="15" customHeight="1">
      <c r="A74" s="262" t="s">
        <v>16</v>
      </c>
      <c r="B74" s="263">
        <f>'BRA Load Pricing Results'!K40</f>
        <v>3113.272525156919</v>
      </c>
      <c r="C74" s="264">
        <f>'BRA Load Pricing Results'!L40</f>
        <v>119.92389950467435</v>
      </c>
      <c r="D74" s="298">
        <f>'CP TIA Load Pricing Results'!C5</f>
        <v>27.69000445293052</v>
      </c>
      <c r="E74" s="298">
        <f>C74+D74</f>
        <v>147.61390395760486</v>
      </c>
      <c r="F74" s="299">
        <f>'BRA CTRs'!AA21</f>
        <v>0</v>
      </c>
      <c r="G74" s="300">
        <f aca="true" t="shared" si="0" ref="G74:G93">E74-F74</f>
        <v>147.61390395760486</v>
      </c>
      <c r="H74" s="265">
        <f>'1st IA Load Pricing Results'!K42</f>
        <v>2974.843512999722</v>
      </c>
      <c r="I74" s="266">
        <f>'1st IA Load Pricing Results'!L42</f>
        <v>120.71110133742307</v>
      </c>
      <c r="J74" s="301">
        <f>'CP TIA Load Pricing Results'!E5</f>
        <v>28.42148686184427</v>
      </c>
      <c r="K74" s="301">
        <f>I74+J74</f>
        <v>149.13258819926733</v>
      </c>
      <c r="L74" s="302">
        <f>'1st IA CTRs'!AA21</f>
        <v>0</v>
      </c>
      <c r="M74" s="303">
        <f>K74-L74</f>
        <v>149.13258819926733</v>
      </c>
      <c r="N74" s="580">
        <f>'2nd IA Load Pricing Results'!K42</f>
        <v>2820.7546909865755</v>
      </c>
      <c r="O74" s="581">
        <f>'2nd IA Load Pricing Results'!L42</f>
        <v>122.33080934061316</v>
      </c>
      <c r="P74" s="586">
        <f>'CP TIA Load Pricing Results'!G5</f>
        <v>29.04666221147064</v>
      </c>
      <c r="Q74" s="586">
        <f aca="true" t="shared" si="1" ref="Q74:Q85">O74+P74</f>
        <v>151.3774715520838</v>
      </c>
      <c r="R74" s="587">
        <f>'2nd IA CTRs'!AA21</f>
        <v>0</v>
      </c>
      <c r="S74" s="588">
        <f>Q74-R74</f>
        <v>151.3774715520838</v>
      </c>
      <c r="T74" s="267" t="s">
        <v>16</v>
      </c>
    </row>
    <row r="75" spans="1:20" ht="15" customHeight="1">
      <c r="A75" s="262" t="s">
        <v>166</v>
      </c>
      <c r="B75" s="263">
        <f>'BRA Load Pricing Results'!K41</f>
        <v>12798.867957732304</v>
      </c>
      <c r="C75" s="264">
        <f>'BRA Load Pricing Results'!L41</f>
        <v>119.81030111063517</v>
      </c>
      <c r="D75" s="298">
        <f>'CP TIA Load Pricing Results'!C6</f>
        <v>27.69000445293052</v>
      </c>
      <c r="E75" s="298">
        <f>C75+D75</f>
        <v>147.5003055635657</v>
      </c>
      <c r="F75" s="299">
        <f>'BRA CTRs'!AA22</f>
        <v>0</v>
      </c>
      <c r="G75" s="300">
        <f t="shared" si="0"/>
        <v>147.5003055635657</v>
      </c>
      <c r="H75" s="265">
        <f>'1st IA Load Pricing Results'!K43</f>
        <v>12607.200380453687</v>
      </c>
      <c r="I75" s="266">
        <f>'1st IA Load Pricing Results'!L43</f>
        <v>120.59375719349583</v>
      </c>
      <c r="J75" s="301">
        <f>'CP TIA Load Pricing Results'!E6</f>
        <v>28.42148686184427</v>
      </c>
      <c r="K75" s="301">
        <f>I75+J75</f>
        <v>149.0152440553401</v>
      </c>
      <c r="L75" s="302">
        <f>'1st IA CTRs'!AA22</f>
        <v>0</v>
      </c>
      <c r="M75" s="303">
        <f>K75-L75</f>
        <v>149.0152440553401</v>
      </c>
      <c r="N75" s="580">
        <f>'2nd IA Load Pricing Results'!K43</f>
        <v>12242.974757918559</v>
      </c>
      <c r="O75" s="581">
        <f>'2nd IA Load Pricing Results'!L43</f>
        <v>122.21125395143612</v>
      </c>
      <c r="P75" s="586">
        <f>'CP TIA Load Pricing Results'!G6</f>
        <v>29.04666221147064</v>
      </c>
      <c r="Q75" s="586">
        <f t="shared" si="1"/>
        <v>151.25791616290675</v>
      </c>
      <c r="R75" s="587">
        <f>'2nd IA CTRs'!AA22</f>
        <v>0</v>
      </c>
      <c r="S75" s="588">
        <f>Q75-R75</f>
        <v>151.25791616290675</v>
      </c>
      <c r="T75" s="267" t="s">
        <v>166</v>
      </c>
    </row>
    <row r="76" spans="1:20" ht="15" customHeight="1">
      <c r="A76" s="262" t="s">
        <v>19</v>
      </c>
      <c r="B76" s="263">
        <f>'BRA Load Pricing Results'!K42</f>
        <v>10008.888143604483</v>
      </c>
      <c r="C76" s="264">
        <f>'BRA Load Pricing Results'!L42</f>
        <v>119.81030111063517</v>
      </c>
      <c r="D76" s="298">
        <f>'CP TIA Load Pricing Results'!C7</f>
        <v>27.69000445293052</v>
      </c>
      <c r="E76" s="298">
        <f>C76+D76</f>
        <v>147.5003055635657</v>
      </c>
      <c r="F76" s="299">
        <f>'BRA CTRs'!AA23</f>
        <v>0</v>
      </c>
      <c r="G76" s="300">
        <f t="shared" si="0"/>
        <v>147.5003055635657</v>
      </c>
      <c r="H76" s="265">
        <f>'1st IA Load Pricing Results'!K44</f>
        <v>9795.18708435402</v>
      </c>
      <c r="I76" s="266">
        <f>'1st IA Load Pricing Results'!L44</f>
        <v>120.59375719349583</v>
      </c>
      <c r="J76" s="301">
        <f>'CP TIA Load Pricing Results'!E7</f>
        <v>28.42148686184427</v>
      </c>
      <c r="K76" s="301">
        <f>I76+J76</f>
        <v>149.0152440553401</v>
      </c>
      <c r="L76" s="302">
        <f>'1st IA CTRs'!AA23</f>
        <v>0</v>
      </c>
      <c r="M76" s="303">
        <f>K76-L76</f>
        <v>149.0152440553401</v>
      </c>
      <c r="N76" s="580">
        <f>'2nd IA Load Pricing Results'!K44</f>
        <v>10029.166684317071</v>
      </c>
      <c r="O76" s="581">
        <f>'2nd IA Load Pricing Results'!L44</f>
        <v>122.21125395143612</v>
      </c>
      <c r="P76" s="586">
        <f>'CP TIA Load Pricing Results'!G7</f>
        <v>29.04666221147064</v>
      </c>
      <c r="Q76" s="586">
        <f t="shared" si="1"/>
        <v>151.25791616290675</v>
      </c>
      <c r="R76" s="587">
        <f>'2nd IA CTRs'!AA23</f>
        <v>0</v>
      </c>
      <c r="S76" s="588">
        <f>Q76-R76</f>
        <v>151.25791616290675</v>
      </c>
      <c r="T76" s="267" t="s">
        <v>19</v>
      </c>
    </row>
    <row r="77" spans="1:20" ht="15" customHeight="1">
      <c r="A77" s="262" t="s">
        <v>49</v>
      </c>
      <c r="B77" s="263">
        <f>'BRA Load Pricing Results'!K43</f>
        <v>14811.252526046535</v>
      </c>
      <c r="C77" s="264">
        <f>'BRA Load Pricing Results'!L43</f>
        <v>119.81030111063517</v>
      </c>
      <c r="D77" s="298">
        <f>'CP TIA Load Pricing Results'!C8</f>
        <v>27.69000445293052</v>
      </c>
      <c r="E77" s="298">
        <f>C77+D77</f>
        <v>147.5003055635657</v>
      </c>
      <c r="F77" s="299">
        <f>'BRA CTRs'!AA24</f>
        <v>0</v>
      </c>
      <c r="G77" s="300">
        <f t="shared" si="0"/>
        <v>147.5003055635657</v>
      </c>
      <c r="H77" s="265">
        <f>'1st IA Load Pricing Results'!K45</f>
        <v>14649.389110589247</v>
      </c>
      <c r="I77" s="266">
        <f>'1st IA Load Pricing Results'!L45</f>
        <v>120.59375719349583</v>
      </c>
      <c r="J77" s="301">
        <f>'CP TIA Load Pricing Results'!E8</f>
        <v>28.42148686184427</v>
      </c>
      <c r="K77" s="301">
        <f>I77+J77</f>
        <v>149.0152440553401</v>
      </c>
      <c r="L77" s="302">
        <f>'1st IA CTRs'!AA24</f>
        <v>0</v>
      </c>
      <c r="M77" s="303">
        <f aca="true" t="shared" si="2" ref="M77:M93">K77-L77</f>
        <v>149.0152440553401</v>
      </c>
      <c r="N77" s="580">
        <f>'2nd IA Load Pricing Results'!K45</f>
        <v>14395.203817047668</v>
      </c>
      <c r="O77" s="581">
        <f>'2nd IA Load Pricing Results'!L45</f>
        <v>122.21125395143612</v>
      </c>
      <c r="P77" s="586">
        <f>'CP TIA Load Pricing Results'!G8</f>
        <v>29.04666221147064</v>
      </c>
      <c r="Q77" s="586">
        <f t="shared" si="1"/>
        <v>151.25791616290675</v>
      </c>
      <c r="R77" s="587">
        <f>'2nd IA CTRs'!AA24</f>
        <v>0</v>
      </c>
      <c r="S77" s="588">
        <f aca="true" t="shared" si="3" ref="S77:S93">Q77-R77</f>
        <v>151.25791616290675</v>
      </c>
      <c r="T77" s="267" t="s">
        <v>49</v>
      </c>
    </row>
    <row r="78" spans="1:20" ht="15" customHeight="1">
      <c r="A78" s="262" t="s">
        <v>11</v>
      </c>
      <c r="B78" s="263">
        <f>'BRA Load Pricing Results'!K44</f>
        <v>8209.98267361381</v>
      </c>
      <c r="C78" s="264">
        <f>'BRA Load Pricing Results'!L44</f>
        <v>119.92389950467435</v>
      </c>
      <c r="D78" s="298">
        <f>'CP TIA Load Pricing Results'!C9</f>
        <v>27.69000445293052</v>
      </c>
      <c r="E78" s="298">
        <f>C78+D78</f>
        <v>147.61390395760486</v>
      </c>
      <c r="F78" s="299">
        <f>'BRA CTRs'!AA25</f>
        <v>0</v>
      </c>
      <c r="G78" s="300">
        <f t="shared" si="0"/>
        <v>147.61390395760486</v>
      </c>
      <c r="H78" s="265">
        <f>'1st IA Load Pricing Results'!K46</f>
        <v>7967.111882312114</v>
      </c>
      <c r="I78" s="266">
        <f>'1st IA Load Pricing Results'!L46</f>
        <v>120.71110133742307</v>
      </c>
      <c r="J78" s="301">
        <f>'CP TIA Load Pricing Results'!E9</f>
        <v>28.42148686184427</v>
      </c>
      <c r="K78" s="301">
        <f>I78+J78</f>
        <v>149.13258819926733</v>
      </c>
      <c r="L78" s="302">
        <f>'1st IA CTRs'!AA25</f>
        <v>0</v>
      </c>
      <c r="M78" s="303">
        <f t="shared" si="2"/>
        <v>149.13258819926733</v>
      </c>
      <c r="N78" s="580">
        <f>'2nd IA Load Pricing Results'!K46</f>
        <v>7752.559600808843</v>
      </c>
      <c r="O78" s="581">
        <f>'2nd IA Load Pricing Results'!L46</f>
        <v>122.33080934061316</v>
      </c>
      <c r="P78" s="586">
        <f>'CP TIA Load Pricing Results'!G9</f>
        <v>29.04666221147064</v>
      </c>
      <c r="Q78" s="586">
        <f t="shared" si="1"/>
        <v>151.3774715520838</v>
      </c>
      <c r="R78" s="587">
        <f>'2nd IA CTRs'!AA25</f>
        <v>0</v>
      </c>
      <c r="S78" s="588">
        <f t="shared" si="3"/>
        <v>151.3774715520838</v>
      </c>
      <c r="T78" s="267" t="s">
        <v>11</v>
      </c>
    </row>
    <row r="79" spans="1:20" ht="15" customHeight="1">
      <c r="A79" s="262" t="s">
        <v>190</v>
      </c>
      <c r="B79" s="263">
        <f>'BRA Load Pricing Results'!K45</f>
        <v>26115.82457357292</v>
      </c>
      <c r="C79" s="264">
        <f>'BRA Load Pricing Results'!L45</f>
        <v>119.81030111063517</v>
      </c>
      <c r="D79" s="298">
        <f>'CP TIA Load Pricing Results'!C10</f>
        <v>27.69000445293052</v>
      </c>
      <c r="E79" s="298">
        <f aca="true" t="shared" si="4" ref="E79:E92">C79+D79</f>
        <v>147.5003055635657</v>
      </c>
      <c r="F79" s="299">
        <f>'BRA CTRs'!AA26</f>
        <v>0</v>
      </c>
      <c r="G79" s="300">
        <f t="shared" si="0"/>
        <v>147.5003055635657</v>
      </c>
      <c r="H79" s="265">
        <f>'1st IA Load Pricing Results'!K47</f>
        <v>25385.735320086413</v>
      </c>
      <c r="I79" s="266">
        <f>'1st IA Load Pricing Results'!L47</f>
        <v>120.59375719349583</v>
      </c>
      <c r="J79" s="301">
        <f>'CP TIA Load Pricing Results'!E10</f>
        <v>28.42148686184427</v>
      </c>
      <c r="K79" s="301">
        <f aca="true" t="shared" si="5" ref="K79:K92">I79+J79</f>
        <v>149.0152440553401</v>
      </c>
      <c r="L79" s="302">
        <f>'1st IA CTRs'!AA26</f>
        <v>0</v>
      </c>
      <c r="M79" s="303">
        <f t="shared" si="2"/>
        <v>149.0152440553401</v>
      </c>
      <c r="N79" s="580">
        <f>'2nd IA Load Pricing Results'!K47</f>
        <v>24365.3256484031</v>
      </c>
      <c r="O79" s="581">
        <f>'2nd IA Load Pricing Results'!L47</f>
        <v>122.21125395143612</v>
      </c>
      <c r="P79" s="586">
        <f>'CP TIA Load Pricing Results'!G10</f>
        <v>29.04666221147064</v>
      </c>
      <c r="Q79" s="586">
        <f t="shared" si="1"/>
        <v>151.25791616290675</v>
      </c>
      <c r="R79" s="587">
        <f>'2nd IA CTRs'!AA26</f>
        <v>0</v>
      </c>
      <c r="S79" s="588">
        <f t="shared" si="3"/>
        <v>151.25791616290675</v>
      </c>
      <c r="T79" s="267" t="s">
        <v>190</v>
      </c>
    </row>
    <row r="80" spans="1:20" ht="15" customHeight="1">
      <c r="A80" s="262" t="s">
        <v>21</v>
      </c>
      <c r="B80" s="263">
        <f>'BRA Load Pricing Results'!K46</f>
        <v>3965.743147499886</v>
      </c>
      <c r="C80" s="264">
        <f>'BRA Load Pricing Results'!L46</f>
        <v>119.81030111063517</v>
      </c>
      <c r="D80" s="298">
        <f>'CP TIA Load Pricing Results'!C11</f>
        <v>27.69000445293052</v>
      </c>
      <c r="E80" s="298">
        <f t="shared" si="4"/>
        <v>147.5003055635657</v>
      </c>
      <c r="F80" s="299">
        <f>'BRA CTRs'!AA27</f>
        <v>0</v>
      </c>
      <c r="G80" s="300">
        <f t="shared" si="0"/>
        <v>147.5003055635657</v>
      </c>
      <c r="H80" s="265">
        <f>'1st IA Load Pricing Results'!K48</f>
        <v>3933.5884536810645</v>
      </c>
      <c r="I80" s="266">
        <f>'1st IA Load Pricing Results'!L48</f>
        <v>120.59375719349583</v>
      </c>
      <c r="J80" s="301">
        <f>'CP TIA Load Pricing Results'!E11</f>
        <v>28.42148686184427</v>
      </c>
      <c r="K80" s="301">
        <f t="shared" si="5"/>
        <v>149.0152440553401</v>
      </c>
      <c r="L80" s="302">
        <f>'1st IA CTRs'!AA27</f>
        <v>0</v>
      </c>
      <c r="M80" s="303">
        <f t="shared" si="2"/>
        <v>149.0152440553401</v>
      </c>
      <c r="N80" s="580">
        <f>'2nd IA Load Pricing Results'!K48</f>
        <v>3781.059595144259</v>
      </c>
      <c r="O80" s="581">
        <f>'2nd IA Load Pricing Results'!L48</f>
        <v>122.21125395143612</v>
      </c>
      <c r="P80" s="586">
        <f>'CP TIA Load Pricing Results'!G11</f>
        <v>29.04666221147064</v>
      </c>
      <c r="Q80" s="586">
        <f t="shared" si="1"/>
        <v>151.25791616290675</v>
      </c>
      <c r="R80" s="587">
        <f>'2nd IA CTRs'!AA27</f>
        <v>0</v>
      </c>
      <c r="S80" s="588">
        <f t="shared" si="3"/>
        <v>151.25791616290675</v>
      </c>
      <c r="T80" s="267" t="s">
        <v>21</v>
      </c>
    </row>
    <row r="81" spans="1:20" ht="15" customHeight="1">
      <c r="A81" s="262" t="s">
        <v>167</v>
      </c>
      <c r="B81" s="263">
        <f>'BRA Load Pricing Results'!K47</f>
        <v>5241.711205676533</v>
      </c>
      <c r="C81" s="264">
        <f>'BRA Load Pricing Results'!L47</f>
        <v>119.81030111063517</v>
      </c>
      <c r="D81" s="298">
        <f>'CP TIA Load Pricing Results'!C12</f>
        <v>27.69000445293052</v>
      </c>
      <c r="E81" s="298">
        <f t="shared" si="4"/>
        <v>147.5003055635657</v>
      </c>
      <c r="F81" s="299">
        <f>'BRA CTRs'!AA28</f>
        <v>0</v>
      </c>
      <c r="G81" s="300">
        <f t="shared" si="0"/>
        <v>147.5003055635657</v>
      </c>
      <c r="H81" s="265">
        <f>'1st IA Load Pricing Results'!K49</f>
        <v>5136.392550085434</v>
      </c>
      <c r="I81" s="266">
        <f>'1st IA Load Pricing Results'!L49</f>
        <v>120.59375719349583</v>
      </c>
      <c r="J81" s="301">
        <f>'CP TIA Load Pricing Results'!E12</f>
        <v>28.42148686184427</v>
      </c>
      <c r="K81" s="301">
        <f t="shared" si="5"/>
        <v>149.0152440553401</v>
      </c>
      <c r="L81" s="302">
        <f>'1st IA CTRs'!AA28</f>
        <v>0</v>
      </c>
      <c r="M81" s="303">
        <f t="shared" si="2"/>
        <v>149.0152440553401</v>
      </c>
      <c r="N81" s="580">
        <f>'2nd IA Load Pricing Results'!K49</f>
        <v>5108.714808238884</v>
      </c>
      <c r="O81" s="581">
        <f>'2nd IA Load Pricing Results'!L49</f>
        <v>122.21125395143612</v>
      </c>
      <c r="P81" s="586">
        <f>'CP TIA Load Pricing Results'!G12</f>
        <v>29.04666221147064</v>
      </c>
      <c r="Q81" s="586">
        <f t="shared" si="1"/>
        <v>151.25791616290675</v>
      </c>
      <c r="R81" s="587">
        <f>'2nd IA CTRs'!AA28</f>
        <v>0</v>
      </c>
      <c r="S81" s="588">
        <f t="shared" si="3"/>
        <v>151.25791616290675</v>
      </c>
      <c r="T81" s="267" t="s">
        <v>167</v>
      </c>
    </row>
    <row r="82" spans="1:20" ht="15" customHeight="1">
      <c r="A82" s="262" t="s">
        <v>48</v>
      </c>
      <c r="B82" s="263">
        <f>'BRA Load Pricing Results'!K48</f>
        <v>3369.1269217698155</v>
      </c>
      <c r="C82" s="264">
        <f>'BRA Load Pricing Results'!L48</f>
        <v>119.81030111063517</v>
      </c>
      <c r="D82" s="298">
        <f>'CP TIA Load Pricing Results'!C13</f>
        <v>27.69000445293052</v>
      </c>
      <c r="E82" s="298">
        <f t="shared" si="4"/>
        <v>147.5003055635657</v>
      </c>
      <c r="F82" s="299">
        <f>'BRA CTRs'!AA29</f>
        <v>0</v>
      </c>
      <c r="G82" s="300">
        <f t="shared" si="0"/>
        <v>147.5003055635657</v>
      </c>
      <c r="H82" s="265">
        <f>'1st IA Load Pricing Results'!K50</f>
        <v>3284.6083497893605</v>
      </c>
      <c r="I82" s="266">
        <f>'1st IA Load Pricing Results'!L50</f>
        <v>120.59375719349583</v>
      </c>
      <c r="J82" s="301">
        <f>'CP TIA Load Pricing Results'!E13</f>
        <v>28.42148686184427</v>
      </c>
      <c r="K82" s="301">
        <f t="shared" si="5"/>
        <v>149.0152440553401</v>
      </c>
      <c r="L82" s="302">
        <f>'1st IA CTRs'!AA29</f>
        <v>0</v>
      </c>
      <c r="M82" s="303">
        <f t="shared" si="2"/>
        <v>149.0152440553401</v>
      </c>
      <c r="N82" s="580">
        <f>'2nd IA Load Pricing Results'!K50</f>
        <v>3226.833211573333</v>
      </c>
      <c r="O82" s="581">
        <f>'2nd IA Load Pricing Results'!L50</f>
        <v>122.21125395143612</v>
      </c>
      <c r="P82" s="586">
        <f>'CP TIA Load Pricing Results'!G13</f>
        <v>29.04666221147064</v>
      </c>
      <c r="Q82" s="586">
        <f t="shared" si="1"/>
        <v>151.25791616290675</v>
      </c>
      <c r="R82" s="587">
        <f>'2nd IA CTRs'!AA29</f>
        <v>0</v>
      </c>
      <c r="S82" s="588">
        <f t="shared" si="3"/>
        <v>151.25791616290675</v>
      </c>
      <c r="T82" s="267" t="s">
        <v>48</v>
      </c>
    </row>
    <row r="83" spans="1:20" ht="15" customHeight="1">
      <c r="A83" s="262" t="s">
        <v>32</v>
      </c>
      <c r="B83" s="263">
        <f>'BRA Load Pricing Results'!K49</f>
        <v>23749.174920997037</v>
      </c>
      <c r="C83" s="264">
        <f>'BRA Load Pricing Results'!L49</f>
        <v>119.81030111063517</v>
      </c>
      <c r="D83" s="298">
        <f>'CP TIA Load Pricing Results'!C14</f>
        <v>27.69000445293052</v>
      </c>
      <c r="E83" s="298">
        <f t="shared" si="4"/>
        <v>147.5003055635657</v>
      </c>
      <c r="F83" s="299">
        <f>'BRA CTRs'!AA30</f>
        <v>0</v>
      </c>
      <c r="G83" s="300">
        <f t="shared" si="0"/>
        <v>147.5003055635657</v>
      </c>
      <c r="H83" s="265">
        <f>'1st IA Load Pricing Results'!K51</f>
        <v>22944.2699482933</v>
      </c>
      <c r="I83" s="266">
        <f>'1st IA Load Pricing Results'!L51</f>
        <v>120.59375719349583</v>
      </c>
      <c r="J83" s="301">
        <f>'CP TIA Load Pricing Results'!E14</f>
        <v>28.42148686184427</v>
      </c>
      <c r="K83" s="301">
        <f t="shared" si="5"/>
        <v>149.0152440553401</v>
      </c>
      <c r="L83" s="302">
        <f>'1st IA CTRs'!AA30</f>
        <v>0</v>
      </c>
      <c r="M83" s="303">
        <f t="shared" si="2"/>
        <v>149.0152440553401</v>
      </c>
      <c r="N83" s="580">
        <f>'2nd IA Load Pricing Results'!K51</f>
        <v>22334.474361078985</v>
      </c>
      <c r="O83" s="581">
        <f>'2nd IA Load Pricing Results'!L51</f>
        <v>122.21125395143612</v>
      </c>
      <c r="P83" s="586">
        <f>'CP TIA Load Pricing Results'!G14</f>
        <v>29.04666221147064</v>
      </c>
      <c r="Q83" s="586">
        <f t="shared" si="1"/>
        <v>151.25791616290675</v>
      </c>
      <c r="R83" s="587">
        <f>'2nd IA CTRs'!AA30</f>
        <v>0</v>
      </c>
      <c r="S83" s="588">
        <f t="shared" si="3"/>
        <v>151.25791616290675</v>
      </c>
      <c r="T83" s="267" t="s">
        <v>32</v>
      </c>
    </row>
    <row r="84" spans="1:20" ht="15" customHeight="1">
      <c r="A84" s="262" t="s">
        <v>17</v>
      </c>
      <c r="B84" s="263">
        <f>'BRA Load Pricing Results'!K50</f>
        <v>4736.702634638746</v>
      </c>
      <c r="C84" s="264">
        <f>'BRA Load Pricing Results'!L50</f>
        <v>119.92389950467435</v>
      </c>
      <c r="D84" s="298">
        <f>'CP TIA Load Pricing Results'!C15</f>
        <v>27.69000445293052</v>
      </c>
      <c r="E84" s="298">
        <f t="shared" si="4"/>
        <v>147.61390395760486</v>
      </c>
      <c r="F84" s="299">
        <f>'BRA CTRs'!AA31</f>
        <v>0</v>
      </c>
      <c r="G84" s="300">
        <f t="shared" si="0"/>
        <v>147.61390395760486</v>
      </c>
      <c r="H84" s="265">
        <f>'1st IA Load Pricing Results'!K52</f>
        <v>4686.057593250512</v>
      </c>
      <c r="I84" s="266">
        <f>'1st IA Load Pricing Results'!L52</f>
        <v>120.71110133742307</v>
      </c>
      <c r="J84" s="301">
        <f>'CP TIA Load Pricing Results'!E15</f>
        <v>28.42148686184427</v>
      </c>
      <c r="K84" s="301">
        <f t="shared" si="5"/>
        <v>149.13258819926733</v>
      </c>
      <c r="L84" s="302">
        <f>'1st IA CTRs'!AA31</f>
        <v>0</v>
      </c>
      <c r="M84" s="303">
        <f t="shared" si="2"/>
        <v>149.13258819926733</v>
      </c>
      <c r="N84" s="580">
        <f>'2nd IA Load Pricing Results'!K52</f>
        <v>4476.480218318749</v>
      </c>
      <c r="O84" s="581">
        <f>'2nd IA Load Pricing Results'!L52</f>
        <v>122.33080934061316</v>
      </c>
      <c r="P84" s="586">
        <f>'CP TIA Load Pricing Results'!G15</f>
        <v>29.04666221147064</v>
      </c>
      <c r="Q84" s="586">
        <f t="shared" si="1"/>
        <v>151.3774715520838</v>
      </c>
      <c r="R84" s="587">
        <f>'2nd IA CTRs'!AA31</f>
        <v>0</v>
      </c>
      <c r="S84" s="588">
        <f t="shared" si="3"/>
        <v>151.3774715520838</v>
      </c>
      <c r="T84" s="267" t="s">
        <v>17</v>
      </c>
    </row>
    <row r="85" spans="1:20" ht="15" customHeight="1">
      <c r="A85" s="262" t="s">
        <v>168</v>
      </c>
      <c r="B85" s="263">
        <f>'BRA Load Pricing Results'!K51</f>
        <v>2405.3455855396014</v>
      </c>
      <c r="C85" s="264">
        <f>'BRA Load Pricing Results'!L51</f>
        <v>119.81030111063517</v>
      </c>
      <c r="D85" s="298">
        <f>'CP TIA Load Pricing Results'!C16</f>
        <v>27.69000445293052</v>
      </c>
      <c r="E85" s="298">
        <f t="shared" si="4"/>
        <v>147.5003055635657</v>
      </c>
      <c r="F85" s="299">
        <f>'BRA CTRs'!AA32</f>
        <v>0</v>
      </c>
      <c r="G85" s="300">
        <f t="shared" si="0"/>
        <v>147.5003055635657</v>
      </c>
      <c r="H85" s="265">
        <f>'1st IA Load Pricing Results'!K53</f>
        <v>2517.0224440713105</v>
      </c>
      <c r="I85" s="266">
        <f>'1st IA Load Pricing Results'!L53</f>
        <v>120.59375719349583</v>
      </c>
      <c r="J85" s="301">
        <f>'CP TIA Load Pricing Results'!E16</f>
        <v>28.42148686184427</v>
      </c>
      <c r="K85" s="301">
        <f>I85+J85</f>
        <v>149.0152440553401</v>
      </c>
      <c r="L85" s="302">
        <f>'1st IA CTRs'!AA32</f>
        <v>0</v>
      </c>
      <c r="M85" s="303">
        <f t="shared" si="2"/>
        <v>149.0152440553401</v>
      </c>
      <c r="N85" s="580">
        <f>'2nd IA Load Pricing Results'!K53</f>
        <v>2410.627135424294</v>
      </c>
      <c r="O85" s="581">
        <f>'2nd IA Load Pricing Results'!L53</f>
        <v>122.21125395143612</v>
      </c>
      <c r="P85" s="586">
        <f>'CP TIA Load Pricing Results'!G16</f>
        <v>29.04666221147064</v>
      </c>
      <c r="Q85" s="586">
        <f t="shared" si="1"/>
        <v>151.25791616290675</v>
      </c>
      <c r="R85" s="587">
        <f>'2nd IA CTRs'!AA32</f>
        <v>0</v>
      </c>
      <c r="S85" s="588">
        <f t="shared" si="3"/>
        <v>151.25791616290675</v>
      </c>
      <c r="T85" s="267" t="s">
        <v>168</v>
      </c>
    </row>
    <row r="86" spans="1:20" ht="15" customHeight="1">
      <c r="A86" s="262" t="s">
        <v>12</v>
      </c>
      <c r="B86" s="263">
        <f>'BRA Load Pricing Results'!K52</f>
        <v>7210.339168263425</v>
      </c>
      <c r="C86" s="264">
        <f>'BRA Load Pricing Results'!L52</f>
        <v>119.92389950467435</v>
      </c>
      <c r="D86" s="298">
        <f>'CP TIA Load Pricing Results'!C17</f>
        <v>27.69000445293052</v>
      </c>
      <c r="E86" s="298">
        <f t="shared" si="4"/>
        <v>147.61390395760486</v>
      </c>
      <c r="F86" s="299">
        <f>'BRA CTRs'!AA33</f>
        <v>0</v>
      </c>
      <c r="G86" s="300">
        <f t="shared" si="0"/>
        <v>147.61390395760486</v>
      </c>
      <c r="H86" s="265">
        <f>'1st IA Load Pricing Results'!K54</f>
        <v>7024.441639985411</v>
      </c>
      <c r="I86" s="266">
        <f>'1st IA Load Pricing Results'!L54</f>
        <v>120.71110133742307</v>
      </c>
      <c r="J86" s="301">
        <f>'CP TIA Load Pricing Results'!E17</f>
        <v>28.42148686184427</v>
      </c>
      <c r="K86" s="301">
        <f t="shared" si="5"/>
        <v>149.13258819926733</v>
      </c>
      <c r="L86" s="302">
        <f>'1st IA CTRs'!AA33</f>
        <v>0</v>
      </c>
      <c r="M86" s="303">
        <f t="shared" si="2"/>
        <v>149.13258819926733</v>
      </c>
      <c r="N86" s="580">
        <f>'2nd IA Load Pricing Results'!K54</f>
        <v>6719.653093352197</v>
      </c>
      <c r="O86" s="581">
        <f>'2nd IA Load Pricing Results'!L54</f>
        <v>122.33080934061316</v>
      </c>
      <c r="P86" s="586">
        <f>'CP TIA Load Pricing Results'!G17</f>
        <v>29.04666221147064</v>
      </c>
      <c r="Q86" s="586">
        <f aca="true" t="shared" si="6" ref="Q86:Q92">O86+P86</f>
        <v>151.3774715520838</v>
      </c>
      <c r="R86" s="587">
        <f>'2nd IA CTRs'!AA33</f>
        <v>0</v>
      </c>
      <c r="S86" s="588">
        <f t="shared" si="3"/>
        <v>151.3774715520838</v>
      </c>
      <c r="T86" s="267" t="s">
        <v>12</v>
      </c>
    </row>
    <row r="87" spans="1:20" ht="15" customHeight="1">
      <c r="A87" s="262" t="s">
        <v>13</v>
      </c>
      <c r="B87" s="263">
        <f>'BRA Load Pricing Results'!K53</f>
        <v>3465.3553452746646</v>
      </c>
      <c r="C87" s="264">
        <f>'BRA Load Pricing Results'!L53</f>
        <v>119.92389950467435</v>
      </c>
      <c r="D87" s="298">
        <f>'CP TIA Load Pricing Results'!C18</f>
        <v>27.69000445293052</v>
      </c>
      <c r="E87" s="298">
        <f t="shared" si="4"/>
        <v>147.61390395760486</v>
      </c>
      <c r="F87" s="299">
        <f>'BRA CTRs'!AA34</f>
        <v>0</v>
      </c>
      <c r="G87" s="300">
        <f t="shared" si="0"/>
        <v>147.61390395760486</v>
      </c>
      <c r="H87" s="265">
        <f>'1st IA Load Pricing Results'!K55</f>
        <v>3320.952227276978</v>
      </c>
      <c r="I87" s="266">
        <f>'1st IA Load Pricing Results'!L55</f>
        <v>120.71110133742307</v>
      </c>
      <c r="J87" s="301">
        <f>'CP TIA Load Pricing Results'!E18</f>
        <v>28.42148686184427</v>
      </c>
      <c r="K87" s="301">
        <f t="shared" si="5"/>
        <v>149.13258819926733</v>
      </c>
      <c r="L87" s="302">
        <f>'1st IA CTRs'!AA34</f>
        <v>0</v>
      </c>
      <c r="M87" s="303">
        <f t="shared" si="2"/>
        <v>149.13258819926733</v>
      </c>
      <c r="N87" s="580">
        <f>'2nd IA Load Pricing Results'!K55</f>
        <v>3296.4246624486236</v>
      </c>
      <c r="O87" s="581">
        <f>'2nd IA Load Pricing Results'!L55</f>
        <v>122.33080934061316</v>
      </c>
      <c r="P87" s="586">
        <f>'CP TIA Load Pricing Results'!G18</f>
        <v>29.04666221147064</v>
      </c>
      <c r="Q87" s="586">
        <f t="shared" si="6"/>
        <v>151.3774715520838</v>
      </c>
      <c r="R87" s="587">
        <f>'2nd IA CTRs'!AA34</f>
        <v>0</v>
      </c>
      <c r="S87" s="588">
        <f t="shared" si="3"/>
        <v>151.3774715520838</v>
      </c>
      <c r="T87" s="267" t="s">
        <v>13</v>
      </c>
    </row>
    <row r="88" spans="1:20" ht="15" customHeight="1">
      <c r="A88" s="262" t="s">
        <v>9</v>
      </c>
      <c r="B88" s="263">
        <f>'BRA Load Pricing Results'!K54</f>
        <v>10054.17210760676</v>
      </c>
      <c r="C88" s="264">
        <f>'BRA Load Pricing Results'!L54</f>
        <v>119.92389950467435</v>
      </c>
      <c r="D88" s="298">
        <f>'CP TIA Load Pricing Results'!C19</f>
        <v>27.69000445293052</v>
      </c>
      <c r="E88" s="298">
        <f t="shared" si="4"/>
        <v>147.61390395760486</v>
      </c>
      <c r="F88" s="299">
        <f>'BRA CTRs'!AA35</f>
        <v>0</v>
      </c>
      <c r="G88" s="300">
        <f t="shared" si="0"/>
        <v>147.61390395760486</v>
      </c>
      <c r="H88" s="265">
        <f>'1st IA Load Pricing Results'!K56</f>
        <v>9695.933459096252</v>
      </c>
      <c r="I88" s="266">
        <f>'1st IA Load Pricing Results'!L56</f>
        <v>120.71110133742307</v>
      </c>
      <c r="J88" s="301">
        <f>'CP TIA Load Pricing Results'!E19</f>
        <v>28.42148686184427</v>
      </c>
      <c r="K88" s="301">
        <f t="shared" si="5"/>
        <v>149.13258819926733</v>
      </c>
      <c r="L88" s="302">
        <f>'1st IA CTRs'!AA35</f>
        <v>0</v>
      </c>
      <c r="M88" s="303">
        <f t="shared" si="2"/>
        <v>149.13258819926733</v>
      </c>
      <c r="N88" s="580">
        <f>'2nd IA Load Pricing Results'!K56</f>
        <v>9651.313531246924</v>
      </c>
      <c r="O88" s="581">
        <f>'2nd IA Load Pricing Results'!L56</f>
        <v>122.33080934061316</v>
      </c>
      <c r="P88" s="586">
        <f>'CP TIA Load Pricing Results'!G19</f>
        <v>29.04666221147064</v>
      </c>
      <c r="Q88" s="586">
        <f t="shared" si="6"/>
        <v>151.3774715520838</v>
      </c>
      <c r="R88" s="587">
        <f>'2nd IA CTRs'!AA35</f>
        <v>0</v>
      </c>
      <c r="S88" s="588">
        <f t="shared" si="3"/>
        <v>151.3774715520838</v>
      </c>
      <c r="T88" s="267" t="s">
        <v>9</v>
      </c>
    </row>
    <row r="89" spans="1:20" ht="15" customHeight="1">
      <c r="A89" s="262" t="s">
        <v>14</v>
      </c>
      <c r="B89" s="263">
        <f>'BRA Load Pricing Results'!K55</f>
        <v>3424.599777672611</v>
      </c>
      <c r="C89" s="264">
        <f>'BRA Load Pricing Results'!L55</f>
        <v>119.92389950467435</v>
      </c>
      <c r="D89" s="298">
        <f>'CP TIA Load Pricing Results'!C20</f>
        <v>27.69000445293052</v>
      </c>
      <c r="E89" s="298">
        <f t="shared" si="4"/>
        <v>147.61390395760486</v>
      </c>
      <c r="F89" s="299">
        <f>'BRA CTRs'!AA36</f>
        <v>0</v>
      </c>
      <c r="G89" s="300">
        <f t="shared" si="0"/>
        <v>147.61390395760486</v>
      </c>
      <c r="H89" s="265">
        <f>'1st IA Load Pricing Results'!K57</f>
        <v>3284.5655972255167</v>
      </c>
      <c r="I89" s="266">
        <f>'1st IA Load Pricing Results'!L57</f>
        <v>120.71110133742307</v>
      </c>
      <c r="J89" s="301">
        <f>'CP TIA Load Pricing Results'!E20</f>
        <v>28.42148686184427</v>
      </c>
      <c r="K89" s="301">
        <f t="shared" si="5"/>
        <v>149.13258819926733</v>
      </c>
      <c r="L89" s="302">
        <f>'1st IA CTRs'!AA36</f>
        <v>0</v>
      </c>
      <c r="M89" s="303">
        <f t="shared" si="2"/>
        <v>149.13258819926733</v>
      </c>
      <c r="N89" s="580">
        <f>'2nd IA Load Pricing Results'!K57</f>
        <v>3202.6289960023983</v>
      </c>
      <c r="O89" s="581">
        <f>'2nd IA Load Pricing Results'!L57</f>
        <v>122.33080934061316</v>
      </c>
      <c r="P89" s="586">
        <f>'CP TIA Load Pricing Results'!G20</f>
        <v>29.04666221147064</v>
      </c>
      <c r="Q89" s="586">
        <f t="shared" si="6"/>
        <v>151.3774715520838</v>
      </c>
      <c r="R89" s="587">
        <f>'2nd IA CTRs'!AA36</f>
        <v>0</v>
      </c>
      <c r="S89" s="588">
        <f t="shared" si="3"/>
        <v>151.3774715520838</v>
      </c>
      <c r="T89" s="267" t="s">
        <v>14</v>
      </c>
    </row>
    <row r="90" spans="1:20" ht="15" customHeight="1">
      <c r="A90" s="262" t="s">
        <v>15</v>
      </c>
      <c r="B90" s="263">
        <f>'BRA Load Pricing Results'!K56</f>
        <v>7617.8948442839655</v>
      </c>
      <c r="C90" s="264">
        <f>'BRA Load Pricing Results'!L56</f>
        <v>119.92389950467435</v>
      </c>
      <c r="D90" s="298">
        <f>'CP TIA Load Pricing Results'!C21</f>
        <v>27.69000445293052</v>
      </c>
      <c r="E90" s="298">
        <f t="shared" si="4"/>
        <v>147.61390395760486</v>
      </c>
      <c r="F90" s="299">
        <f>'BRA CTRs'!AA37</f>
        <v>0</v>
      </c>
      <c r="G90" s="300">
        <f t="shared" si="0"/>
        <v>147.61390395760486</v>
      </c>
      <c r="H90" s="265">
        <f>'1st IA Load Pricing Results'!K58</f>
        <v>7343.807093497027</v>
      </c>
      <c r="I90" s="266">
        <f>'1st IA Load Pricing Results'!L58</f>
        <v>120.71110133742307</v>
      </c>
      <c r="J90" s="301">
        <f>'CP TIA Load Pricing Results'!E21</f>
        <v>28.42148686184427</v>
      </c>
      <c r="K90" s="301">
        <f t="shared" si="5"/>
        <v>149.13258819926733</v>
      </c>
      <c r="L90" s="302">
        <f>'1st IA CTRs'!AA37</f>
        <v>0</v>
      </c>
      <c r="M90" s="303">
        <f t="shared" si="2"/>
        <v>149.13258819926733</v>
      </c>
      <c r="N90" s="580">
        <f>'2nd IA Load Pricing Results'!K58</f>
        <v>7308.654830404778</v>
      </c>
      <c r="O90" s="581">
        <f>'2nd IA Load Pricing Results'!L58</f>
        <v>122.33080934061316</v>
      </c>
      <c r="P90" s="586">
        <f>'CP TIA Load Pricing Results'!G21</f>
        <v>29.04666221147064</v>
      </c>
      <c r="Q90" s="586">
        <f t="shared" si="6"/>
        <v>151.3774715520838</v>
      </c>
      <c r="R90" s="587">
        <f>'2nd IA CTRs'!AA37</f>
        <v>0</v>
      </c>
      <c r="S90" s="588">
        <f t="shared" si="3"/>
        <v>151.3774715520838</v>
      </c>
      <c r="T90" s="267" t="s">
        <v>15</v>
      </c>
    </row>
    <row r="91" spans="1:20" ht="15" customHeight="1">
      <c r="A91" s="262" t="s">
        <v>10</v>
      </c>
      <c r="B91" s="263">
        <f>'BRA Load Pricing Results'!K57</f>
        <v>8509.98893512893</v>
      </c>
      <c r="C91" s="264">
        <f>'BRA Load Pricing Results'!L57</f>
        <v>118.17930264172026</v>
      </c>
      <c r="D91" s="298">
        <f>'CP TIA Load Pricing Results'!C22</f>
        <v>27.69000445293052</v>
      </c>
      <c r="E91" s="298">
        <f t="shared" si="4"/>
        <v>145.86930709465076</v>
      </c>
      <c r="F91" s="299">
        <f>'BRA CTRs'!AA38</f>
        <v>0</v>
      </c>
      <c r="G91" s="300">
        <f t="shared" si="0"/>
        <v>145.86930709465076</v>
      </c>
      <c r="H91" s="265">
        <f>'1st IA Load Pricing Results'!K59</f>
        <v>8227.66471470988</v>
      </c>
      <c r="I91" s="266">
        <f>'1st IA Load Pricing Results'!L59</f>
        <v>118.9066403494277</v>
      </c>
      <c r="J91" s="301">
        <f>'CP TIA Load Pricing Results'!E22</f>
        <v>28.42148686184427</v>
      </c>
      <c r="K91" s="301">
        <f t="shared" si="5"/>
        <v>147.32812721127198</v>
      </c>
      <c r="L91" s="302">
        <f>'1st IA CTRs'!AA38</f>
        <v>0</v>
      </c>
      <c r="M91" s="303">
        <f t="shared" si="2"/>
        <v>147.32812721127198</v>
      </c>
      <c r="N91" s="580">
        <f>'2nd IA Load Pricing Results'!K59</f>
        <v>8266.122841885903</v>
      </c>
      <c r="O91" s="581">
        <f>'2nd IA Load Pricing Results'!L59</f>
        <v>120.53474360532427</v>
      </c>
      <c r="P91" s="586">
        <f>'CP TIA Load Pricing Results'!G22</f>
        <v>29.04666221147064</v>
      </c>
      <c r="Q91" s="586">
        <f t="shared" si="6"/>
        <v>149.5814058167949</v>
      </c>
      <c r="R91" s="587">
        <f>'2nd IA CTRs'!AA38</f>
        <v>0</v>
      </c>
      <c r="S91" s="588">
        <f t="shared" si="3"/>
        <v>149.5814058167949</v>
      </c>
      <c r="T91" s="267" t="s">
        <v>10</v>
      </c>
    </row>
    <row r="92" spans="1:20" ht="15" customHeight="1">
      <c r="A92" s="262" t="s">
        <v>8</v>
      </c>
      <c r="B92" s="263">
        <f>'BRA Load Pricing Results'!K58</f>
        <v>11853.077577597434</v>
      </c>
      <c r="C92" s="264">
        <f>'BRA Load Pricing Results'!L58</f>
        <v>214.92389950467435</v>
      </c>
      <c r="D92" s="298">
        <f>'CP TIA Load Pricing Results'!C23</f>
        <v>27.69000445293052</v>
      </c>
      <c r="E92" s="298">
        <f t="shared" si="4"/>
        <v>242.61390395760486</v>
      </c>
      <c r="F92" s="299">
        <f>'BRA CTRs'!AA39</f>
        <v>39.71532733003149</v>
      </c>
      <c r="G92" s="300">
        <f t="shared" si="0"/>
        <v>202.89857662757336</v>
      </c>
      <c r="H92" s="265">
        <f>'1st IA Load Pricing Results'!K60</f>
        <v>11480.620335310241</v>
      </c>
      <c r="I92" s="266">
        <f>'1st IA Load Pricing Results'!L60</f>
        <v>215.66355083732503</v>
      </c>
      <c r="J92" s="301">
        <f>'CP TIA Load Pricing Results'!E23</f>
        <v>28.42148686184427</v>
      </c>
      <c r="K92" s="301">
        <f t="shared" si="5"/>
        <v>244.0850376991693</v>
      </c>
      <c r="L92" s="302">
        <f>'1st IA CTRs'!AA39</f>
        <v>38.30841595943766</v>
      </c>
      <c r="M92" s="303">
        <f t="shared" si="2"/>
        <v>205.77662173973164</v>
      </c>
      <c r="N92" s="580">
        <f>'2nd IA Load Pricing Results'!K60</f>
        <v>11295.937098013199</v>
      </c>
      <c r="O92" s="581">
        <f>'2nd IA Load Pricing Results'!L60</f>
        <v>216.76667889107964</v>
      </c>
      <c r="P92" s="586">
        <f>'CP TIA Load Pricing Results'!G23</f>
        <v>29.04666221147064</v>
      </c>
      <c r="Q92" s="586">
        <f t="shared" si="6"/>
        <v>245.81334110255028</v>
      </c>
      <c r="R92" s="587">
        <f>'2nd IA CTRs'!AA39</f>
        <v>39.50304014979985</v>
      </c>
      <c r="S92" s="588">
        <f>Q92-R92</f>
        <v>206.31030095275042</v>
      </c>
      <c r="T92" s="267" t="s">
        <v>8</v>
      </c>
    </row>
    <row r="93" spans="1:20" ht="15" customHeight="1">
      <c r="A93" s="262" t="s">
        <v>18</v>
      </c>
      <c r="B93" s="263">
        <f>'BRA Load Pricing Results'!K59</f>
        <v>467.55692832356635</v>
      </c>
      <c r="C93" s="264">
        <f>'BRA Load Pricing Results'!L59</f>
        <v>119.92389950467435</v>
      </c>
      <c r="D93" s="298">
        <f>'CP TIA Load Pricing Results'!C24</f>
        <v>27.69000445293052</v>
      </c>
      <c r="E93" s="298">
        <f>C93+D93</f>
        <v>147.61390395760486</v>
      </c>
      <c r="F93" s="299">
        <f>'BRA CTRs'!AA40</f>
        <v>0</v>
      </c>
      <c r="G93" s="300">
        <f t="shared" si="0"/>
        <v>147.61390395760486</v>
      </c>
      <c r="H93" s="265">
        <f>'1st IA Load Pricing Results'!K61</f>
        <v>465.1503029324666</v>
      </c>
      <c r="I93" s="266">
        <f>'1st IA Load Pricing Results'!L61</f>
        <v>120.71110133742307</v>
      </c>
      <c r="J93" s="301">
        <f>'CP TIA Load Pricing Results'!E24</f>
        <v>28.42148686184427</v>
      </c>
      <c r="K93" s="301">
        <f>I93+J93</f>
        <v>149.13258819926733</v>
      </c>
      <c r="L93" s="302">
        <f>'1st IA CTRs'!AA40</f>
        <v>0</v>
      </c>
      <c r="M93" s="303">
        <f t="shared" si="2"/>
        <v>149.13258819926733</v>
      </c>
      <c r="N93" s="580">
        <f>'2nd IA Load Pricing Results'!K61</f>
        <v>451.19691738562506</v>
      </c>
      <c r="O93" s="581">
        <f>'2nd IA Load Pricing Results'!L61</f>
        <v>122.33080934061316</v>
      </c>
      <c r="P93" s="586">
        <f>'CP TIA Load Pricing Results'!G24</f>
        <v>29.04666221147064</v>
      </c>
      <c r="Q93" s="586">
        <f>O93+P93</f>
        <v>151.3774715520838</v>
      </c>
      <c r="R93" s="587">
        <f>'2nd IA CTRs'!AA40</f>
        <v>0</v>
      </c>
      <c r="S93" s="588">
        <f t="shared" si="3"/>
        <v>151.3774715520838</v>
      </c>
      <c r="T93" s="267" t="s">
        <v>18</v>
      </c>
    </row>
    <row r="94" spans="1:19" ht="15" customHeight="1">
      <c r="A94" s="304" t="s">
        <v>54</v>
      </c>
      <c r="B94" s="305">
        <f>SUM(B74:B93)</f>
        <v>171128.87749999994</v>
      </c>
      <c r="C94" s="268"/>
      <c r="D94" s="268"/>
      <c r="E94" s="268"/>
      <c r="F94" s="268"/>
      <c r="G94" s="268"/>
      <c r="H94" s="306">
        <f>SUM(H74:H93)</f>
        <v>166724.5419999999</v>
      </c>
      <c r="I94" s="268"/>
      <c r="J94" s="268"/>
      <c r="K94" s="268"/>
      <c r="L94" s="268"/>
      <c r="M94" s="268"/>
      <c r="N94" s="589">
        <f>SUM(N74:N93)</f>
        <v>163136.1065</v>
      </c>
      <c r="O94" s="268"/>
      <c r="P94" s="268"/>
      <c r="Q94" s="268"/>
      <c r="R94" s="268"/>
      <c r="S94" s="268"/>
    </row>
    <row r="95" spans="1:20" ht="15" customHeight="1">
      <c r="A95" s="625" t="s">
        <v>378</v>
      </c>
      <c r="B95" s="626"/>
      <c r="C95" s="626"/>
      <c r="D95" s="626"/>
      <c r="E95" s="626"/>
      <c r="F95" s="626"/>
      <c r="G95" s="626"/>
      <c r="H95" s="626"/>
      <c r="I95" s="626"/>
      <c r="J95" s="626"/>
      <c r="K95" s="626"/>
      <c r="L95" s="626"/>
      <c r="M95" s="626"/>
      <c r="N95" s="626"/>
      <c r="O95" s="252"/>
      <c r="P95" s="252"/>
      <c r="Q95" s="252"/>
      <c r="R95" s="252"/>
      <c r="S95" s="252"/>
      <c r="T95" s="252"/>
    </row>
    <row r="96" spans="1:20" ht="12.75" customHeight="1">
      <c r="A96" s="625" t="s">
        <v>237</v>
      </c>
      <c r="B96" s="626"/>
      <c r="C96" s="626"/>
      <c r="D96" s="626"/>
      <c r="E96" s="626"/>
      <c r="F96" s="626"/>
      <c r="G96" s="626"/>
      <c r="H96" s="626"/>
      <c r="I96" s="626"/>
      <c r="J96" s="626"/>
      <c r="K96" s="626"/>
      <c r="L96" s="626"/>
      <c r="M96" s="626"/>
      <c r="N96" s="626"/>
      <c r="O96" s="252"/>
      <c r="P96" s="252"/>
      <c r="Q96" s="252"/>
      <c r="R96" s="252"/>
      <c r="S96" s="252"/>
      <c r="T96" s="252"/>
    </row>
    <row r="97" spans="1:14" ht="13.5">
      <c r="A97" s="625" t="s">
        <v>314</v>
      </c>
      <c r="B97" s="626"/>
      <c r="C97" s="626"/>
      <c r="D97" s="626"/>
      <c r="E97" s="626"/>
      <c r="F97" s="626"/>
      <c r="G97" s="626"/>
      <c r="H97" s="626"/>
      <c r="I97" s="626"/>
      <c r="J97" s="626"/>
      <c r="K97" s="626"/>
      <c r="L97" s="626"/>
      <c r="M97" s="626"/>
      <c r="N97" s="626"/>
    </row>
    <row r="98" spans="1:14" ht="13.5">
      <c r="A98" s="625" t="s">
        <v>379</v>
      </c>
      <c r="B98" s="626"/>
      <c r="C98" s="626"/>
      <c r="D98" s="626"/>
      <c r="E98" s="626"/>
      <c r="F98" s="626"/>
      <c r="G98" s="626"/>
      <c r="H98" s="626"/>
      <c r="I98" s="626"/>
      <c r="J98" s="626"/>
      <c r="K98" s="626"/>
      <c r="L98" s="626"/>
      <c r="M98" s="626"/>
      <c r="N98" s="626"/>
    </row>
    <row r="99" spans="1:14" ht="13.5">
      <c r="A99" s="631" t="s">
        <v>313</v>
      </c>
      <c r="B99" s="632"/>
      <c r="C99" s="632"/>
      <c r="D99" s="632"/>
      <c r="E99" s="632"/>
      <c r="F99" s="632"/>
      <c r="G99" s="632"/>
      <c r="H99" s="632"/>
      <c r="I99" s="632"/>
      <c r="J99" s="632"/>
      <c r="K99" s="632"/>
      <c r="L99" s="632"/>
      <c r="M99" s="632"/>
      <c r="N99" s="632"/>
    </row>
  </sheetData>
  <sheetProtection/>
  <mergeCells count="27">
    <mergeCell ref="A98:N98"/>
    <mergeCell ref="B4:D4"/>
    <mergeCell ref="E4:G4"/>
    <mergeCell ref="A99:N99"/>
    <mergeCell ref="A97:N97"/>
    <mergeCell ref="A96:N96"/>
    <mergeCell ref="B5:D5"/>
    <mergeCell ref="E5:G5"/>
    <mergeCell ref="B53:E67"/>
    <mergeCell ref="H72:M72"/>
    <mergeCell ref="A1:G1"/>
    <mergeCell ref="B72:G72"/>
    <mergeCell ref="F28:I28"/>
    <mergeCell ref="B27:E27"/>
    <mergeCell ref="F27:I27"/>
    <mergeCell ref="A95:N95"/>
    <mergeCell ref="F52:I52"/>
    <mergeCell ref="F53:I53"/>
    <mergeCell ref="B28:E28"/>
    <mergeCell ref="B52:E52"/>
    <mergeCell ref="N72:S72"/>
    <mergeCell ref="H4:J4"/>
    <mergeCell ref="H5:J5"/>
    <mergeCell ref="J27:M27"/>
    <mergeCell ref="J28:M28"/>
    <mergeCell ref="J52:M52"/>
    <mergeCell ref="J53:M53"/>
  </mergeCells>
  <printOptions/>
  <pageMargins left="0.7" right="0.7" top="0.75" bottom="0.75" header="0.3" footer="0.3"/>
  <pageSetup fitToHeight="1" fitToWidth="1" horizontalDpi="600" verticalDpi="600" orientation="portrait" paperSize="17" scale="54"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9.140625" defaultRowHeight="12.75"/>
  <cols>
    <col min="1" max="1" width="50.7109375" style="0" customWidth="1"/>
    <col min="2" max="7" width="20.7109375" style="0" customWidth="1"/>
  </cols>
  <sheetData>
    <row r="1" spans="1:5" ht="18">
      <c r="A1" s="307" t="s">
        <v>322</v>
      </c>
      <c r="B1" s="308"/>
      <c r="C1" s="255"/>
      <c r="D1" s="255"/>
      <c r="E1" s="255"/>
    </row>
    <row r="2" spans="1:5" ht="14.25">
      <c r="A2" s="308"/>
      <c r="B2" s="308"/>
      <c r="C2" s="255"/>
      <c r="D2" s="255"/>
      <c r="E2" s="255"/>
    </row>
    <row r="3" spans="1:5" ht="14.25">
      <c r="A3" s="308"/>
      <c r="B3" s="308"/>
      <c r="C3" s="255"/>
      <c r="D3" s="255"/>
      <c r="E3" s="255"/>
    </row>
    <row r="4" spans="1:7" ht="60" customHeight="1">
      <c r="A4" s="259" t="s">
        <v>7</v>
      </c>
      <c r="B4" s="260" t="s">
        <v>234</v>
      </c>
      <c r="C4" s="260" t="s">
        <v>352</v>
      </c>
      <c r="D4" s="261" t="s">
        <v>312</v>
      </c>
      <c r="E4" s="261" t="s">
        <v>353</v>
      </c>
      <c r="F4" s="579" t="s">
        <v>360</v>
      </c>
      <c r="G4" s="579" t="s">
        <v>361</v>
      </c>
    </row>
    <row r="5" spans="1:7" ht="15" customHeight="1">
      <c r="A5" s="309" t="s">
        <v>16</v>
      </c>
      <c r="B5" s="263">
        <f>Summary!B74</f>
        <v>3113.272525156919</v>
      </c>
      <c r="C5" s="310">
        <f aca="true" t="shared" si="0" ref="C5:C26">$B$27</f>
        <v>27.69000445293052</v>
      </c>
      <c r="D5" s="265">
        <f>Summary!H74</f>
        <v>2974.843512999722</v>
      </c>
      <c r="E5" s="311">
        <f aca="true" t="shared" si="1" ref="E5:E26">$D$27</f>
        <v>28.42148686184427</v>
      </c>
      <c r="F5" s="580">
        <f>Summary!N74</f>
        <v>2820.7546909865755</v>
      </c>
      <c r="G5" s="590">
        <f>$F$27</f>
        <v>29.04666221147064</v>
      </c>
    </row>
    <row r="6" spans="1:7" ht="15" customHeight="1">
      <c r="A6" s="309" t="s">
        <v>31</v>
      </c>
      <c r="B6" s="263">
        <f>Summary!B75</f>
        <v>12798.867957732304</v>
      </c>
      <c r="C6" s="310">
        <f t="shared" si="0"/>
        <v>27.69000445293052</v>
      </c>
      <c r="D6" s="265">
        <f>Summary!H75</f>
        <v>12607.200380453687</v>
      </c>
      <c r="E6" s="311">
        <f t="shared" si="1"/>
        <v>28.42148686184427</v>
      </c>
      <c r="F6" s="580">
        <f>Summary!N75</f>
        <v>12242.974757918559</v>
      </c>
      <c r="G6" s="590">
        <f aca="true" t="shared" si="2" ref="G6:G26">$F$27</f>
        <v>29.04666221147064</v>
      </c>
    </row>
    <row r="7" spans="1:7" ht="15" customHeight="1">
      <c r="A7" s="309" t="s">
        <v>19</v>
      </c>
      <c r="B7" s="263">
        <f>Summary!B76</f>
        <v>10008.888143604483</v>
      </c>
      <c r="C7" s="310">
        <f t="shared" si="0"/>
        <v>27.69000445293052</v>
      </c>
      <c r="D7" s="265">
        <f>Summary!H76</f>
        <v>9795.18708435402</v>
      </c>
      <c r="E7" s="311">
        <f t="shared" si="1"/>
        <v>28.42148686184427</v>
      </c>
      <c r="F7" s="580">
        <f>Summary!N76</f>
        <v>10029.166684317071</v>
      </c>
      <c r="G7" s="590">
        <f t="shared" si="2"/>
        <v>29.04666221147064</v>
      </c>
    </row>
    <row r="8" spans="1:7" ht="15" customHeight="1">
      <c r="A8" s="309" t="s">
        <v>49</v>
      </c>
      <c r="B8" s="263">
        <f>Summary!B77</f>
        <v>14811.252526046535</v>
      </c>
      <c r="C8" s="310">
        <f t="shared" si="0"/>
        <v>27.69000445293052</v>
      </c>
      <c r="D8" s="265">
        <f>Summary!H77</f>
        <v>14649.389110589247</v>
      </c>
      <c r="E8" s="311">
        <f t="shared" si="1"/>
        <v>28.42148686184427</v>
      </c>
      <c r="F8" s="580">
        <f>Summary!N77</f>
        <v>14395.203817047668</v>
      </c>
      <c r="G8" s="590">
        <f t="shared" si="2"/>
        <v>29.04666221147064</v>
      </c>
    </row>
    <row r="9" spans="1:7" ht="15" customHeight="1">
      <c r="A9" s="309" t="s">
        <v>11</v>
      </c>
      <c r="B9" s="263">
        <f>Summary!B78</f>
        <v>8209.98267361381</v>
      </c>
      <c r="C9" s="310">
        <f t="shared" si="0"/>
        <v>27.69000445293052</v>
      </c>
      <c r="D9" s="265">
        <f>Summary!H78</f>
        <v>7967.111882312114</v>
      </c>
      <c r="E9" s="311">
        <f t="shared" si="1"/>
        <v>28.42148686184427</v>
      </c>
      <c r="F9" s="580">
        <f>Summary!N78</f>
        <v>7752.559600808843</v>
      </c>
      <c r="G9" s="590">
        <f t="shared" si="2"/>
        <v>29.04666221147064</v>
      </c>
    </row>
    <row r="10" spans="1:7" ht="15" customHeight="1">
      <c r="A10" s="309" t="s">
        <v>20</v>
      </c>
      <c r="B10" s="263">
        <f>Summary!B79</f>
        <v>26115.82457357292</v>
      </c>
      <c r="C10" s="310">
        <f t="shared" si="0"/>
        <v>27.69000445293052</v>
      </c>
      <c r="D10" s="265">
        <f>Summary!H79</f>
        <v>25385.735320086413</v>
      </c>
      <c r="E10" s="311">
        <f t="shared" si="1"/>
        <v>28.42148686184427</v>
      </c>
      <c r="F10" s="580">
        <f>Summary!N79</f>
        <v>24365.3256484031</v>
      </c>
      <c r="G10" s="590">
        <f t="shared" si="2"/>
        <v>29.04666221147064</v>
      </c>
    </row>
    <row r="11" spans="1:7" ht="15" customHeight="1">
      <c r="A11" s="309" t="s">
        <v>21</v>
      </c>
      <c r="B11" s="263">
        <f>Summary!B80</f>
        <v>3965.743147499886</v>
      </c>
      <c r="C11" s="310">
        <f t="shared" si="0"/>
        <v>27.69000445293052</v>
      </c>
      <c r="D11" s="265">
        <f>Summary!H80</f>
        <v>3933.5884536810645</v>
      </c>
      <c r="E11" s="311">
        <f t="shared" si="1"/>
        <v>28.42148686184427</v>
      </c>
      <c r="F11" s="580">
        <f>Summary!N80</f>
        <v>3781.059595144259</v>
      </c>
      <c r="G11" s="590">
        <f t="shared" si="2"/>
        <v>29.04666221147064</v>
      </c>
    </row>
    <row r="12" spans="1:7" ht="15" customHeight="1">
      <c r="A12" s="309" t="s">
        <v>63</v>
      </c>
      <c r="B12" s="263">
        <f>Summary!B81</f>
        <v>5241.711205676533</v>
      </c>
      <c r="C12" s="310">
        <f t="shared" si="0"/>
        <v>27.69000445293052</v>
      </c>
      <c r="D12" s="265">
        <f>Summary!H81</f>
        <v>5136.392550085434</v>
      </c>
      <c r="E12" s="311">
        <f t="shared" si="1"/>
        <v>28.42148686184427</v>
      </c>
      <c r="F12" s="580">
        <f>Summary!N81</f>
        <v>5108.714808238884</v>
      </c>
      <c r="G12" s="590">
        <f t="shared" si="2"/>
        <v>29.04666221147064</v>
      </c>
    </row>
    <row r="13" spans="1:7" ht="15" customHeight="1">
      <c r="A13" s="309" t="s">
        <v>48</v>
      </c>
      <c r="B13" s="263">
        <f>Summary!B82</f>
        <v>3369.1269217698155</v>
      </c>
      <c r="C13" s="310">
        <f t="shared" si="0"/>
        <v>27.69000445293052</v>
      </c>
      <c r="D13" s="265">
        <f>Summary!H82</f>
        <v>3284.6083497893605</v>
      </c>
      <c r="E13" s="311">
        <f t="shared" si="1"/>
        <v>28.42148686184427</v>
      </c>
      <c r="F13" s="580">
        <f>Summary!N82</f>
        <v>3226.833211573333</v>
      </c>
      <c r="G13" s="590">
        <f t="shared" si="2"/>
        <v>29.04666221147064</v>
      </c>
    </row>
    <row r="14" spans="1:7" ht="15" customHeight="1">
      <c r="A14" s="309" t="s">
        <v>32</v>
      </c>
      <c r="B14" s="263">
        <f>Summary!B83</f>
        <v>23749.174920997037</v>
      </c>
      <c r="C14" s="310">
        <f t="shared" si="0"/>
        <v>27.69000445293052</v>
      </c>
      <c r="D14" s="265">
        <f>Summary!H83</f>
        <v>22944.2699482933</v>
      </c>
      <c r="E14" s="311">
        <f t="shared" si="1"/>
        <v>28.42148686184427</v>
      </c>
      <c r="F14" s="580">
        <f>Summary!N83</f>
        <v>22334.474361078985</v>
      </c>
      <c r="G14" s="590">
        <f t="shared" si="2"/>
        <v>29.04666221147064</v>
      </c>
    </row>
    <row r="15" spans="1:7" ht="15" customHeight="1">
      <c r="A15" s="309" t="s">
        <v>17</v>
      </c>
      <c r="B15" s="263">
        <f>Summary!B84</f>
        <v>4736.702634638746</v>
      </c>
      <c r="C15" s="310">
        <f t="shared" si="0"/>
        <v>27.69000445293052</v>
      </c>
      <c r="D15" s="265">
        <f>Summary!H84</f>
        <v>4686.057593250512</v>
      </c>
      <c r="E15" s="311">
        <f t="shared" si="1"/>
        <v>28.42148686184427</v>
      </c>
      <c r="F15" s="580">
        <f>Summary!N84</f>
        <v>4476.480218318749</v>
      </c>
      <c r="G15" s="590">
        <f t="shared" si="2"/>
        <v>29.04666221147064</v>
      </c>
    </row>
    <row r="16" spans="1:7" ht="15" customHeight="1">
      <c r="A16" s="309" t="s">
        <v>160</v>
      </c>
      <c r="B16" s="263">
        <f>Summary!B85</f>
        <v>2405.3455855396014</v>
      </c>
      <c r="C16" s="310">
        <f t="shared" si="0"/>
        <v>27.69000445293052</v>
      </c>
      <c r="D16" s="265">
        <f>Summary!H85</f>
        <v>2517.0224440713105</v>
      </c>
      <c r="E16" s="311">
        <f t="shared" si="1"/>
        <v>28.42148686184427</v>
      </c>
      <c r="F16" s="580">
        <f>Summary!N85</f>
        <v>2410.627135424294</v>
      </c>
      <c r="G16" s="590">
        <f t="shared" si="2"/>
        <v>29.04666221147064</v>
      </c>
    </row>
    <row r="17" spans="1:7" ht="15" customHeight="1">
      <c r="A17" s="309" t="s">
        <v>12</v>
      </c>
      <c r="B17" s="263">
        <f>Summary!B86</f>
        <v>7210.339168263425</v>
      </c>
      <c r="C17" s="310">
        <f t="shared" si="0"/>
        <v>27.69000445293052</v>
      </c>
      <c r="D17" s="265">
        <f>Summary!H86</f>
        <v>7024.441639985411</v>
      </c>
      <c r="E17" s="311">
        <f t="shared" si="1"/>
        <v>28.42148686184427</v>
      </c>
      <c r="F17" s="580">
        <f>Summary!N86</f>
        <v>6719.653093352197</v>
      </c>
      <c r="G17" s="590">
        <f t="shared" si="2"/>
        <v>29.04666221147064</v>
      </c>
    </row>
    <row r="18" spans="1:7" ht="15" customHeight="1">
      <c r="A18" s="309" t="s">
        <v>13</v>
      </c>
      <c r="B18" s="263">
        <f>Summary!B87</f>
        <v>3465.3553452746646</v>
      </c>
      <c r="C18" s="310">
        <f t="shared" si="0"/>
        <v>27.69000445293052</v>
      </c>
      <c r="D18" s="265">
        <f>Summary!H87</f>
        <v>3320.952227276978</v>
      </c>
      <c r="E18" s="311">
        <f t="shared" si="1"/>
        <v>28.42148686184427</v>
      </c>
      <c r="F18" s="580">
        <f>Summary!N87</f>
        <v>3296.4246624486236</v>
      </c>
      <c r="G18" s="590">
        <f t="shared" si="2"/>
        <v>29.04666221147064</v>
      </c>
    </row>
    <row r="19" spans="1:7" ht="15" customHeight="1">
      <c r="A19" s="309" t="s">
        <v>9</v>
      </c>
      <c r="B19" s="263">
        <f>Summary!B88</f>
        <v>10054.17210760676</v>
      </c>
      <c r="C19" s="310">
        <f t="shared" si="0"/>
        <v>27.69000445293052</v>
      </c>
      <c r="D19" s="265">
        <f>Summary!H88</f>
        <v>9695.933459096252</v>
      </c>
      <c r="E19" s="311">
        <f t="shared" si="1"/>
        <v>28.42148686184427</v>
      </c>
      <c r="F19" s="580">
        <f>Summary!N88</f>
        <v>9651.313531246924</v>
      </c>
      <c r="G19" s="590">
        <f t="shared" si="2"/>
        <v>29.04666221147064</v>
      </c>
    </row>
    <row r="20" spans="1:7" ht="15" customHeight="1">
      <c r="A20" s="309" t="s">
        <v>14</v>
      </c>
      <c r="B20" s="263">
        <f>Summary!B89</f>
        <v>3424.599777672611</v>
      </c>
      <c r="C20" s="310">
        <f t="shared" si="0"/>
        <v>27.69000445293052</v>
      </c>
      <c r="D20" s="265">
        <f>Summary!H89</f>
        <v>3284.5655972255167</v>
      </c>
      <c r="E20" s="311">
        <f t="shared" si="1"/>
        <v>28.42148686184427</v>
      </c>
      <c r="F20" s="580">
        <f>Summary!N89</f>
        <v>3202.6289960023983</v>
      </c>
      <c r="G20" s="590">
        <f t="shared" si="2"/>
        <v>29.04666221147064</v>
      </c>
    </row>
    <row r="21" spans="1:7" ht="15" customHeight="1">
      <c r="A21" s="309" t="s">
        <v>15</v>
      </c>
      <c r="B21" s="263">
        <f>Summary!B90</f>
        <v>7617.8948442839655</v>
      </c>
      <c r="C21" s="310">
        <f t="shared" si="0"/>
        <v>27.69000445293052</v>
      </c>
      <c r="D21" s="265">
        <f>Summary!H90</f>
        <v>7343.807093497027</v>
      </c>
      <c r="E21" s="311">
        <f t="shared" si="1"/>
        <v>28.42148686184427</v>
      </c>
      <c r="F21" s="580">
        <f>Summary!N90</f>
        <v>7308.654830404778</v>
      </c>
      <c r="G21" s="590">
        <f t="shared" si="2"/>
        <v>29.04666221147064</v>
      </c>
    </row>
    <row r="22" spans="1:7" ht="15" customHeight="1">
      <c r="A22" s="309" t="s">
        <v>10</v>
      </c>
      <c r="B22" s="263">
        <f>Summary!B91</f>
        <v>8509.98893512893</v>
      </c>
      <c r="C22" s="310">
        <f t="shared" si="0"/>
        <v>27.69000445293052</v>
      </c>
      <c r="D22" s="265">
        <f>Summary!H91</f>
        <v>8227.66471470988</v>
      </c>
      <c r="E22" s="311">
        <f t="shared" si="1"/>
        <v>28.42148686184427</v>
      </c>
      <c r="F22" s="580">
        <f>Summary!N91</f>
        <v>8266.122841885903</v>
      </c>
      <c r="G22" s="590">
        <f t="shared" si="2"/>
        <v>29.04666221147064</v>
      </c>
    </row>
    <row r="23" spans="1:7" ht="15" customHeight="1">
      <c r="A23" s="309" t="s">
        <v>8</v>
      </c>
      <c r="B23" s="263">
        <f>Summary!B92</f>
        <v>11853.077577597434</v>
      </c>
      <c r="C23" s="310">
        <f t="shared" si="0"/>
        <v>27.69000445293052</v>
      </c>
      <c r="D23" s="265">
        <f>Summary!H92</f>
        <v>11480.620335310241</v>
      </c>
      <c r="E23" s="311">
        <f t="shared" si="1"/>
        <v>28.42148686184427</v>
      </c>
      <c r="F23" s="580">
        <f>Summary!N92</f>
        <v>11295.937098013199</v>
      </c>
      <c r="G23" s="590">
        <f t="shared" si="2"/>
        <v>29.04666221147064</v>
      </c>
    </row>
    <row r="24" spans="1:7" ht="15" customHeight="1">
      <c r="A24" s="309" t="s">
        <v>18</v>
      </c>
      <c r="B24" s="263">
        <f>Summary!B93</f>
        <v>467.55692832356635</v>
      </c>
      <c r="C24" s="310">
        <f t="shared" si="0"/>
        <v>27.69000445293052</v>
      </c>
      <c r="D24" s="265">
        <f>Summary!H93</f>
        <v>465.1503029324666</v>
      </c>
      <c r="E24" s="311">
        <f t="shared" si="1"/>
        <v>28.42148686184427</v>
      </c>
      <c r="F24" s="580">
        <f>Summary!N93</f>
        <v>451.19691738562506</v>
      </c>
      <c r="G24" s="590">
        <f t="shared" si="2"/>
        <v>29.04666221147064</v>
      </c>
    </row>
    <row r="25" spans="1:7" ht="15" customHeight="1">
      <c r="A25" s="312" t="s">
        <v>293</v>
      </c>
      <c r="B25" s="263">
        <f>SUM(B5:B24)</f>
        <v>171128.87749999994</v>
      </c>
      <c r="C25" s="310">
        <f t="shared" si="0"/>
        <v>27.69000445293052</v>
      </c>
      <c r="D25" s="265">
        <f>SUM(D5:D24)</f>
        <v>166724.5419999999</v>
      </c>
      <c r="E25" s="311">
        <f t="shared" si="1"/>
        <v>28.42148686184427</v>
      </c>
      <c r="F25" s="580">
        <f>SUM(F5:F24)</f>
        <v>163136.1065</v>
      </c>
      <c r="G25" s="590">
        <f t="shared" si="2"/>
        <v>29.04666221147064</v>
      </c>
    </row>
    <row r="26" spans="1:7" ht="15" customHeight="1">
      <c r="A26" s="312" t="s">
        <v>231</v>
      </c>
      <c r="B26" s="310">
        <v>4738559.38</v>
      </c>
      <c r="C26" s="310">
        <f t="shared" si="0"/>
        <v>27.69000445293052</v>
      </c>
      <c r="D26" s="311">
        <v>4738559.38</v>
      </c>
      <c r="E26" s="311">
        <f t="shared" si="1"/>
        <v>28.42148686184427</v>
      </c>
      <c r="F26" s="590">
        <v>4738559.38</v>
      </c>
      <c r="G26" s="590">
        <f t="shared" si="2"/>
        <v>29.04666221147064</v>
      </c>
    </row>
    <row r="27" spans="1:7" ht="15" customHeight="1">
      <c r="A27" s="313" t="s">
        <v>294</v>
      </c>
      <c r="B27" s="314">
        <f>B26/B25</f>
        <v>27.69000445293052</v>
      </c>
      <c r="C27" s="268"/>
      <c r="D27" s="315">
        <f>D26/D25</f>
        <v>28.42148686184427</v>
      </c>
      <c r="E27" s="268"/>
      <c r="F27" s="591">
        <f>F26/F25</f>
        <v>29.04666221147064</v>
      </c>
      <c r="G27" s="268"/>
    </row>
    <row r="28" spans="1:5" ht="15" customHeight="1">
      <c r="A28" s="268"/>
      <c r="B28" s="268"/>
      <c r="C28" s="268"/>
      <c r="D28" s="255"/>
      <c r="E28" s="255"/>
    </row>
    <row r="29" spans="1:5" ht="30" customHeight="1">
      <c r="A29" s="634" t="s">
        <v>354</v>
      </c>
      <c r="B29" s="634"/>
      <c r="C29" s="634"/>
      <c r="D29" s="634"/>
      <c r="E29" s="634"/>
    </row>
    <row r="30" spans="1:5" ht="15" customHeight="1">
      <c r="A30" s="635"/>
      <c r="B30" s="635"/>
      <c r="C30" s="635"/>
      <c r="D30" s="635"/>
      <c r="E30" s="635"/>
    </row>
    <row r="33" ht="12.75">
      <c r="B33" s="249"/>
    </row>
    <row r="34" ht="12.75">
      <c r="B34" s="250"/>
    </row>
  </sheetData>
  <sheetProtection/>
  <mergeCells count="2">
    <mergeCell ref="A29:E29"/>
    <mergeCell ref="A30:E30"/>
  </mergeCells>
  <printOptions/>
  <pageMargins left="0.45" right="0.45" top="0.5" bottom="0.5" header="0.3" footer="0.3"/>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S110"/>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14.57421875" style="4" customWidth="1"/>
    <col min="2" max="2" width="16.00390625" style="4" customWidth="1"/>
    <col min="3" max="3" width="15.00390625" style="4" customWidth="1"/>
    <col min="4" max="4" width="15.421875" style="4" bestFit="1" customWidth="1"/>
    <col min="5" max="5" width="14.28125" style="4" customWidth="1"/>
    <col min="6" max="6" width="17.8515625" style="4" customWidth="1"/>
    <col min="7" max="7" width="16.421875" style="4" customWidth="1"/>
    <col min="8" max="8" width="16.00390625" style="4" customWidth="1"/>
    <col min="9" max="9" width="18.28125" style="4" customWidth="1"/>
    <col min="10" max="10" width="19.140625" style="4" customWidth="1"/>
    <col min="11" max="11" width="17.00390625" style="4" customWidth="1"/>
    <col min="12" max="14" width="15.7109375" style="4" customWidth="1"/>
    <col min="15" max="15" width="12.7109375" style="4" customWidth="1"/>
    <col min="16" max="16" width="9.140625" style="4" customWidth="1"/>
    <col min="17" max="17" width="11.28125" style="4" bestFit="1" customWidth="1"/>
    <col min="18" max="19" width="9.140625" style="4" customWidth="1"/>
    <col min="20" max="16384" width="9.140625" style="4" customWidth="1"/>
  </cols>
  <sheetData>
    <row r="1" spans="1:10" ht="18">
      <c r="A1" s="316" t="s">
        <v>223</v>
      </c>
      <c r="B1" s="255"/>
      <c r="C1" s="255"/>
      <c r="D1" s="255"/>
      <c r="E1" s="255"/>
      <c r="F1" s="255"/>
      <c r="G1" s="255"/>
      <c r="H1" s="255"/>
      <c r="I1" s="255"/>
      <c r="J1" s="255"/>
    </row>
    <row r="2" spans="1:10" ht="18">
      <c r="A2" s="317"/>
      <c r="B2" s="318"/>
      <c r="C2" s="255"/>
      <c r="D2" s="255"/>
      <c r="E2" s="319"/>
      <c r="F2" s="320"/>
      <c r="G2" s="321"/>
      <c r="H2" s="255"/>
      <c r="I2" s="255"/>
      <c r="J2" s="255"/>
    </row>
    <row r="3" spans="1:15" ht="15">
      <c r="A3" s="637" t="s">
        <v>66</v>
      </c>
      <c r="B3" s="637"/>
      <c r="C3" s="322"/>
      <c r="D3" s="322"/>
      <c r="E3" s="322"/>
      <c r="F3" s="322"/>
      <c r="G3" s="322"/>
      <c r="H3" s="322"/>
      <c r="I3" s="255"/>
      <c r="J3" s="255"/>
      <c r="K3" s="7"/>
      <c r="L3" s="7"/>
      <c r="M3" s="7"/>
      <c r="N3" s="7"/>
      <c r="O3" s="7"/>
    </row>
    <row r="4" spans="1:14" s="6" customFormat="1" ht="69">
      <c r="A4" s="323" t="s">
        <v>191</v>
      </c>
      <c r="B4" s="324" t="s">
        <v>196</v>
      </c>
      <c r="C4" s="324" t="s">
        <v>202</v>
      </c>
      <c r="D4" s="325" t="s">
        <v>57</v>
      </c>
      <c r="E4" s="324" t="s">
        <v>200</v>
      </c>
      <c r="F4" s="325" t="s">
        <v>197</v>
      </c>
      <c r="G4" s="324" t="s">
        <v>201</v>
      </c>
      <c r="H4" s="325" t="s">
        <v>59</v>
      </c>
      <c r="I4" s="326"/>
      <c r="J4" s="326"/>
      <c r="K4" s="26"/>
      <c r="L4" s="25"/>
      <c r="M4" s="27"/>
      <c r="N4" s="25"/>
    </row>
    <row r="5" spans="1:14" ht="13.5">
      <c r="A5" s="327" t="s">
        <v>6</v>
      </c>
      <c r="B5" s="328">
        <v>120</v>
      </c>
      <c r="C5" s="328">
        <v>0</v>
      </c>
      <c r="D5" s="329">
        <f>B5+C5</f>
        <v>120</v>
      </c>
      <c r="E5" s="328">
        <v>0</v>
      </c>
      <c r="F5" s="329">
        <f>D5+E5</f>
        <v>120</v>
      </c>
      <c r="G5" s="330">
        <v>-13.98</v>
      </c>
      <c r="H5" s="329">
        <f>F5+G5</f>
        <v>106.02</v>
      </c>
      <c r="I5" s="318"/>
      <c r="J5" s="331" t="s">
        <v>24</v>
      </c>
      <c r="K5" s="31" t="s">
        <v>24</v>
      </c>
      <c r="L5" s="30"/>
      <c r="M5" s="20"/>
      <c r="N5" s="30"/>
    </row>
    <row r="6" spans="1:14" ht="13.5">
      <c r="A6" s="327" t="s">
        <v>29</v>
      </c>
      <c r="B6" s="328">
        <f>$B$5</f>
        <v>120</v>
      </c>
      <c r="C6" s="328">
        <v>0</v>
      </c>
      <c r="D6" s="329">
        <f>B6+C6</f>
        <v>120</v>
      </c>
      <c r="E6" s="328">
        <v>0</v>
      </c>
      <c r="F6" s="329">
        <f aca="true" t="shared" si="0" ref="F6:F17">D6+E6</f>
        <v>120</v>
      </c>
      <c r="G6" s="330">
        <v>-13.98</v>
      </c>
      <c r="H6" s="329">
        <f aca="true" t="shared" si="1" ref="H6:H17">F6+G6</f>
        <v>106.02</v>
      </c>
      <c r="I6" s="318"/>
      <c r="J6" s="332" t="s">
        <v>24</v>
      </c>
      <c r="K6" s="31" t="s">
        <v>24</v>
      </c>
      <c r="L6" s="30"/>
      <c r="M6" s="20"/>
      <c r="N6" s="30"/>
    </row>
    <row r="7" spans="1:14" ht="13.5">
      <c r="A7" s="327" t="s">
        <v>39</v>
      </c>
      <c r="B7" s="328">
        <f aca="true" t="shared" si="2" ref="B7:B22">$B$5</f>
        <v>120</v>
      </c>
      <c r="C7" s="328">
        <v>0</v>
      </c>
      <c r="D7" s="329">
        <f>B7+C6+C7</f>
        <v>120</v>
      </c>
      <c r="E7" s="328">
        <v>0</v>
      </c>
      <c r="F7" s="329">
        <f t="shared" si="0"/>
        <v>120</v>
      </c>
      <c r="G7" s="330">
        <v>-13.98</v>
      </c>
      <c r="H7" s="329">
        <f t="shared" si="1"/>
        <v>106.02</v>
      </c>
      <c r="I7" s="318"/>
      <c r="J7" s="331"/>
      <c r="K7" s="31"/>
      <c r="L7" s="30"/>
      <c r="M7" s="20"/>
      <c r="N7" s="30"/>
    </row>
    <row r="8" spans="1:14" ht="13.5">
      <c r="A8" s="327" t="s">
        <v>5</v>
      </c>
      <c r="B8" s="328">
        <f t="shared" si="2"/>
        <v>120</v>
      </c>
      <c r="C8" s="328">
        <v>0</v>
      </c>
      <c r="D8" s="329">
        <f>B8+C6+C8</f>
        <v>120</v>
      </c>
      <c r="E8" s="328">
        <v>0</v>
      </c>
      <c r="F8" s="329">
        <f t="shared" si="0"/>
        <v>120</v>
      </c>
      <c r="G8" s="330">
        <v>-13.98</v>
      </c>
      <c r="H8" s="329">
        <f t="shared" si="1"/>
        <v>106.02</v>
      </c>
      <c r="I8" s="318"/>
      <c r="J8" s="318"/>
      <c r="K8" s="31"/>
      <c r="L8" s="30"/>
      <c r="M8" s="20"/>
      <c r="N8" s="30"/>
    </row>
    <row r="9" spans="1:14" ht="13.5">
      <c r="A9" s="327" t="s">
        <v>8</v>
      </c>
      <c r="B9" s="328">
        <f t="shared" si="2"/>
        <v>120</v>
      </c>
      <c r="C9" s="328">
        <v>95</v>
      </c>
      <c r="D9" s="329">
        <f>B9+C6+C7+C9</f>
        <v>215</v>
      </c>
      <c r="E9" s="328">
        <v>0</v>
      </c>
      <c r="F9" s="329">
        <f t="shared" si="0"/>
        <v>215</v>
      </c>
      <c r="G9" s="330">
        <v>-13.98</v>
      </c>
      <c r="H9" s="329">
        <f t="shared" si="1"/>
        <v>201.02</v>
      </c>
      <c r="I9" s="318"/>
      <c r="J9" s="318"/>
      <c r="K9" s="32"/>
      <c r="L9" s="30"/>
      <c r="M9" s="20"/>
      <c r="N9" s="30"/>
    </row>
    <row r="10" spans="1:14" ht="13.5">
      <c r="A10" s="327" t="s">
        <v>40</v>
      </c>
      <c r="B10" s="328">
        <f t="shared" si="2"/>
        <v>120</v>
      </c>
      <c r="C10" s="328">
        <v>0</v>
      </c>
      <c r="D10" s="329">
        <f>B10+C6+C7+C9+C10</f>
        <v>215</v>
      </c>
      <c r="E10" s="328">
        <v>0</v>
      </c>
      <c r="F10" s="329">
        <f t="shared" si="0"/>
        <v>215</v>
      </c>
      <c r="G10" s="330">
        <v>-13.98</v>
      </c>
      <c r="H10" s="329">
        <f t="shared" si="1"/>
        <v>201.02</v>
      </c>
      <c r="I10" s="318"/>
      <c r="J10" s="318"/>
      <c r="K10" s="32"/>
      <c r="L10" s="30"/>
      <c r="M10" s="20"/>
      <c r="N10" s="30"/>
    </row>
    <row r="11" spans="1:14" ht="13.5">
      <c r="A11" s="327" t="s">
        <v>41</v>
      </c>
      <c r="B11" s="328">
        <f t="shared" si="2"/>
        <v>120</v>
      </c>
      <c r="C11" s="328">
        <v>0</v>
      </c>
      <c r="D11" s="329">
        <f>B11+C6+C7+C11</f>
        <v>120</v>
      </c>
      <c r="E11" s="328">
        <v>0</v>
      </c>
      <c r="F11" s="329">
        <f t="shared" si="0"/>
        <v>120</v>
      </c>
      <c r="G11" s="330">
        <v>-13.98</v>
      </c>
      <c r="H11" s="329">
        <f t="shared" si="1"/>
        <v>106.02</v>
      </c>
      <c r="I11" s="318" t="s">
        <v>24</v>
      </c>
      <c r="J11" s="318"/>
      <c r="K11" s="32"/>
      <c r="L11" s="30"/>
      <c r="M11" s="20"/>
      <c r="N11" s="30"/>
    </row>
    <row r="12" spans="1:14" ht="13.5">
      <c r="A12" s="333" t="s">
        <v>15</v>
      </c>
      <c r="B12" s="328">
        <f t="shared" si="2"/>
        <v>120</v>
      </c>
      <c r="C12" s="334">
        <v>0</v>
      </c>
      <c r="D12" s="329">
        <f>B12+C6+C8+C12</f>
        <v>120</v>
      </c>
      <c r="E12" s="328">
        <v>0</v>
      </c>
      <c r="F12" s="329">
        <f t="shared" si="0"/>
        <v>120</v>
      </c>
      <c r="G12" s="330">
        <v>-13.98</v>
      </c>
      <c r="H12" s="329">
        <f t="shared" si="1"/>
        <v>106.02</v>
      </c>
      <c r="I12" s="318"/>
      <c r="J12" s="318"/>
      <c r="K12" s="31"/>
      <c r="L12" s="30"/>
      <c r="M12" s="20"/>
      <c r="N12" s="30"/>
    </row>
    <row r="13" spans="1:14" ht="13.5">
      <c r="A13" s="333" t="s">
        <v>49</v>
      </c>
      <c r="B13" s="328">
        <f t="shared" si="2"/>
        <v>120</v>
      </c>
      <c r="C13" s="334">
        <v>0</v>
      </c>
      <c r="D13" s="329">
        <f>B13+C13</f>
        <v>120</v>
      </c>
      <c r="E13" s="328">
        <v>0</v>
      </c>
      <c r="F13" s="329">
        <f t="shared" si="0"/>
        <v>120</v>
      </c>
      <c r="G13" s="330">
        <v>-13.98</v>
      </c>
      <c r="H13" s="329">
        <f t="shared" si="1"/>
        <v>106.02</v>
      </c>
      <c r="I13" s="318"/>
      <c r="J13" s="335" t="s">
        <v>24</v>
      </c>
      <c r="K13" s="31"/>
      <c r="L13" s="30"/>
      <c r="M13" s="20"/>
      <c r="N13" s="30"/>
    </row>
    <row r="14" spans="1:14" ht="13.5">
      <c r="A14" s="333" t="s">
        <v>156</v>
      </c>
      <c r="B14" s="328">
        <f t="shared" si="2"/>
        <v>120</v>
      </c>
      <c r="C14" s="334">
        <v>0</v>
      </c>
      <c r="D14" s="329">
        <f>B14+C13+C14</f>
        <v>120</v>
      </c>
      <c r="E14" s="328">
        <v>0</v>
      </c>
      <c r="F14" s="329">
        <f t="shared" si="0"/>
        <v>120</v>
      </c>
      <c r="G14" s="330">
        <v>-13.98</v>
      </c>
      <c r="H14" s="329">
        <f t="shared" si="1"/>
        <v>106.02</v>
      </c>
      <c r="I14" s="318"/>
      <c r="J14" s="318" t="s">
        <v>24</v>
      </c>
      <c r="K14" s="31"/>
      <c r="L14" s="30"/>
      <c r="M14" s="20"/>
      <c r="N14" s="30"/>
    </row>
    <row r="15" spans="1:14" ht="13.5">
      <c r="A15" s="333" t="s">
        <v>20</v>
      </c>
      <c r="B15" s="328">
        <f t="shared" si="2"/>
        <v>120</v>
      </c>
      <c r="C15" s="334">
        <v>0</v>
      </c>
      <c r="D15" s="329">
        <f>B15+C15</f>
        <v>120</v>
      </c>
      <c r="E15" s="328">
        <v>0</v>
      </c>
      <c r="F15" s="329">
        <f t="shared" si="0"/>
        <v>120</v>
      </c>
      <c r="G15" s="330">
        <v>-13.98</v>
      </c>
      <c r="H15" s="329">
        <f t="shared" si="1"/>
        <v>106.02</v>
      </c>
      <c r="I15" s="318"/>
      <c r="J15" s="335" t="s">
        <v>24</v>
      </c>
      <c r="K15" s="31"/>
      <c r="L15" s="30"/>
      <c r="M15" s="20"/>
      <c r="N15" s="30"/>
    </row>
    <row r="16" spans="1:14" ht="13.5">
      <c r="A16" s="333" t="s">
        <v>11</v>
      </c>
      <c r="B16" s="328">
        <f t="shared" si="2"/>
        <v>120</v>
      </c>
      <c r="C16" s="334">
        <v>0</v>
      </c>
      <c r="D16" s="329">
        <f>B16+C6+C8+C16</f>
        <v>120</v>
      </c>
      <c r="E16" s="328">
        <v>0</v>
      </c>
      <c r="F16" s="329">
        <f t="shared" si="0"/>
        <v>120</v>
      </c>
      <c r="G16" s="330">
        <v>-13.98</v>
      </c>
      <c r="H16" s="329">
        <f t="shared" si="1"/>
        <v>106.02</v>
      </c>
      <c r="I16" s="318"/>
      <c r="J16" s="318"/>
      <c r="K16" s="31"/>
      <c r="L16" s="30"/>
      <c r="M16" s="20"/>
      <c r="N16" s="30"/>
    </row>
    <row r="17" spans="1:14" ht="13.5">
      <c r="A17" s="333" t="s">
        <v>10</v>
      </c>
      <c r="B17" s="328">
        <f t="shared" si="2"/>
        <v>120</v>
      </c>
      <c r="C17" s="334">
        <v>0</v>
      </c>
      <c r="D17" s="329">
        <f>B17+C6+C17</f>
        <v>120</v>
      </c>
      <c r="E17" s="330">
        <v>-66.02</v>
      </c>
      <c r="F17" s="329">
        <f t="shared" si="0"/>
        <v>53.980000000000004</v>
      </c>
      <c r="G17" s="330">
        <v>-13.98</v>
      </c>
      <c r="H17" s="329">
        <f t="shared" si="1"/>
        <v>40</v>
      </c>
      <c r="I17" s="318"/>
      <c r="J17" s="318"/>
      <c r="K17" s="35" t="s">
        <v>24</v>
      </c>
      <c r="L17" s="30"/>
      <c r="M17" s="20"/>
      <c r="N17" s="30"/>
    </row>
    <row r="18" spans="1:15" ht="13.5">
      <c r="A18" s="333" t="s">
        <v>175</v>
      </c>
      <c r="B18" s="328">
        <f t="shared" si="2"/>
        <v>120</v>
      </c>
      <c r="C18" s="334">
        <v>0</v>
      </c>
      <c r="D18" s="329">
        <f>B18+C18</f>
        <v>120</v>
      </c>
      <c r="E18" s="328" t="s">
        <v>180</v>
      </c>
      <c r="F18" s="329" t="s">
        <v>180</v>
      </c>
      <c r="G18" s="328" t="s">
        <v>180</v>
      </c>
      <c r="H18" s="329" t="s">
        <v>180</v>
      </c>
      <c r="I18" s="318"/>
      <c r="J18" s="318"/>
      <c r="K18"/>
      <c r="L18"/>
      <c r="M18"/>
      <c r="N18"/>
      <c r="O18"/>
    </row>
    <row r="19" spans="1:15" ht="13.5">
      <c r="A19" s="333" t="s">
        <v>176</v>
      </c>
      <c r="B19" s="328">
        <f t="shared" si="2"/>
        <v>120</v>
      </c>
      <c r="C19" s="334">
        <v>0</v>
      </c>
      <c r="D19" s="329">
        <f>B19+C19</f>
        <v>120</v>
      </c>
      <c r="E19" s="328" t="s">
        <v>180</v>
      </c>
      <c r="F19" s="329" t="s">
        <v>180</v>
      </c>
      <c r="G19" s="328" t="s">
        <v>180</v>
      </c>
      <c r="H19" s="329" t="s">
        <v>180</v>
      </c>
      <c r="I19" s="318"/>
      <c r="J19" s="318"/>
      <c r="K19"/>
      <c r="L19"/>
      <c r="M19"/>
      <c r="N19"/>
      <c r="O19"/>
    </row>
    <row r="20" spans="1:15" ht="13.5">
      <c r="A20" s="333" t="s">
        <v>177</v>
      </c>
      <c r="B20" s="328">
        <f t="shared" si="2"/>
        <v>120</v>
      </c>
      <c r="C20" s="334">
        <v>0</v>
      </c>
      <c r="D20" s="329">
        <f>B20+C20</f>
        <v>120</v>
      </c>
      <c r="E20" s="328" t="s">
        <v>180</v>
      </c>
      <c r="F20" s="329" t="s">
        <v>180</v>
      </c>
      <c r="G20" s="328" t="s">
        <v>180</v>
      </c>
      <c r="H20" s="329" t="s">
        <v>180</v>
      </c>
      <c r="I20" s="318"/>
      <c r="J20" s="318"/>
      <c r="K20"/>
      <c r="L20"/>
      <c r="M20"/>
      <c r="N20"/>
      <c r="O20"/>
    </row>
    <row r="21" spans="1:15" ht="13.5">
      <c r="A21" s="333" t="s">
        <v>178</v>
      </c>
      <c r="B21" s="328">
        <f t="shared" si="2"/>
        <v>120</v>
      </c>
      <c r="C21" s="334">
        <v>0</v>
      </c>
      <c r="D21" s="329">
        <f>B21+C21</f>
        <v>120</v>
      </c>
      <c r="E21" s="328" t="s">
        <v>180</v>
      </c>
      <c r="F21" s="329" t="s">
        <v>180</v>
      </c>
      <c r="G21" s="328" t="s">
        <v>180</v>
      </c>
      <c r="H21" s="329" t="s">
        <v>180</v>
      </c>
      <c r="I21" s="318"/>
      <c r="J21" s="318"/>
      <c r="K21"/>
      <c r="L21"/>
      <c r="M21"/>
      <c r="N21"/>
      <c r="O21"/>
    </row>
    <row r="22" spans="1:15" ht="13.5">
      <c r="A22" s="333" t="s">
        <v>179</v>
      </c>
      <c r="B22" s="328">
        <f t="shared" si="2"/>
        <v>120</v>
      </c>
      <c r="C22" s="334">
        <v>0</v>
      </c>
      <c r="D22" s="329">
        <f>B22+C22</f>
        <v>120</v>
      </c>
      <c r="E22" s="328" t="s">
        <v>180</v>
      </c>
      <c r="F22" s="329" t="s">
        <v>180</v>
      </c>
      <c r="G22" s="328" t="s">
        <v>180</v>
      </c>
      <c r="H22" s="329" t="s">
        <v>180</v>
      </c>
      <c r="I22" s="318"/>
      <c r="J22" s="318"/>
      <c r="K22"/>
      <c r="L22"/>
      <c r="M22"/>
      <c r="N22"/>
      <c r="O22"/>
    </row>
    <row r="23" spans="1:15" ht="13.5">
      <c r="A23" s="336" t="s">
        <v>198</v>
      </c>
      <c r="B23" s="337"/>
      <c r="C23" s="338"/>
      <c r="D23" s="338"/>
      <c r="E23" s="338"/>
      <c r="F23" s="338"/>
      <c r="G23" s="338"/>
      <c r="H23" s="338"/>
      <c r="I23" s="318"/>
      <c r="J23" s="318"/>
      <c r="K23"/>
      <c r="L23"/>
      <c r="M23"/>
      <c r="N23"/>
      <c r="O23"/>
    </row>
    <row r="24" spans="1:15" ht="23.25" customHeight="1">
      <c r="A24" s="636" t="s">
        <v>199</v>
      </c>
      <c r="B24" s="636"/>
      <c r="C24" s="636"/>
      <c r="D24" s="636"/>
      <c r="E24" s="636"/>
      <c r="F24" s="636"/>
      <c r="G24" s="636"/>
      <c r="H24" s="636"/>
      <c r="I24" s="339" t="s">
        <v>24</v>
      </c>
      <c r="J24" s="340"/>
      <c r="K24"/>
      <c r="L24"/>
      <c r="M24"/>
      <c r="N24"/>
      <c r="O24"/>
    </row>
    <row r="25" spans="1:15" ht="13.5">
      <c r="A25" s="336"/>
      <c r="B25" s="337"/>
      <c r="C25" s="337"/>
      <c r="D25" s="337"/>
      <c r="E25" s="341"/>
      <c r="F25" s="342"/>
      <c r="G25" s="342"/>
      <c r="H25" s="342"/>
      <c r="I25" s="340"/>
      <c r="J25" s="340"/>
      <c r="K25"/>
      <c r="L25"/>
      <c r="M25"/>
      <c r="N25"/>
      <c r="O25"/>
    </row>
    <row r="26" spans="1:15" ht="15">
      <c r="A26" s="638" t="s">
        <v>67</v>
      </c>
      <c r="B26" s="638"/>
      <c r="C26" s="343" t="s">
        <v>24</v>
      </c>
      <c r="D26" s="338"/>
      <c r="E26" s="344"/>
      <c r="F26" s="345"/>
      <c r="G26" s="342"/>
      <c r="H26" s="342"/>
      <c r="I26" s="340"/>
      <c r="J26" s="340"/>
      <c r="K26"/>
      <c r="L26"/>
      <c r="M26"/>
      <c r="N26"/>
      <c r="O26"/>
    </row>
    <row r="27" spans="1:15" ht="49.5" customHeight="1">
      <c r="A27" s="323" t="s">
        <v>191</v>
      </c>
      <c r="B27" s="324" t="s">
        <v>58</v>
      </c>
      <c r="C27" s="324" t="s">
        <v>60</v>
      </c>
      <c r="D27" s="324" t="s">
        <v>114</v>
      </c>
      <c r="E27" s="324" t="s">
        <v>61</v>
      </c>
      <c r="F27" s="324" t="s">
        <v>99</v>
      </c>
      <c r="G27" s="324" t="s">
        <v>98</v>
      </c>
      <c r="H27" s="324" t="s">
        <v>115</v>
      </c>
      <c r="I27" s="324" t="s">
        <v>100</v>
      </c>
      <c r="J27" s="281"/>
      <c r="K27"/>
      <c r="L27"/>
      <c r="M27"/>
      <c r="N27"/>
      <c r="O27"/>
    </row>
    <row r="28" spans="1:17" ht="13.5">
      <c r="A28" s="327" t="s">
        <v>224</v>
      </c>
      <c r="B28" s="346">
        <v>157264.3</v>
      </c>
      <c r="C28" s="346">
        <v>7163.3</v>
      </c>
      <c r="D28" s="346">
        <v>2322.1</v>
      </c>
      <c r="E28" s="347">
        <f aca="true" t="shared" si="3" ref="E28:E36">B28+C28+D28</f>
        <v>166749.69999999998</v>
      </c>
      <c r="F28" s="327">
        <v>65</v>
      </c>
      <c r="G28" s="327">
        <v>0</v>
      </c>
      <c r="H28" s="327">
        <v>0.2</v>
      </c>
      <c r="I28" s="327">
        <f aca="true" t="shared" si="4" ref="I28:I35">F28+G28+H28</f>
        <v>65.2</v>
      </c>
      <c r="J28" s="318"/>
      <c r="K28"/>
      <c r="L28"/>
      <c r="M28"/>
      <c r="N28"/>
      <c r="O28"/>
      <c r="Q28" s="14">
        <f>L28-SUM(L42:L45)</f>
        <v>0</v>
      </c>
    </row>
    <row r="29" spans="1:15" ht="13.5">
      <c r="A29" s="327" t="s">
        <v>29</v>
      </c>
      <c r="B29" s="346">
        <v>64900.6</v>
      </c>
      <c r="C29" s="346">
        <v>2577.9000000000005</v>
      </c>
      <c r="D29" s="346">
        <v>885.4000000000001</v>
      </c>
      <c r="E29" s="347">
        <f t="shared" si="3"/>
        <v>68363.9</v>
      </c>
      <c r="F29" s="327">
        <v>65</v>
      </c>
      <c r="G29" s="327">
        <v>0</v>
      </c>
      <c r="H29" s="327">
        <v>0.2</v>
      </c>
      <c r="I29" s="327">
        <f t="shared" si="4"/>
        <v>65.2</v>
      </c>
      <c r="J29" s="318"/>
      <c r="K29"/>
      <c r="L29"/>
      <c r="M29"/>
      <c r="N29"/>
      <c r="O29"/>
    </row>
    <row r="30" spans="1:15" ht="13.5">
      <c r="A30" s="327" t="s">
        <v>39</v>
      </c>
      <c r="B30" s="346">
        <v>30840.4</v>
      </c>
      <c r="C30" s="346">
        <v>873.5000000000001</v>
      </c>
      <c r="D30" s="346">
        <v>497</v>
      </c>
      <c r="E30" s="347">
        <f t="shared" si="3"/>
        <v>32210.9</v>
      </c>
      <c r="F30" s="327">
        <v>0</v>
      </c>
      <c r="G30" s="327">
        <v>0</v>
      </c>
      <c r="H30" s="327">
        <v>0</v>
      </c>
      <c r="I30" s="327">
        <f t="shared" si="4"/>
        <v>0</v>
      </c>
      <c r="J30" s="318"/>
      <c r="K30"/>
      <c r="L30"/>
      <c r="M30"/>
      <c r="N30"/>
      <c r="O30"/>
    </row>
    <row r="31" spans="1:15" ht="13.5">
      <c r="A31" s="327" t="s">
        <v>5</v>
      </c>
      <c r="B31" s="346">
        <v>10374</v>
      </c>
      <c r="C31" s="346">
        <v>1164.2</v>
      </c>
      <c r="D31" s="346">
        <v>155.2</v>
      </c>
      <c r="E31" s="347">
        <f t="shared" si="3"/>
        <v>11693.400000000001</v>
      </c>
      <c r="F31" s="327">
        <v>0</v>
      </c>
      <c r="G31" s="327">
        <v>0</v>
      </c>
      <c r="H31" s="327">
        <v>0</v>
      </c>
      <c r="I31" s="327">
        <f t="shared" si="4"/>
        <v>0</v>
      </c>
      <c r="J31" s="318"/>
      <c r="K31"/>
      <c r="L31"/>
      <c r="M31"/>
      <c r="N31"/>
      <c r="O31"/>
    </row>
    <row r="32" spans="1:15" ht="13.5">
      <c r="A32" s="327" t="s">
        <v>8</v>
      </c>
      <c r="B32" s="346">
        <v>5778.4</v>
      </c>
      <c r="C32" s="346">
        <v>154.8</v>
      </c>
      <c r="D32" s="346">
        <v>177.5</v>
      </c>
      <c r="E32" s="347">
        <f t="shared" si="3"/>
        <v>6110.7</v>
      </c>
      <c r="F32" s="327">
        <v>0</v>
      </c>
      <c r="G32" s="327">
        <v>0</v>
      </c>
      <c r="H32" s="327">
        <v>0</v>
      </c>
      <c r="I32" s="327">
        <f t="shared" si="4"/>
        <v>0</v>
      </c>
      <c r="J32" s="318"/>
      <c r="K32"/>
      <c r="L32"/>
      <c r="M32"/>
      <c r="N32"/>
      <c r="O32"/>
    </row>
    <row r="33" spans="1:15" ht="13.5">
      <c r="A33" s="327" t="s">
        <v>40</v>
      </c>
      <c r="B33" s="346">
        <v>3765.8</v>
      </c>
      <c r="C33" s="346">
        <v>62.5</v>
      </c>
      <c r="D33" s="346">
        <v>64.9</v>
      </c>
      <c r="E33" s="347">
        <f>B33+C33+D33</f>
        <v>3893.2000000000003</v>
      </c>
      <c r="F33" s="327">
        <v>0</v>
      </c>
      <c r="G33" s="327">
        <v>0</v>
      </c>
      <c r="H33" s="327">
        <v>0</v>
      </c>
      <c r="I33" s="327">
        <f t="shared" si="4"/>
        <v>0</v>
      </c>
      <c r="J33" s="318"/>
      <c r="K33"/>
      <c r="L33"/>
      <c r="M33"/>
      <c r="N33"/>
      <c r="O33"/>
    </row>
    <row r="34" spans="1:19" ht="13.5">
      <c r="A34" s="327" t="s">
        <v>41</v>
      </c>
      <c r="B34" s="346">
        <v>1605.3999999999994</v>
      </c>
      <c r="C34" s="346">
        <v>52.599999999999994</v>
      </c>
      <c r="D34" s="346">
        <v>24.3</v>
      </c>
      <c r="E34" s="347">
        <f t="shared" si="3"/>
        <v>1682.2999999999993</v>
      </c>
      <c r="F34" s="327">
        <v>0</v>
      </c>
      <c r="G34" s="327">
        <v>0</v>
      </c>
      <c r="H34" s="327">
        <v>0</v>
      </c>
      <c r="I34" s="327">
        <f t="shared" si="4"/>
        <v>0</v>
      </c>
      <c r="J34" s="336" t="s">
        <v>24</v>
      </c>
      <c r="K34"/>
      <c r="L34"/>
      <c r="M34"/>
      <c r="N34"/>
      <c r="O34"/>
      <c r="Q34" s="4" t="s">
        <v>24</v>
      </c>
      <c r="R34" s="99" t="s">
        <v>24</v>
      </c>
      <c r="S34" s="99" t="s">
        <v>24</v>
      </c>
    </row>
    <row r="35" spans="1:19" ht="13.5">
      <c r="A35" s="333" t="s">
        <v>15</v>
      </c>
      <c r="B35" s="346">
        <v>5375.2</v>
      </c>
      <c r="C35" s="346">
        <v>472.59999999999997</v>
      </c>
      <c r="D35" s="346">
        <v>89.99999999999999</v>
      </c>
      <c r="E35" s="347">
        <f t="shared" si="3"/>
        <v>5937.8</v>
      </c>
      <c r="F35" s="327">
        <v>0</v>
      </c>
      <c r="G35" s="327">
        <v>0</v>
      </c>
      <c r="H35" s="327">
        <v>0</v>
      </c>
      <c r="I35" s="327">
        <f t="shared" si="4"/>
        <v>0</v>
      </c>
      <c r="J35" s="318"/>
      <c r="K35"/>
      <c r="L35"/>
      <c r="M35"/>
      <c r="N35"/>
      <c r="O35"/>
      <c r="S35" s="4">
        <f>N34*G11</f>
        <v>0</v>
      </c>
    </row>
    <row r="36" spans="1:15" ht="13.5">
      <c r="A36" s="333" t="s">
        <v>49</v>
      </c>
      <c r="B36" s="346">
        <v>8068.200000000002</v>
      </c>
      <c r="C36" s="346">
        <v>735.8999999999999</v>
      </c>
      <c r="D36" s="346">
        <v>173.2</v>
      </c>
      <c r="E36" s="347">
        <f t="shared" si="3"/>
        <v>8977.300000000003</v>
      </c>
      <c r="F36" s="327">
        <v>0</v>
      </c>
      <c r="G36" s="327">
        <v>0</v>
      </c>
      <c r="H36" s="327">
        <v>0</v>
      </c>
      <c r="I36" s="327">
        <f>F36+G36+H36</f>
        <v>0</v>
      </c>
      <c r="J36" s="318"/>
      <c r="K36"/>
      <c r="L36"/>
      <c r="M36"/>
      <c r="N36"/>
      <c r="O36"/>
    </row>
    <row r="37" spans="1:15" ht="13.5">
      <c r="A37" s="333" t="s">
        <v>156</v>
      </c>
      <c r="B37" s="346">
        <v>2286.5</v>
      </c>
      <c r="C37" s="346">
        <v>235.89999999999998</v>
      </c>
      <c r="D37" s="346">
        <v>26.2</v>
      </c>
      <c r="E37" s="347">
        <f aca="true" t="shared" si="5" ref="E37:E45">B37+C37+D37</f>
        <v>2548.6</v>
      </c>
      <c r="F37" s="327">
        <v>0</v>
      </c>
      <c r="G37" s="327">
        <v>0</v>
      </c>
      <c r="H37" s="327">
        <v>0</v>
      </c>
      <c r="I37" s="327">
        <f>F37+G37+H37</f>
        <v>0</v>
      </c>
      <c r="J37" s="318"/>
      <c r="K37"/>
      <c r="L37"/>
      <c r="M37"/>
      <c r="N37"/>
      <c r="O37"/>
    </row>
    <row r="38" spans="1:15" ht="13.5">
      <c r="A38" s="333" t="s">
        <v>20</v>
      </c>
      <c r="B38" s="346">
        <v>21125.300000000007</v>
      </c>
      <c r="C38" s="346">
        <v>1169.6000000000004</v>
      </c>
      <c r="D38" s="346">
        <v>256.09999999999997</v>
      </c>
      <c r="E38" s="348">
        <f t="shared" si="5"/>
        <v>22551.000000000007</v>
      </c>
      <c r="F38" s="327">
        <v>0</v>
      </c>
      <c r="G38" s="327">
        <v>0</v>
      </c>
      <c r="H38" s="327">
        <v>0</v>
      </c>
      <c r="I38" s="327">
        <f>F38+G38+H38</f>
        <v>0</v>
      </c>
      <c r="J38" s="318"/>
      <c r="K38"/>
      <c r="L38"/>
      <c r="M38"/>
      <c r="N38"/>
      <c r="O38"/>
    </row>
    <row r="39" spans="1:15" ht="13.5">
      <c r="A39" s="333" t="s">
        <v>11</v>
      </c>
      <c r="B39" s="346">
        <v>2594.5</v>
      </c>
      <c r="C39" s="346">
        <v>691.6</v>
      </c>
      <c r="D39" s="346">
        <v>65.20000000000002</v>
      </c>
      <c r="E39" s="348">
        <f t="shared" si="5"/>
        <v>3351.2999999999997</v>
      </c>
      <c r="F39" s="327">
        <v>0</v>
      </c>
      <c r="G39" s="327">
        <v>0</v>
      </c>
      <c r="H39" s="327">
        <v>0</v>
      </c>
      <c r="I39" s="327">
        <f>F39+G39+H39</f>
        <v>0</v>
      </c>
      <c r="J39" s="318"/>
      <c r="K39"/>
      <c r="L39"/>
      <c r="M39"/>
      <c r="N39"/>
      <c r="O39"/>
    </row>
    <row r="40" spans="1:15" ht="13.5">
      <c r="A40" s="333" t="s">
        <v>10</v>
      </c>
      <c r="B40" s="346">
        <v>9123.499999999998</v>
      </c>
      <c r="C40" s="346">
        <v>183.3</v>
      </c>
      <c r="D40" s="346">
        <v>41.7</v>
      </c>
      <c r="E40" s="348">
        <f>B40+C40+D40</f>
        <v>9348.499999999998</v>
      </c>
      <c r="F40" s="327">
        <v>0</v>
      </c>
      <c r="G40" s="327">
        <v>0</v>
      </c>
      <c r="H40" s="327">
        <v>0.2</v>
      </c>
      <c r="I40" s="327">
        <f>F40+G40+H40</f>
        <v>0.2</v>
      </c>
      <c r="J40" s="318"/>
      <c r="K40"/>
      <c r="L40"/>
      <c r="M40"/>
      <c r="N40"/>
      <c r="O40"/>
    </row>
    <row r="41" spans="1:15" ht="13.5">
      <c r="A41" s="333" t="s">
        <v>175</v>
      </c>
      <c r="B41" s="346">
        <v>26.9</v>
      </c>
      <c r="C41" s="349">
        <v>0</v>
      </c>
      <c r="D41" s="349">
        <v>0</v>
      </c>
      <c r="E41" s="348">
        <f>B41+C41+D41</f>
        <v>26.9</v>
      </c>
      <c r="F41" s="350">
        <v>0</v>
      </c>
      <c r="G41" s="350">
        <v>0</v>
      </c>
      <c r="H41" s="350">
        <v>0</v>
      </c>
      <c r="I41" s="350">
        <f>F41</f>
        <v>0</v>
      </c>
      <c r="J41" s="318"/>
      <c r="K41"/>
      <c r="L41"/>
      <c r="M41"/>
      <c r="N41"/>
      <c r="O41"/>
    </row>
    <row r="42" spans="1:15" ht="13.5">
      <c r="A42" s="333" t="s">
        <v>176</v>
      </c>
      <c r="B42" s="349">
        <v>0</v>
      </c>
      <c r="C42" s="349">
        <v>0</v>
      </c>
      <c r="D42" s="349">
        <v>0</v>
      </c>
      <c r="E42" s="350">
        <f>B42+C42+D42</f>
        <v>0</v>
      </c>
      <c r="F42" s="350">
        <v>0</v>
      </c>
      <c r="G42" s="350">
        <v>0</v>
      </c>
      <c r="H42" s="350">
        <v>0</v>
      </c>
      <c r="I42" s="350">
        <f>F42</f>
        <v>0</v>
      </c>
      <c r="J42" s="318"/>
      <c r="K42"/>
      <c r="L42"/>
      <c r="M42"/>
      <c r="N42"/>
      <c r="O42"/>
    </row>
    <row r="43" spans="1:15" ht="13.5">
      <c r="A43" s="333" t="s">
        <v>177</v>
      </c>
      <c r="B43" s="346">
        <v>87.5</v>
      </c>
      <c r="C43" s="349">
        <v>0</v>
      </c>
      <c r="D43" s="349">
        <v>0</v>
      </c>
      <c r="E43" s="348">
        <f>B43+C43+D43</f>
        <v>87.5</v>
      </c>
      <c r="F43" s="350">
        <v>0</v>
      </c>
      <c r="G43" s="350">
        <v>0</v>
      </c>
      <c r="H43" s="350">
        <v>0</v>
      </c>
      <c r="I43" s="350">
        <f>F43</f>
        <v>0</v>
      </c>
      <c r="J43" s="318"/>
      <c r="K43"/>
      <c r="L43"/>
      <c r="M43"/>
      <c r="N43"/>
      <c r="O43"/>
    </row>
    <row r="44" spans="1:15" ht="13.5">
      <c r="A44" s="333" t="s">
        <v>178</v>
      </c>
      <c r="B44" s="346">
        <v>139.60000000000005</v>
      </c>
      <c r="C44" s="349">
        <v>0</v>
      </c>
      <c r="D44" s="349">
        <v>0</v>
      </c>
      <c r="E44" s="348">
        <f>B44+C44+D44</f>
        <v>139.60000000000005</v>
      </c>
      <c r="F44" s="350">
        <v>0</v>
      </c>
      <c r="G44" s="350">
        <v>0</v>
      </c>
      <c r="H44" s="350">
        <v>0</v>
      </c>
      <c r="I44" s="350">
        <f>F44</f>
        <v>0</v>
      </c>
      <c r="J44" s="351" t="s">
        <v>24</v>
      </c>
      <c r="K44"/>
      <c r="L44"/>
      <c r="M44"/>
      <c r="N44"/>
      <c r="O44"/>
    </row>
    <row r="45" spans="1:15" ht="13.5">
      <c r="A45" s="333" t="s">
        <v>179</v>
      </c>
      <c r="B45" s="349">
        <v>0</v>
      </c>
      <c r="C45" s="349">
        <v>0</v>
      </c>
      <c r="D45" s="349">
        <v>0</v>
      </c>
      <c r="E45" s="350">
        <f t="shared" si="5"/>
        <v>0</v>
      </c>
      <c r="F45" s="350">
        <v>0</v>
      </c>
      <c r="G45" s="350">
        <v>0</v>
      </c>
      <c r="H45" s="350">
        <v>0</v>
      </c>
      <c r="I45" s="350">
        <f>F45</f>
        <v>0</v>
      </c>
      <c r="J45" s="318"/>
      <c r="K45"/>
      <c r="L45"/>
      <c r="M45"/>
      <c r="N45"/>
      <c r="O45"/>
    </row>
    <row r="46" spans="1:15" ht="13.5">
      <c r="A46" s="644" t="s">
        <v>225</v>
      </c>
      <c r="B46" s="644"/>
      <c r="C46" s="644"/>
      <c r="D46" s="644"/>
      <c r="E46" s="644"/>
      <c r="F46" s="644"/>
      <c r="G46" s="644"/>
      <c r="H46" s="644"/>
      <c r="I46" s="644"/>
      <c r="J46" s="318"/>
      <c r="K46"/>
      <c r="L46"/>
      <c r="M46"/>
      <c r="N46"/>
      <c r="O46"/>
    </row>
    <row r="47" spans="1:15" ht="13.5">
      <c r="A47" s="336"/>
      <c r="B47" s="337"/>
      <c r="C47" s="337"/>
      <c r="D47" s="337"/>
      <c r="E47" s="352" t="s">
        <v>24</v>
      </c>
      <c r="F47" s="342"/>
      <c r="G47" s="342"/>
      <c r="H47" s="342"/>
      <c r="I47" s="340"/>
      <c r="J47" s="340"/>
      <c r="K47"/>
      <c r="L47"/>
      <c r="M47"/>
      <c r="N47"/>
      <c r="O47"/>
    </row>
    <row r="48" spans="1:15" ht="15">
      <c r="A48" s="639" t="s">
        <v>65</v>
      </c>
      <c r="B48" s="640"/>
      <c r="C48" s="337"/>
      <c r="D48" s="337"/>
      <c r="E48" s="341"/>
      <c r="F48" s="342"/>
      <c r="G48" s="342"/>
      <c r="H48" s="342"/>
      <c r="I48" s="340"/>
      <c r="J48" s="340"/>
      <c r="K48"/>
      <c r="L48"/>
      <c r="M48"/>
      <c r="N48"/>
      <c r="O48"/>
    </row>
    <row r="49" spans="1:15" ht="49.5" customHeight="1">
      <c r="A49" s="323" t="s">
        <v>191</v>
      </c>
      <c r="B49" s="324" t="s">
        <v>58</v>
      </c>
      <c r="C49" s="324" t="s">
        <v>60</v>
      </c>
      <c r="D49" s="324" t="s">
        <v>114</v>
      </c>
      <c r="E49" s="324" t="s">
        <v>61</v>
      </c>
      <c r="F49" s="323" t="s">
        <v>113</v>
      </c>
      <c r="G49" s="323" t="s">
        <v>112</v>
      </c>
      <c r="H49" s="323" t="s">
        <v>111</v>
      </c>
      <c r="I49" s="323" t="s">
        <v>64</v>
      </c>
      <c r="J49" s="255"/>
      <c r="K49"/>
      <c r="L49"/>
      <c r="M49"/>
      <c r="N49"/>
      <c r="O49"/>
    </row>
    <row r="50" spans="1:15" ht="13.5">
      <c r="A50" s="327" t="s">
        <v>50</v>
      </c>
      <c r="B50" s="353">
        <f>B28-B29-B36-B38</f>
        <v>63170.19999999998</v>
      </c>
      <c r="C50" s="353">
        <f>C28-C29-C36-C38</f>
        <v>2679.8999999999996</v>
      </c>
      <c r="D50" s="353">
        <f>D28-D29-D36-D38</f>
        <v>1007.3999999999999</v>
      </c>
      <c r="E50" s="354">
        <f>B50+C50+D50</f>
        <v>66857.49999999997</v>
      </c>
      <c r="F50" s="355">
        <f aca="true" t="shared" si="6" ref="F50:F67">B50*D5</f>
        <v>7580423.999999998</v>
      </c>
      <c r="G50" s="355">
        <f aca="true" t="shared" si="7" ref="G50:G62">C50*F5</f>
        <v>321587.99999999994</v>
      </c>
      <c r="H50" s="355">
        <f aca="true" t="shared" si="8" ref="H50:H62">D50*H5</f>
        <v>106804.54799999998</v>
      </c>
      <c r="I50" s="355">
        <f aca="true" t="shared" si="9" ref="I50:I62">F50+G50+H50</f>
        <v>8008816.547999999</v>
      </c>
      <c r="J50" s="255"/>
      <c r="K50"/>
      <c r="L50"/>
      <c r="M50"/>
      <c r="N50"/>
      <c r="O50"/>
    </row>
    <row r="51" spans="1:15" ht="13.5">
      <c r="A51" s="327" t="s">
        <v>53</v>
      </c>
      <c r="B51" s="353">
        <f>B29-B30-B31-B40</f>
        <v>14562.699999999999</v>
      </c>
      <c r="C51" s="353">
        <f>C29-C30-C31-C40</f>
        <v>356.9000000000005</v>
      </c>
      <c r="D51" s="353">
        <f>D29-D30-D31-D40</f>
        <v>191.5000000000001</v>
      </c>
      <c r="E51" s="354">
        <f>B51+C51+D51</f>
        <v>15111.099999999999</v>
      </c>
      <c r="F51" s="355">
        <f t="shared" si="6"/>
        <v>1747523.9999999998</v>
      </c>
      <c r="G51" s="355">
        <f t="shared" si="7"/>
        <v>42828.00000000006</v>
      </c>
      <c r="H51" s="355">
        <f t="shared" si="8"/>
        <v>20302.830000000013</v>
      </c>
      <c r="I51" s="355">
        <f t="shared" si="9"/>
        <v>1810654.8299999998</v>
      </c>
      <c r="J51" s="255"/>
      <c r="K51"/>
      <c r="L51"/>
      <c r="M51"/>
      <c r="N51"/>
      <c r="O51"/>
    </row>
    <row r="52" spans="1:15" ht="13.5">
      <c r="A52" s="327" t="s">
        <v>52</v>
      </c>
      <c r="B52" s="353">
        <f>B30-B32-B34</f>
        <v>23456.600000000002</v>
      </c>
      <c r="C52" s="353">
        <f>C30-C32-C34</f>
        <v>666.1</v>
      </c>
      <c r="D52" s="353">
        <f>D30-D32-D34</f>
        <v>295.2</v>
      </c>
      <c r="E52" s="354">
        <f>B52+C52+D52</f>
        <v>24417.9</v>
      </c>
      <c r="F52" s="355">
        <f t="shared" si="6"/>
        <v>2814792.0000000005</v>
      </c>
      <c r="G52" s="355">
        <f t="shared" si="7"/>
        <v>79932</v>
      </c>
      <c r="H52" s="355">
        <f t="shared" si="8"/>
        <v>31297.104</v>
      </c>
      <c r="I52" s="355">
        <f t="shared" si="9"/>
        <v>2926021.1040000003</v>
      </c>
      <c r="J52" s="255"/>
      <c r="K52"/>
      <c r="L52"/>
      <c r="M52"/>
      <c r="N52"/>
      <c r="O52"/>
    </row>
    <row r="53" spans="1:15" ht="13.5">
      <c r="A53" s="327" t="s">
        <v>51</v>
      </c>
      <c r="B53" s="353">
        <f>B31-B35-B39</f>
        <v>2404.3</v>
      </c>
      <c r="C53" s="353">
        <f>C31-C35-C39</f>
        <v>0</v>
      </c>
      <c r="D53" s="353">
        <f>D31-D35-D39</f>
        <v>0</v>
      </c>
      <c r="E53" s="354">
        <f>B53+C53+D53</f>
        <v>2404.3</v>
      </c>
      <c r="F53" s="355">
        <f t="shared" si="6"/>
        <v>288516</v>
      </c>
      <c r="G53" s="355">
        <f t="shared" si="7"/>
        <v>0</v>
      </c>
      <c r="H53" s="355">
        <f t="shared" si="8"/>
        <v>0</v>
      </c>
      <c r="I53" s="355">
        <f t="shared" si="9"/>
        <v>288516</v>
      </c>
      <c r="J53" s="255"/>
      <c r="K53"/>
      <c r="L53"/>
      <c r="M53"/>
      <c r="N53"/>
      <c r="O53"/>
    </row>
    <row r="54" spans="1:15" ht="13.5">
      <c r="A54" s="327" t="s">
        <v>43</v>
      </c>
      <c r="B54" s="353">
        <f>B32-B33</f>
        <v>2012.5999999999995</v>
      </c>
      <c r="C54" s="353">
        <f>C32-C33</f>
        <v>92.30000000000001</v>
      </c>
      <c r="D54" s="353">
        <f>D32-D33</f>
        <v>112.6</v>
      </c>
      <c r="E54" s="354">
        <f>B54+C54+D54</f>
        <v>2217.4999999999995</v>
      </c>
      <c r="F54" s="355">
        <f t="shared" si="6"/>
        <v>432708.9999999999</v>
      </c>
      <c r="G54" s="355">
        <f t="shared" si="7"/>
        <v>19844.500000000004</v>
      </c>
      <c r="H54" s="355">
        <f t="shared" si="8"/>
        <v>22634.852</v>
      </c>
      <c r="I54" s="355">
        <f t="shared" si="9"/>
        <v>475188.3519999999</v>
      </c>
      <c r="J54" s="255"/>
      <c r="K54"/>
      <c r="L54"/>
      <c r="M54"/>
      <c r="N54"/>
      <c r="O54"/>
    </row>
    <row r="55" spans="1:15" ht="13.5">
      <c r="A55" s="327" t="s">
        <v>40</v>
      </c>
      <c r="B55" s="353">
        <f aca="true" t="shared" si="10" ref="B55:D57">B33</f>
        <v>3765.8</v>
      </c>
      <c r="C55" s="353">
        <f t="shared" si="10"/>
        <v>62.5</v>
      </c>
      <c r="D55" s="353">
        <f t="shared" si="10"/>
        <v>64.9</v>
      </c>
      <c r="E55" s="354">
        <f aca="true" t="shared" si="11" ref="E55:E67">B55+C55+D55</f>
        <v>3893.2000000000003</v>
      </c>
      <c r="F55" s="355">
        <f t="shared" si="6"/>
        <v>809647</v>
      </c>
      <c r="G55" s="355">
        <f t="shared" si="7"/>
        <v>13437.5</v>
      </c>
      <c r="H55" s="355">
        <f t="shared" si="8"/>
        <v>13046.198000000002</v>
      </c>
      <c r="I55" s="355">
        <f t="shared" si="9"/>
        <v>836130.698</v>
      </c>
      <c r="J55" s="255"/>
      <c r="K55"/>
      <c r="L55"/>
      <c r="M55"/>
      <c r="N55"/>
      <c r="O55"/>
    </row>
    <row r="56" spans="1:15" ht="13.5">
      <c r="A56" s="327" t="s">
        <v>41</v>
      </c>
      <c r="B56" s="353">
        <f t="shared" si="10"/>
        <v>1605.3999999999994</v>
      </c>
      <c r="C56" s="353">
        <f t="shared" si="10"/>
        <v>52.599999999999994</v>
      </c>
      <c r="D56" s="353">
        <f t="shared" si="10"/>
        <v>24.3</v>
      </c>
      <c r="E56" s="354">
        <f t="shared" si="11"/>
        <v>1682.2999999999993</v>
      </c>
      <c r="F56" s="355">
        <f t="shared" si="6"/>
        <v>192647.99999999994</v>
      </c>
      <c r="G56" s="355">
        <f t="shared" si="7"/>
        <v>6311.999999999999</v>
      </c>
      <c r="H56" s="355">
        <f t="shared" si="8"/>
        <v>2576.286</v>
      </c>
      <c r="I56" s="355">
        <f t="shared" si="9"/>
        <v>201536.28599999993</v>
      </c>
      <c r="J56" s="255"/>
      <c r="K56"/>
      <c r="L56"/>
      <c r="M56"/>
      <c r="N56"/>
      <c r="O56"/>
    </row>
    <row r="57" spans="1:15" ht="13.5">
      <c r="A57" s="327" t="s">
        <v>15</v>
      </c>
      <c r="B57" s="353">
        <f t="shared" si="10"/>
        <v>5375.2</v>
      </c>
      <c r="C57" s="353">
        <f t="shared" si="10"/>
        <v>472.59999999999997</v>
      </c>
      <c r="D57" s="353">
        <f t="shared" si="10"/>
        <v>89.99999999999999</v>
      </c>
      <c r="E57" s="354">
        <f t="shared" si="11"/>
        <v>5937.8</v>
      </c>
      <c r="F57" s="355">
        <f t="shared" si="6"/>
        <v>645024</v>
      </c>
      <c r="G57" s="355">
        <f t="shared" si="7"/>
        <v>56711.99999999999</v>
      </c>
      <c r="H57" s="355">
        <f t="shared" si="8"/>
        <v>9541.799999999997</v>
      </c>
      <c r="I57" s="355">
        <f t="shared" si="9"/>
        <v>711277.8</v>
      </c>
      <c r="J57" s="255"/>
      <c r="K57"/>
      <c r="L57"/>
      <c r="M57"/>
      <c r="N57"/>
      <c r="O57"/>
    </row>
    <row r="58" spans="1:15" ht="13.5">
      <c r="A58" s="327" t="s">
        <v>157</v>
      </c>
      <c r="B58" s="353">
        <f>B36-B37</f>
        <v>5781.700000000002</v>
      </c>
      <c r="C58" s="353">
        <f>C36-C37</f>
        <v>499.9999999999999</v>
      </c>
      <c r="D58" s="353">
        <f>D36-D37</f>
        <v>147</v>
      </c>
      <c r="E58" s="354">
        <f t="shared" si="11"/>
        <v>6428.700000000002</v>
      </c>
      <c r="F58" s="355">
        <f t="shared" si="6"/>
        <v>693804.0000000002</v>
      </c>
      <c r="G58" s="355">
        <f t="shared" si="7"/>
        <v>59999.999999999985</v>
      </c>
      <c r="H58" s="355">
        <f t="shared" si="8"/>
        <v>15584.939999999999</v>
      </c>
      <c r="I58" s="355">
        <f t="shared" si="9"/>
        <v>769388.9400000002</v>
      </c>
      <c r="J58" s="356" t="s">
        <v>24</v>
      </c>
      <c r="K58"/>
      <c r="L58"/>
      <c r="M58"/>
      <c r="N58"/>
      <c r="O58"/>
    </row>
    <row r="59" spans="1:15" ht="13.5">
      <c r="A59" s="333" t="s">
        <v>156</v>
      </c>
      <c r="B59" s="353">
        <f aca="true" t="shared" si="12" ref="B59:D67">B37</f>
        <v>2286.5</v>
      </c>
      <c r="C59" s="353">
        <f t="shared" si="12"/>
        <v>235.89999999999998</v>
      </c>
      <c r="D59" s="353">
        <f t="shared" si="12"/>
        <v>26.2</v>
      </c>
      <c r="E59" s="354">
        <f t="shared" si="11"/>
        <v>2548.6</v>
      </c>
      <c r="F59" s="355">
        <f t="shared" si="6"/>
        <v>274380</v>
      </c>
      <c r="G59" s="355">
        <f t="shared" si="7"/>
        <v>28307.999999999996</v>
      </c>
      <c r="H59" s="355">
        <f t="shared" si="8"/>
        <v>2777.7239999999997</v>
      </c>
      <c r="I59" s="355">
        <f t="shared" si="9"/>
        <v>305465.724</v>
      </c>
      <c r="J59" s="255"/>
      <c r="K59"/>
      <c r="L59"/>
      <c r="M59"/>
      <c r="N59"/>
      <c r="O59"/>
    </row>
    <row r="60" spans="1:15" ht="13.5">
      <c r="A60" s="333" t="s">
        <v>20</v>
      </c>
      <c r="B60" s="353">
        <f t="shared" si="12"/>
        <v>21125.300000000007</v>
      </c>
      <c r="C60" s="353">
        <f t="shared" si="12"/>
        <v>1169.6000000000004</v>
      </c>
      <c r="D60" s="353">
        <f t="shared" si="12"/>
        <v>256.09999999999997</v>
      </c>
      <c r="E60" s="354">
        <f t="shared" si="11"/>
        <v>22551.000000000007</v>
      </c>
      <c r="F60" s="355">
        <f t="shared" si="6"/>
        <v>2535036.000000001</v>
      </c>
      <c r="G60" s="355">
        <f t="shared" si="7"/>
        <v>140352.00000000006</v>
      </c>
      <c r="H60" s="355">
        <f t="shared" si="8"/>
        <v>27151.721999999994</v>
      </c>
      <c r="I60" s="355">
        <f t="shared" si="9"/>
        <v>2702539.722000001</v>
      </c>
      <c r="J60" s="255"/>
      <c r="K60"/>
      <c r="L60"/>
      <c r="M60"/>
      <c r="N60"/>
      <c r="O60"/>
    </row>
    <row r="61" spans="1:15" ht="13.5">
      <c r="A61" s="333" t="s">
        <v>11</v>
      </c>
      <c r="B61" s="353">
        <f t="shared" si="12"/>
        <v>2594.5</v>
      </c>
      <c r="C61" s="353">
        <f t="shared" si="12"/>
        <v>691.6</v>
      </c>
      <c r="D61" s="353">
        <f t="shared" si="12"/>
        <v>65.20000000000002</v>
      </c>
      <c r="E61" s="354">
        <f t="shared" si="11"/>
        <v>3351.2999999999997</v>
      </c>
      <c r="F61" s="355">
        <f t="shared" si="6"/>
        <v>311340</v>
      </c>
      <c r="G61" s="355">
        <f t="shared" si="7"/>
        <v>82992</v>
      </c>
      <c r="H61" s="355">
        <f t="shared" si="8"/>
        <v>6912.504000000002</v>
      </c>
      <c r="I61" s="355">
        <f t="shared" si="9"/>
        <v>401244.504</v>
      </c>
      <c r="J61" s="255"/>
      <c r="K61"/>
      <c r="L61"/>
      <c r="M61"/>
      <c r="N61"/>
      <c r="O61"/>
    </row>
    <row r="62" spans="1:15" ht="13.5">
      <c r="A62" s="333" t="s">
        <v>10</v>
      </c>
      <c r="B62" s="353">
        <f t="shared" si="12"/>
        <v>9123.499999999998</v>
      </c>
      <c r="C62" s="353">
        <f t="shared" si="12"/>
        <v>183.3</v>
      </c>
      <c r="D62" s="353">
        <f t="shared" si="12"/>
        <v>41.7</v>
      </c>
      <c r="E62" s="354">
        <f t="shared" si="11"/>
        <v>9348.499999999998</v>
      </c>
      <c r="F62" s="355">
        <f t="shared" si="6"/>
        <v>1094819.9999999998</v>
      </c>
      <c r="G62" s="355">
        <f t="shared" si="7"/>
        <v>9894.534000000001</v>
      </c>
      <c r="H62" s="355">
        <f t="shared" si="8"/>
        <v>1668</v>
      </c>
      <c r="I62" s="355">
        <f t="shared" si="9"/>
        <v>1106382.5339999998</v>
      </c>
      <c r="J62" s="255"/>
      <c r="K62"/>
      <c r="L62"/>
      <c r="M62"/>
      <c r="N62"/>
      <c r="O62"/>
    </row>
    <row r="63" spans="1:15" ht="13.5">
      <c r="A63" s="333" t="s">
        <v>175</v>
      </c>
      <c r="B63" s="353">
        <f t="shared" si="12"/>
        <v>26.9</v>
      </c>
      <c r="C63" s="353">
        <f t="shared" si="12"/>
        <v>0</v>
      </c>
      <c r="D63" s="353">
        <f t="shared" si="12"/>
        <v>0</v>
      </c>
      <c r="E63" s="354">
        <f t="shared" si="11"/>
        <v>26.9</v>
      </c>
      <c r="F63" s="355">
        <f t="shared" si="6"/>
        <v>3228</v>
      </c>
      <c r="G63" s="357" t="s">
        <v>180</v>
      </c>
      <c r="H63" s="357" t="s">
        <v>180</v>
      </c>
      <c r="I63" s="355">
        <f>F63</f>
        <v>3228</v>
      </c>
      <c r="J63" s="255"/>
      <c r="K63"/>
      <c r="L63"/>
      <c r="M63"/>
      <c r="N63"/>
      <c r="O63"/>
    </row>
    <row r="64" spans="1:15" ht="13.5">
      <c r="A64" s="333" t="s">
        <v>176</v>
      </c>
      <c r="B64" s="353">
        <f t="shared" si="12"/>
        <v>0</v>
      </c>
      <c r="C64" s="353">
        <f t="shared" si="12"/>
        <v>0</v>
      </c>
      <c r="D64" s="353">
        <f t="shared" si="12"/>
        <v>0</v>
      </c>
      <c r="E64" s="354">
        <f t="shared" si="11"/>
        <v>0</v>
      </c>
      <c r="F64" s="355">
        <f t="shared" si="6"/>
        <v>0</v>
      </c>
      <c r="G64" s="357" t="s">
        <v>180</v>
      </c>
      <c r="H64" s="357" t="s">
        <v>180</v>
      </c>
      <c r="I64" s="355">
        <f>F64</f>
        <v>0</v>
      </c>
      <c r="J64" s="255"/>
      <c r="K64"/>
      <c r="L64"/>
      <c r="M64"/>
      <c r="N64"/>
      <c r="O64"/>
    </row>
    <row r="65" spans="1:15" ht="13.5">
      <c r="A65" s="333" t="s">
        <v>177</v>
      </c>
      <c r="B65" s="353">
        <f t="shared" si="12"/>
        <v>87.5</v>
      </c>
      <c r="C65" s="353">
        <f t="shared" si="12"/>
        <v>0</v>
      </c>
      <c r="D65" s="353">
        <f t="shared" si="12"/>
        <v>0</v>
      </c>
      <c r="E65" s="354">
        <f t="shared" si="11"/>
        <v>87.5</v>
      </c>
      <c r="F65" s="355">
        <f t="shared" si="6"/>
        <v>10500</v>
      </c>
      <c r="G65" s="357" t="s">
        <v>180</v>
      </c>
      <c r="H65" s="357" t="s">
        <v>180</v>
      </c>
      <c r="I65" s="355">
        <f>F65</f>
        <v>10500</v>
      </c>
      <c r="J65" s="255"/>
      <c r="K65"/>
      <c r="L65"/>
      <c r="M65"/>
      <c r="N65"/>
      <c r="O65"/>
    </row>
    <row r="66" spans="1:15" ht="13.5">
      <c r="A66" s="333" t="s">
        <v>178</v>
      </c>
      <c r="B66" s="353">
        <f t="shared" si="12"/>
        <v>139.60000000000005</v>
      </c>
      <c r="C66" s="353">
        <f t="shared" si="12"/>
        <v>0</v>
      </c>
      <c r="D66" s="353">
        <f t="shared" si="12"/>
        <v>0</v>
      </c>
      <c r="E66" s="354">
        <f t="shared" si="11"/>
        <v>139.60000000000005</v>
      </c>
      <c r="F66" s="355">
        <f t="shared" si="6"/>
        <v>16752.000000000007</v>
      </c>
      <c r="G66" s="357" t="s">
        <v>180</v>
      </c>
      <c r="H66" s="357" t="s">
        <v>180</v>
      </c>
      <c r="I66" s="355">
        <f>F66</f>
        <v>16752.000000000007</v>
      </c>
      <c r="J66" s="255"/>
      <c r="K66"/>
      <c r="L66"/>
      <c r="M66"/>
      <c r="N66"/>
      <c r="O66"/>
    </row>
    <row r="67" spans="1:15" ht="13.5">
      <c r="A67" s="333" t="s">
        <v>179</v>
      </c>
      <c r="B67" s="353">
        <f t="shared" si="12"/>
        <v>0</v>
      </c>
      <c r="C67" s="353">
        <f t="shared" si="12"/>
        <v>0</v>
      </c>
      <c r="D67" s="353">
        <f t="shared" si="12"/>
        <v>0</v>
      </c>
      <c r="E67" s="354">
        <f t="shared" si="11"/>
        <v>0</v>
      </c>
      <c r="F67" s="355">
        <f t="shared" si="6"/>
        <v>0</v>
      </c>
      <c r="G67" s="357" t="s">
        <v>180</v>
      </c>
      <c r="H67" s="357" t="s">
        <v>180</v>
      </c>
      <c r="I67" s="355">
        <f>F67</f>
        <v>0</v>
      </c>
      <c r="J67" s="255"/>
      <c r="K67"/>
      <c r="L67"/>
      <c r="M67"/>
      <c r="N67"/>
      <c r="O67"/>
    </row>
    <row r="68" spans="1:14" ht="13.5">
      <c r="A68" s="358" t="s">
        <v>54</v>
      </c>
      <c r="B68" s="359">
        <f>SUM(B50:B67)</f>
        <v>157518.3</v>
      </c>
      <c r="C68" s="359">
        <f aca="true" t="shared" si="13" ref="C68:I68">SUM(C50:C67)</f>
        <v>7163.300000000001</v>
      </c>
      <c r="D68" s="359">
        <f t="shared" si="13"/>
        <v>2322.1</v>
      </c>
      <c r="E68" s="359">
        <f t="shared" si="13"/>
        <v>167003.69999999995</v>
      </c>
      <c r="F68" s="360">
        <f>SUM(F50:F67)</f>
        <v>19451144</v>
      </c>
      <c r="G68" s="360">
        <f t="shared" si="13"/>
        <v>862200.534</v>
      </c>
      <c r="H68" s="360">
        <f t="shared" si="13"/>
        <v>260298.50799999997</v>
      </c>
      <c r="I68" s="360">
        <f t="shared" si="13"/>
        <v>20573643.042</v>
      </c>
      <c r="J68" s="356" t="s">
        <v>24</v>
      </c>
      <c r="K68" s="20"/>
      <c r="L68" s="20"/>
      <c r="M68" s="20"/>
      <c r="N68" s="30"/>
    </row>
    <row r="69" spans="1:14" ht="13.5">
      <c r="A69" s="318"/>
      <c r="B69" s="361"/>
      <c r="C69" s="361"/>
      <c r="D69" s="361"/>
      <c r="E69" s="362"/>
      <c r="F69" s="363" t="s">
        <v>24</v>
      </c>
      <c r="G69" s="337"/>
      <c r="H69" s="337"/>
      <c r="I69" s="335"/>
      <c r="J69" s="361"/>
      <c r="K69" s="20"/>
      <c r="L69" s="20"/>
      <c r="M69" s="20"/>
      <c r="N69" s="30"/>
    </row>
    <row r="70" spans="1:14" ht="15">
      <c r="A70" s="641" t="s">
        <v>193</v>
      </c>
      <c r="B70" s="642"/>
      <c r="C70" s="361"/>
      <c r="D70" s="361"/>
      <c r="E70" s="364"/>
      <c r="F70" s="337"/>
      <c r="G70" s="337"/>
      <c r="H70" s="337"/>
      <c r="I70" s="335"/>
      <c r="J70" s="361"/>
      <c r="K70" s="20"/>
      <c r="L70" s="20"/>
      <c r="M70" s="20"/>
      <c r="N70" s="30"/>
    </row>
    <row r="71" spans="1:14" ht="54.75">
      <c r="A71" s="323" t="s">
        <v>191</v>
      </c>
      <c r="B71" s="324" t="s">
        <v>173</v>
      </c>
      <c r="C71" s="324" t="s">
        <v>101</v>
      </c>
      <c r="D71" s="365" t="s">
        <v>203</v>
      </c>
      <c r="E71" s="365" t="s">
        <v>100</v>
      </c>
      <c r="F71" s="365" t="s">
        <v>204</v>
      </c>
      <c r="G71" s="365" t="s">
        <v>70</v>
      </c>
      <c r="H71" s="365" t="s">
        <v>174</v>
      </c>
      <c r="I71" s="366" t="s">
        <v>205</v>
      </c>
      <c r="J71" s="365" t="s">
        <v>206</v>
      </c>
      <c r="K71" s="20"/>
      <c r="L71" s="20"/>
      <c r="M71" s="20"/>
      <c r="N71" s="30"/>
    </row>
    <row r="72" spans="1:14" ht="13.5">
      <c r="A72" s="327" t="s">
        <v>50</v>
      </c>
      <c r="B72" s="353">
        <f>F28-F29-F36-F38-F41-F42-F43-F44-F45</f>
        <v>0</v>
      </c>
      <c r="C72" s="353">
        <f>G28-G29-G36-G38-G41-G42-G43-G44-G45</f>
        <v>0</v>
      </c>
      <c r="D72" s="353">
        <f>H28-H29-H36-H38-H41-H42-H43-H44-H45</f>
        <v>0</v>
      </c>
      <c r="E72" s="354">
        <f aca="true" t="shared" si="14" ref="E72:E78">B72+C72+D72</f>
        <v>0</v>
      </c>
      <c r="F72" s="328">
        <f aca="true" t="shared" si="15" ref="F72:F89">B72*D5</f>
        <v>0</v>
      </c>
      <c r="G72" s="328">
        <f aca="true" t="shared" si="16" ref="G72:G84">C72*F5</f>
        <v>0</v>
      </c>
      <c r="H72" s="328">
        <f aca="true" t="shared" si="17" ref="H72:H83">D72*H5</f>
        <v>0</v>
      </c>
      <c r="I72" s="328">
        <v>0</v>
      </c>
      <c r="J72" s="355">
        <f aca="true" t="shared" si="18" ref="J72:J79">F72+G72+H72+I72</f>
        <v>0</v>
      </c>
      <c r="K72" s="20"/>
      <c r="L72" s="20"/>
      <c r="M72" s="20"/>
      <c r="N72" s="30"/>
    </row>
    <row r="73" spans="1:14" ht="13.5">
      <c r="A73" s="327" t="s">
        <v>53</v>
      </c>
      <c r="B73" s="353">
        <f>F29-F30-F31-F40</f>
        <v>65</v>
      </c>
      <c r="C73" s="353">
        <f>G29-G30-G31-G40</f>
        <v>0</v>
      </c>
      <c r="D73" s="353">
        <f>H29-H30-H31-H40</f>
        <v>0</v>
      </c>
      <c r="E73" s="354">
        <f t="shared" si="14"/>
        <v>65</v>
      </c>
      <c r="F73" s="328">
        <f t="shared" si="15"/>
        <v>7800</v>
      </c>
      <c r="G73" s="328">
        <f t="shared" si="16"/>
        <v>0</v>
      </c>
      <c r="H73" s="328">
        <f t="shared" si="17"/>
        <v>0</v>
      </c>
      <c r="I73" s="328">
        <v>0</v>
      </c>
      <c r="J73" s="355">
        <f t="shared" si="18"/>
        <v>7800</v>
      </c>
      <c r="K73" s="20"/>
      <c r="L73" s="20"/>
      <c r="M73" s="20"/>
      <c r="N73" s="30"/>
    </row>
    <row r="74" spans="1:14" ht="13.5">
      <c r="A74" s="327" t="s">
        <v>52</v>
      </c>
      <c r="B74" s="353">
        <f>F30-F32-F34</f>
        <v>0</v>
      </c>
      <c r="C74" s="353">
        <f>G30-G32-G34</f>
        <v>0</v>
      </c>
      <c r="D74" s="353">
        <f>H30-H32-H34</f>
        <v>0</v>
      </c>
      <c r="E74" s="354">
        <f t="shared" si="14"/>
        <v>0</v>
      </c>
      <c r="F74" s="328">
        <f t="shared" si="15"/>
        <v>0</v>
      </c>
      <c r="G74" s="328">
        <f t="shared" si="16"/>
        <v>0</v>
      </c>
      <c r="H74" s="328">
        <f t="shared" si="17"/>
        <v>0</v>
      </c>
      <c r="I74" s="328">
        <v>0</v>
      </c>
      <c r="J74" s="355">
        <f t="shared" si="18"/>
        <v>0</v>
      </c>
      <c r="K74" s="20"/>
      <c r="L74" s="20"/>
      <c r="M74" s="20"/>
      <c r="N74" s="30"/>
    </row>
    <row r="75" spans="1:14" ht="13.5">
      <c r="A75" s="327" t="s">
        <v>51</v>
      </c>
      <c r="B75" s="353">
        <f>F31-F35-F39</f>
        <v>0</v>
      </c>
      <c r="C75" s="353">
        <f>G31-G35-G39</f>
        <v>0</v>
      </c>
      <c r="D75" s="353">
        <f>H31-H35-H39</f>
        <v>0</v>
      </c>
      <c r="E75" s="354">
        <f t="shared" si="14"/>
        <v>0</v>
      </c>
      <c r="F75" s="328">
        <f t="shared" si="15"/>
        <v>0</v>
      </c>
      <c r="G75" s="328">
        <f t="shared" si="16"/>
        <v>0</v>
      </c>
      <c r="H75" s="328">
        <f t="shared" si="17"/>
        <v>0</v>
      </c>
      <c r="I75" s="328">
        <v>0</v>
      </c>
      <c r="J75" s="355">
        <f t="shared" si="18"/>
        <v>0</v>
      </c>
      <c r="K75" s="20"/>
      <c r="L75" s="20"/>
      <c r="M75" s="20"/>
      <c r="N75" s="30"/>
    </row>
    <row r="76" spans="1:14" ht="13.5">
      <c r="A76" s="327" t="s">
        <v>43</v>
      </c>
      <c r="B76" s="353">
        <f>F32-F33</f>
        <v>0</v>
      </c>
      <c r="C76" s="353">
        <f>G32-G33</f>
        <v>0</v>
      </c>
      <c r="D76" s="353">
        <f>H32-H33</f>
        <v>0</v>
      </c>
      <c r="E76" s="354">
        <f t="shared" si="14"/>
        <v>0</v>
      </c>
      <c r="F76" s="328">
        <f t="shared" si="15"/>
        <v>0</v>
      </c>
      <c r="G76" s="328">
        <f t="shared" si="16"/>
        <v>0</v>
      </c>
      <c r="H76" s="328">
        <f t="shared" si="17"/>
        <v>0</v>
      </c>
      <c r="I76" s="328">
        <v>0</v>
      </c>
      <c r="J76" s="355">
        <f t="shared" si="18"/>
        <v>0</v>
      </c>
      <c r="K76" s="20"/>
      <c r="L76" s="20"/>
      <c r="M76" s="20"/>
      <c r="N76" s="30"/>
    </row>
    <row r="77" spans="1:14" ht="13.5">
      <c r="A77" s="327" t="s">
        <v>40</v>
      </c>
      <c r="B77" s="353">
        <f aca="true" t="shared" si="19" ref="B77:D79">F33</f>
        <v>0</v>
      </c>
      <c r="C77" s="353">
        <f t="shared" si="19"/>
        <v>0</v>
      </c>
      <c r="D77" s="353">
        <f t="shared" si="19"/>
        <v>0</v>
      </c>
      <c r="E77" s="354">
        <f t="shared" si="14"/>
        <v>0</v>
      </c>
      <c r="F77" s="328">
        <f t="shared" si="15"/>
        <v>0</v>
      </c>
      <c r="G77" s="328">
        <f t="shared" si="16"/>
        <v>0</v>
      </c>
      <c r="H77" s="328">
        <f t="shared" si="17"/>
        <v>0</v>
      </c>
      <c r="I77" s="328">
        <v>0</v>
      </c>
      <c r="J77" s="355">
        <f t="shared" si="18"/>
        <v>0</v>
      </c>
      <c r="K77" s="20"/>
      <c r="L77" s="20"/>
      <c r="M77" s="20"/>
      <c r="N77" s="30"/>
    </row>
    <row r="78" spans="1:14" ht="13.5">
      <c r="A78" s="327" t="s">
        <v>41</v>
      </c>
      <c r="B78" s="353">
        <f t="shared" si="19"/>
        <v>0</v>
      </c>
      <c r="C78" s="353">
        <f t="shared" si="19"/>
        <v>0</v>
      </c>
      <c r="D78" s="353">
        <f t="shared" si="19"/>
        <v>0</v>
      </c>
      <c r="E78" s="354">
        <f t="shared" si="14"/>
        <v>0</v>
      </c>
      <c r="F78" s="328">
        <f t="shared" si="15"/>
        <v>0</v>
      </c>
      <c r="G78" s="328">
        <f t="shared" si="16"/>
        <v>0</v>
      </c>
      <c r="H78" s="328">
        <f t="shared" si="17"/>
        <v>0</v>
      </c>
      <c r="I78" s="328">
        <v>0</v>
      </c>
      <c r="J78" s="355">
        <f t="shared" si="18"/>
        <v>0</v>
      </c>
      <c r="K78" s="20"/>
      <c r="L78" s="20"/>
      <c r="M78" s="20"/>
      <c r="N78" s="30"/>
    </row>
    <row r="79" spans="1:14" ht="13.5">
      <c r="A79" s="327" t="s">
        <v>15</v>
      </c>
      <c r="B79" s="353">
        <f t="shared" si="19"/>
        <v>0</v>
      </c>
      <c r="C79" s="353">
        <f t="shared" si="19"/>
        <v>0</v>
      </c>
      <c r="D79" s="353">
        <f t="shared" si="19"/>
        <v>0</v>
      </c>
      <c r="E79" s="354">
        <f aca="true" t="shared" si="20" ref="E79:E84">B79+C79+D79</f>
        <v>0</v>
      </c>
      <c r="F79" s="328">
        <f t="shared" si="15"/>
        <v>0</v>
      </c>
      <c r="G79" s="328">
        <f t="shared" si="16"/>
        <v>0</v>
      </c>
      <c r="H79" s="328">
        <f t="shared" si="17"/>
        <v>0</v>
      </c>
      <c r="I79" s="328">
        <v>0</v>
      </c>
      <c r="J79" s="355">
        <f t="shared" si="18"/>
        <v>0</v>
      </c>
      <c r="K79" s="20"/>
      <c r="L79" s="20"/>
      <c r="M79" s="20"/>
      <c r="N79" s="30"/>
    </row>
    <row r="80" spans="1:14" ht="13.5">
      <c r="A80" s="327" t="s">
        <v>157</v>
      </c>
      <c r="B80" s="353">
        <f>F36-F37</f>
        <v>0</v>
      </c>
      <c r="C80" s="353">
        <f>G36-G37</f>
        <v>0</v>
      </c>
      <c r="D80" s="353">
        <f>H36-H37</f>
        <v>0</v>
      </c>
      <c r="E80" s="354">
        <f t="shared" si="20"/>
        <v>0</v>
      </c>
      <c r="F80" s="328">
        <f t="shared" si="15"/>
        <v>0</v>
      </c>
      <c r="G80" s="328">
        <f t="shared" si="16"/>
        <v>0</v>
      </c>
      <c r="H80" s="328">
        <f t="shared" si="17"/>
        <v>0</v>
      </c>
      <c r="I80" s="328">
        <v>0</v>
      </c>
      <c r="J80" s="355">
        <f>F80+G80+H80+I80</f>
        <v>0</v>
      </c>
      <c r="K80" s="20"/>
      <c r="L80" s="20"/>
      <c r="M80" s="20"/>
      <c r="N80" s="30"/>
    </row>
    <row r="81" spans="1:14" ht="13.5">
      <c r="A81" s="327" t="s">
        <v>156</v>
      </c>
      <c r="B81" s="353">
        <f aca="true" t="shared" si="21" ref="B81:B89">F37</f>
        <v>0</v>
      </c>
      <c r="C81" s="353">
        <f aca="true" t="shared" si="22" ref="C81:C89">G37</f>
        <v>0</v>
      </c>
      <c r="D81" s="353">
        <f aca="true" t="shared" si="23" ref="D81:D89">H37</f>
        <v>0</v>
      </c>
      <c r="E81" s="354">
        <f t="shared" si="20"/>
        <v>0</v>
      </c>
      <c r="F81" s="328">
        <f t="shared" si="15"/>
        <v>0</v>
      </c>
      <c r="G81" s="328">
        <f t="shared" si="16"/>
        <v>0</v>
      </c>
      <c r="H81" s="328">
        <f t="shared" si="17"/>
        <v>0</v>
      </c>
      <c r="I81" s="328">
        <v>0</v>
      </c>
      <c r="J81" s="355">
        <f>F81+G81+H81+I81</f>
        <v>0</v>
      </c>
      <c r="K81" s="20"/>
      <c r="L81" s="20"/>
      <c r="M81" s="20"/>
      <c r="N81" s="30"/>
    </row>
    <row r="82" spans="1:14" ht="13.5">
      <c r="A82" s="333" t="s">
        <v>20</v>
      </c>
      <c r="B82" s="353">
        <f t="shared" si="21"/>
        <v>0</v>
      </c>
      <c r="C82" s="353">
        <f t="shared" si="22"/>
        <v>0</v>
      </c>
      <c r="D82" s="353">
        <f t="shared" si="23"/>
        <v>0</v>
      </c>
      <c r="E82" s="354">
        <f t="shared" si="20"/>
        <v>0</v>
      </c>
      <c r="F82" s="328">
        <f t="shared" si="15"/>
        <v>0</v>
      </c>
      <c r="G82" s="328">
        <f t="shared" si="16"/>
        <v>0</v>
      </c>
      <c r="H82" s="328">
        <f t="shared" si="17"/>
        <v>0</v>
      </c>
      <c r="I82" s="328">
        <v>0</v>
      </c>
      <c r="J82" s="355">
        <f>F82+G82+H82+I82</f>
        <v>0</v>
      </c>
      <c r="K82" s="20"/>
      <c r="L82" s="20"/>
      <c r="M82" s="20"/>
      <c r="N82" s="30"/>
    </row>
    <row r="83" spans="1:14" ht="13.5">
      <c r="A83" s="333" t="s">
        <v>11</v>
      </c>
      <c r="B83" s="353">
        <f t="shared" si="21"/>
        <v>0</v>
      </c>
      <c r="C83" s="353">
        <f t="shared" si="22"/>
        <v>0</v>
      </c>
      <c r="D83" s="353">
        <f t="shared" si="23"/>
        <v>0</v>
      </c>
      <c r="E83" s="354">
        <f t="shared" si="20"/>
        <v>0</v>
      </c>
      <c r="F83" s="328">
        <f t="shared" si="15"/>
        <v>0</v>
      </c>
      <c r="G83" s="328">
        <f t="shared" si="16"/>
        <v>0</v>
      </c>
      <c r="H83" s="328">
        <f t="shared" si="17"/>
        <v>0</v>
      </c>
      <c r="I83" s="328">
        <v>0</v>
      </c>
      <c r="J83" s="355">
        <f>F83+G83+H83+I83</f>
        <v>0</v>
      </c>
      <c r="K83" s="20"/>
      <c r="L83" s="20"/>
      <c r="M83" s="20"/>
      <c r="N83" s="30"/>
    </row>
    <row r="84" spans="1:14" ht="13.5">
      <c r="A84" s="333" t="s">
        <v>10</v>
      </c>
      <c r="B84" s="353">
        <f t="shared" si="21"/>
        <v>0</v>
      </c>
      <c r="C84" s="353">
        <f t="shared" si="22"/>
        <v>0</v>
      </c>
      <c r="D84" s="353">
        <f t="shared" si="23"/>
        <v>0.2</v>
      </c>
      <c r="E84" s="354">
        <f t="shared" si="20"/>
        <v>0.2</v>
      </c>
      <c r="F84" s="328">
        <f t="shared" si="15"/>
        <v>0</v>
      </c>
      <c r="G84" s="328">
        <f t="shared" si="16"/>
        <v>0</v>
      </c>
      <c r="H84" s="328">
        <f>D84*H17</f>
        <v>8</v>
      </c>
      <c r="I84" s="328">
        <v>0</v>
      </c>
      <c r="J84" s="355">
        <f>F84+G84+H84+I84</f>
        <v>8</v>
      </c>
      <c r="K84" s="20"/>
      <c r="L84" s="20"/>
      <c r="M84" s="20"/>
      <c r="N84" s="30"/>
    </row>
    <row r="85" spans="1:14" ht="13.5">
      <c r="A85" s="333" t="s">
        <v>175</v>
      </c>
      <c r="B85" s="353">
        <f t="shared" si="21"/>
        <v>0</v>
      </c>
      <c r="C85" s="353">
        <f t="shared" si="22"/>
        <v>0</v>
      </c>
      <c r="D85" s="353">
        <f t="shared" si="23"/>
        <v>0</v>
      </c>
      <c r="E85" s="354">
        <f>B85</f>
        <v>0</v>
      </c>
      <c r="F85" s="328">
        <f t="shared" si="15"/>
        <v>0</v>
      </c>
      <c r="G85" s="328" t="s">
        <v>180</v>
      </c>
      <c r="H85" s="328" t="s">
        <v>180</v>
      </c>
      <c r="I85" s="328">
        <v>0</v>
      </c>
      <c r="J85" s="355">
        <f>F85+I85</f>
        <v>0</v>
      </c>
      <c r="K85" s="20"/>
      <c r="L85" s="20"/>
      <c r="M85" s="20"/>
      <c r="N85" s="30"/>
    </row>
    <row r="86" spans="1:14" ht="13.5">
      <c r="A86" s="333" t="s">
        <v>176</v>
      </c>
      <c r="B86" s="353">
        <f t="shared" si="21"/>
        <v>0</v>
      </c>
      <c r="C86" s="353">
        <f t="shared" si="22"/>
        <v>0</v>
      </c>
      <c r="D86" s="353">
        <f t="shared" si="23"/>
        <v>0</v>
      </c>
      <c r="E86" s="354">
        <f>B86</f>
        <v>0</v>
      </c>
      <c r="F86" s="328">
        <f t="shared" si="15"/>
        <v>0</v>
      </c>
      <c r="G86" s="328" t="s">
        <v>180</v>
      </c>
      <c r="H86" s="328" t="s">
        <v>180</v>
      </c>
      <c r="I86" s="328">
        <v>0</v>
      </c>
      <c r="J86" s="355">
        <f>F86+I86</f>
        <v>0</v>
      </c>
      <c r="K86" s="20"/>
      <c r="L86" s="20"/>
      <c r="M86" s="20"/>
      <c r="N86" s="30"/>
    </row>
    <row r="87" spans="1:14" ht="13.5">
      <c r="A87" s="333" t="s">
        <v>177</v>
      </c>
      <c r="B87" s="353">
        <f t="shared" si="21"/>
        <v>0</v>
      </c>
      <c r="C87" s="353">
        <f t="shared" si="22"/>
        <v>0</v>
      </c>
      <c r="D87" s="353">
        <f t="shared" si="23"/>
        <v>0</v>
      </c>
      <c r="E87" s="354">
        <f>B87</f>
        <v>0</v>
      </c>
      <c r="F87" s="328">
        <f t="shared" si="15"/>
        <v>0</v>
      </c>
      <c r="G87" s="328" t="s">
        <v>180</v>
      </c>
      <c r="H87" s="328" t="s">
        <v>180</v>
      </c>
      <c r="I87" s="328">
        <v>0</v>
      </c>
      <c r="J87" s="355">
        <f>F87+I87</f>
        <v>0</v>
      </c>
      <c r="K87" s="20"/>
      <c r="L87" s="20"/>
      <c r="M87" s="20"/>
      <c r="N87" s="30"/>
    </row>
    <row r="88" spans="1:14" ht="13.5">
      <c r="A88" s="333" t="s">
        <v>178</v>
      </c>
      <c r="B88" s="353">
        <f t="shared" si="21"/>
        <v>0</v>
      </c>
      <c r="C88" s="353">
        <f t="shared" si="22"/>
        <v>0</v>
      </c>
      <c r="D88" s="353">
        <f t="shared" si="23"/>
        <v>0</v>
      </c>
      <c r="E88" s="354">
        <f>B88</f>
        <v>0</v>
      </c>
      <c r="F88" s="328">
        <f t="shared" si="15"/>
        <v>0</v>
      </c>
      <c r="G88" s="328" t="s">
        <v>180</v>
      </c>
      <c r="H88" s="328" t="s">
        <v>180</v>
      </c>
      <c r="I88" s="328">
        <v>0</v>
      </c>
      <c r="J88" s="355">
        <f>F88+I88</f>
        <v>0</v>
      </c>
      <c r="K88" s="20"/>
      <c r="L88" s="20"/>
      <c r="M88" s="20"/>
      <c r="N88" s="30"/>
    </row>
    <row r="89" spans="1:14" ht="13.5">
      <c r="A89" s="333" t="s">
        <v>179</v>
      </c>
      <c r="B89" s="353">
        <f t="shared" si="21"/>
        <v>0</v>
      </c>
      <c r="C89" s="353">
        <f t="shared" si="22"/>
        <v>0</v>
      </c>
      <c r="D89" s="353">
        <f t="shared" si="23"/>
        <v>0</v>
      </c>
      <c r="E89" s="354">
        <f>B89</f>
        <v>0</v>
      </c>
      <c r="F89" s="328">
        <f t="shared" si="15"/>
        <v>0</v>
      </c>
      <c r="G89" s="328" t="s">
        <v>180</v>
      </c>
      <c r="H89" s="328" t="s">
        <v>180</v>
      </c>
      <c r="I89" s="328">
        <v>0</v>
      </c>
      <c r="J89" s="355">
        <f>F89+I89</f>
        <v>0</v>
      </c>
      <c r="K89" s="20"/>
      <c r="L89" s="20"/>
      <c r="M89" s="20"/>
      <c r="N89" s="30"/>
    </row>
    <row r="90" spans="1:14" ht="13.5">
      <c r="A90" s="358" t="s">
        <v>54</v>
      </c>
      <c r="B90" s="359">
        <f>SUM(B72:B89)</f>
        <v>65</v>
      </c>
      <c r="C90" s="359">
        <f>SUM(C72:C89)</f>
        <v>0</v>
      </c>
      <c r="D90" s="359">
        <f>SUM(D72:D89)</f>
        <v>0.2</v>
      </c>
      <c r="E90" s="367">
        <f>B90+C90+D90</f>
        <v>65.2</v>
      </c>
      <c r="F90" s="360">
        <f>SUM(F72:F89)</f>
        <v>7800</v>
      </c>
      <c r="G90" s="360">
        <f>SUM(G72:G89)</f>
        <v>0</v>
      </c>
      <c r="H90" s="360">
        <f>SUM(H72:H89)</f>
        <v>8</v>
      </c>
      <c r="I90" s="360">
        <f>SUM(I72:I89)</f>
        <v>0</v>
      </c>
      <c r="J90" s="368">
        <f>SUM(J72:J89)</f>
        <v>7808</v>
      </c>
      <c r="K90" s="20"/>
      <c r="L90" s="20"/>
      <c r="M90" s="20"/>
      <c r="N90" s="30"/>
    </row>
    <row r="91" spans="1:14" ht="13.5">
      <c r="A91" s="318"/>
      <c r="B91" s="361"/>
      <c r="C91" s="361"/>
      <c r="D91" s="361"/>
      <c r="E91" s="364"/>
      <c r="F91" s="337"/>
      <c r="G91" s="337"/>
      <c r="H91" s="337"/>
      <c r="I91" s="335"/>
      <c r="J91" s="361"/>
      <c r="K91" s="20"/>
      <c r="L91" s="20"/>
      <c r="M91" s="20"/>
      <c r="N91" s="30"/>
    </row>
    <row r="92" spans="1:14" ht="15">
      <c r="A92" s="643" t="s">
        <v>194</v>
      </c>
      <c r="B92" s="643"/>
      <c r="C92" s="643"/>
      <c r="D92" s="643"/>
      <c r="E92" s="255"/>
      <c r="F92" s="255"/>
      <c r="G92" s="255"/>
      <c r="H92" s="255"/>
      <c r="I92" s="255"/>
      <c r="J92" s="255"/>
      <c r="K92" s="20"/>
      <c r="L92" s="20"/>
      <c r="M92" s="20"/>
      <c r="N92" s="20"/>
    </row>
    <row r="93" spans="1:14" ht="49.5" customHeight="1">
      <c r="A93" s="323" t="s">
        <v>75</v>
      </c>
      <c r="B93" s="323" t="s">
        <v>195</v>
      </c>
      <c r="C93" s="323" t="s">
        <v>116</v>
      </c>
      <c r="D93" s="323" t="s">
        <v>76</v>
      </c>
      <c r="E93" s="255"/>
      <c r="F93" s="255"/>
      <c r="G93" s="255"/>
      <c r="H93" s="255"/>
      <c r="I93" s="255"/>
      <c r="J93" s="255"/>
      <c r="K93" s="20"/>
      <c r="L93" s="20"/>
      <c r="M93" s="20"/>
      <c r="N93" s="20"/>
    </row>
    <row r="94" spans="1:14" ht="13.5">
      <c r="A94" s="327" t="s">
        <v>29</v>
      </c>
      <c r="B94" s="327">
        <v>0</v>
      </c>
      <c r="C94" s="355">
        <f aca="true" t="shared" si="24" ref="C94:C105">C6</f>
        <v>0</v>
      </c>
      <c r="D94" s="355">
        <f>B94*C94</f>
        <v>0</v>
      </c>
      <c r="E94" s="255"/>
      <c r="F94" s="255"/>
      <c r="G94" s="255"/>
      <c r="H94" s="255"/>
      <c r="I94" s="255"/>
      <c r="J94" s="255"/>
      <c r="K94" s="20"/>
      <c r="L94" s="20"/>
      <c r="M94" s="20"/>
      <c r="N94" s="20"/>
    </row>
    <row r="95" spans="1:14" ht="13.5">
      <c r="A95" s="327" t="s">
        <v>39</v>
      </c>
      <c r="B95" s="327">
        <v>0</v>
      </c>
      <c r="C95" s="355">
        <f t="shared" si="24"/>
        <v>0</v>
      </c>
      <c r="D95" s="355">
        <f aca="true" t="shared" si="25" ref="D95:D100">B95*C95</f>
        <v>0</v>
      </c>
      <c r="E95" s="255"/>
      <c r="F95" s="255"/>
      <c r="G95" s="255"/>
      <c r="H95" s="255"/>
      <c r="I95" s="255"/>
      <c r="J95" s="255"/>
      <c r="K95" s="20"/>
      <c r="L95" s="20"/>
      <c r="M95" s="20"/>
      <c r="N95" s="20"/>
    </row>
    <row r="96" spans="1:14" ht="13.5">
      <c r="A96" s="327" t="s">
        <v>5</v>
      </c>
      <c r="B96" s="327">
        <v>0</v>
      </c>
      <c r="C96" s="355">
        <f t="shared" si="24"/>
        <v>0</v>
      </c>
      <c r="D96" s="355">
        <f t="shared" si="25"/>
        <v>0</v>
      </c>
      <c r="E96" s="255"/>
      <c r="F96" s="255"/>
      <c r="G96" s="255"/>
      <c r="H96" s="255"/>
      <c r="I96" s="255"/>
      <c r="J96" s="255"/>
      <c r="K96" s="20"/>
      <c r="L96" s="20"/>
      <c r="M96" s="20"/>
      <c r="N96" s="20"/>
    </row>
    <row r="97" spans="1:14" ht="13.5">
      <c r="A97" s="327" t="s">
        <v>8</v>
      </c>
      <c r="B97" s="327">
        <v>0</v>
      </c>
      <c r="C97" s="355">
        <f t="shared" si="24"/>
        <v>95</v>
      </c>
      <c r="D97" s="355">
        <f t="shared" si="25"/>
        <v>0</v>
      </c>
      <c r="E97" s="255"/>
      <c r="F97" s="255" t="s">
        <v>24</v>
      </c>
      <c r="G97" s="255"/>
      <c r="H97" s="255"/>
      <c r="I97" s="255"/>
      <c r="J97" s="255"/>
      <c r="K97" s="20"/>
      <c r="L97" s="20"/>
      <c r="M97" s="20"/>
      <c r="N97" s="20"/>
    </row>
    <row r="98" spans="1:14" ht="13.5">
      <c r="A98" s="327" t="s">
        <v>40</v>
      </c>
      <c r="B98" s="327">
        <v>0</v>
      </c>
      <c r="C98" s="355">
        <f t="shared" si="24"/>
        <v>0</v>
      </c>
      <c r="D98" s="355">
        <f t="shared" si="25"/>
        <v>0</v>
      </c>
      <c r="E98" s="255"/>
      <c r="F98" s="255"/>
      <c r="G98" s="255"/>
      <c r="H98" s="255"/>
      <c r="I98" s="255"/>
      <c r="J98" s="255"/>
      <c r="K98" s="20"/>
      <c r="L98" s="20"/>
      <c r="M98" s="20"/>
      <c r="N98" s="20"/>
    </row>
    <row r="99" spans="1:14" ht="13.5">
      <c r="A99" s="327" t="s">
        <v>41</v>
      </c>
      <c r="B99" s="327">
        <v>0</v>
      </c>
      <c r="C99" s="355">
        <f t="shared" si="24"/>
        <v>0</v>
      </c>
      <c r="D99" s="355">
        <f t="shared" si="25"/>
        <v>0</v>
      </c>
      <c r="E99" s="255"/>
      <c r="F99" s="255"/>
      <c r="G99" s="255"/>
      <c r="H99" s="255"/>
      <c r="I99" s="255"/>
      <c r="J99" s="255"/>
      <c r="K99" s="20"/>
      <c r="L99" s="20"/>
      <c r="M99" s="20"/>
      <c r="N99" s="20"/>
    </row>
    <row r="100" spans="1:14" ht="13.5">
      <c r="A100" s="333" t="s">
        <v>15</v>
      </c>
      <c r="B100" s="327">
        <v>0</v>
      </c>
      <c r="C100" s="355">
        <f t="shared" si="24"/>
        <v>0</v>
      </c>
      <c r="D100" s="355">
        <f t="shared" si="25"/>
        <v>0</v>
      </c>
      <c r="E100" s="255"/>
      <c r="F100" s="255"/>
      <c r="G100" s="255"/>
      <c r="H100" s="255"/>
      <c r="I100" s="255"/>
      <c r="J100" s="255"/>
      <c r="K100" s="20"/>
      <c r="L100" s="20"/>
      <c r="M100" s="20"/>
      <c r="N100" s="20"/>
    </row>
    <row r="101" spans="1:14" ht="13.5">
      <c r="A101" s="333" t="s">
        <v>49</v>
      </c>
      <c r="B101" s="327">
        <v>0</v>
      </c>
      <c r="C101" s="355">
        <f t="shared" si="24"/>
        <v>0</v>
      </c>
      <c r="D101" s="355">
        <f>B101*C101</f>
        <v>0</v>
      </c>
      <c r="E101" s="255"/>
      <c r="F101" s="255"/>
      <c r="G101" s="255"/>
      <c r="H101" s="255"/>
      <c r="I101" s="255"/>
      <c r="J101" s="255"/>
      <c r="K101" s="20"/>
      <c r="L101" s="20"/>
      <c r="M101" s="20"/>
      <c r="N101" s="20"/>
    </row>
    <row r="102" spans="1:14" ht="13.5">
      <c r="A102" s="333" t="s">
        <v>156</v>
      </c>
      <c r="B102" s="327">
        <v>0</v>
      </c>
      <c r="C102" s="355">
        <f t="shared" si="24"/>
        <v>0</v>
      </c>
      <c r="D102" s="355">
        <f>B102*C102</f>
        <v>0</v>
      </c>
      <c r="E102" s="255"/>
      <c r="F102" s="255"/>
      <c r="G102" s="255"/>
      <c r="H102" s="255"/>
      <c r="I102" s="255"/>
      <c r="J102" s="255"/>
      <c r="K102" s="20"/>
      <c r="L102" s="20"/>
      <c r="M102" s="20"/>
      <c r="N102" s="20"/>
    </row>
    <row r="103" spans="1:14" ht="13.5">
      <c r="A103" s="333" t="s">
        <v>20</v>
      </c>
      <c r="B103" s="327">
        <v>0</v>
      </c>
      <c r="C103" s="355">
        <f t="shared" si="24"/>
        <v>0</v>
      </c>
      <c r="D103" s="355">
        <f>B103*C103</f>
        <v>0</v>
      </c>
      <c r="E103" s="255"/>
      <c r="F103" s="255"/>
      <c r="G103" s="255"/>
      <c r="H103" s="255"/>
      <c r="I103" s="255"/>
      <c r="J103" s="255"/>
      <c r="K103" s="20"/>
      <c r="L103" s="20"/>
      <c r="M103" s="20"/>
      <c r="N103" s="20"/>
    </row>
    <row r="104" spans="1:14" ht="13.5">
      <c r="A104" s="333" t="s">
        <v>11</v>
      </c>
      <c r="B104" s="327">
        <v>0</v>
      </c>
      <c r="C104" s="355">
        <f t="shared" si="24"/>
        <v>0</v>
      </c>
      <c r="D104" s="355">
        <f>B104*C104</f>
        <v>0</v>
      </c>
      <c r="E104" s="255"/>
      <c r="F104" s="255"/>
      <c r="G104" s="255"/>
      <c r="H104" s="255"/>
      <c r="I104" s="255"/>
      <c r="J104" s="255"/>
      <c r="K104" s="20"/>
      <c r="L104" s="20"/>
      <c r="M104" s="20"/>
      <c r="N104" s="20"/>
    </row>
    <row r="105" spans="1:14" ht="13.5">
      <c r="A105" s="333" t="s">
        <v>10</v>
      </c>
      <c r="B105" s="327">
        <v>0</v>
      </c>
      <c r="C105" s="355">
        <f t="shared" si="24"/>
        <v>0</v>
      </c>
      <c r="D105" s="355">
        <f>B105*C105</f>
        <v>0</v>
      </c>
      <c r="E105" s="255"/>
      <c r="F105" s="255"/>
      <c r="G105" s="255"/>
      <c r="H105" s="255"/>
      <c r="I105" s="255"/>
      <c r="J105" s="255"/>
      <c r="K105" s="20"/>
      <c r="L105" s="20"/>
      <c r="M105" s="20"/>
      <c r="N105" s="20"/>
    </row>
    <row r="106" spans="1:14" ht="13.5">
      <c r="A106" s="369" t="s">
        <v>54</v>
      </c>
      <c r="B106" s="327" t="s">
        <v>24</v>
      </c>
      <c r="C106" s="327"/>
      <c r="D106" s="368">
        <f>SUM(D94:D105)</f>
        <v>0</v>
      </c>
      <c r="E106" s="255"/>
      <c r="F106" s="255"/>
      <c r="G106" s="255"/>
      <c r="H106" s="255"/>
      <c r="I106" s="255"/>
      <c r="J106" s="255"/>
      <c r="K106" s="20"/>
      <c r="L106" s="20"/>
      <c r="M106" s="20"/>
      <c r="N106" s="20"/>
    </row>
    <row r="107" spans="1:14" ht="13.5">
      <c r="A107" s="336" t="s">
        <v>117</v>
      </c>
      <c r="B107" s="255"/>
      <c r="C107" s="255"/>
      <c r="D107" s="255"/>
      <c r="E107" s="255"/>
      <c r="F107" s="255"/>
      <c r="G107" s="255"/>
      <c r="H107" s="255"/>
      <c r="I107" s="255"/>
      <c r="J107" s="255"/>
      <c r="K107" s="20"/>
      <c r="L107" s="20"/>
      <c r="M107" s="20"/>
      <c r="N107" s="20"/>
    </row>
    <row r="108" spans="1:14" ht="13.5">
      <c r="A108" s="20"/>
      <c r="B108" s="20" t="s">
        <v>24</v>
      </c>
      <c r="C108" s="20"/>
      <c r="D108" s="20"/>
      <c r="E108" s="20"/>
      <c r="F108" s="20"/>
      <c r="G108" s="20"/>
      <c r="H108" s="20"/>
      <c r="I108" s="20"/>
      <c r="J108" s="20"/>
      <c r="K108" s="20"/>
      <c r="L108" s="20"/>
      <c r="M108" s="20"/>
      <c r="N108" s="20"/>
    </row>
    <row r="109" ht="12.75">
      <c r="B109" s="4" t="s">
        <v>24</v>
      </c>
    </row>
    <row r="110" ht="12.75">
      <c r="B110" s="4" t="s">
        <v>24</v>
      </c>
    </row>
  </sheetData>
  <sheetProtection/>
  <mergeCells count="7">
    <mergeCell ref="A24:H24"/>
    <mergeCell ref="A3:B3"/>
    <mergeCell ref="A26:B26"/>
    <mergeCell ref="A48:B48"/>
    <mergeCell ref="A70:B70"/>
    <mergeCell ref="A92:D92"/>
    <mergeCell ref="A46:I46"/>
  </mergeCells>
  <printOptions/>
  <pageMargins left="0.45" right="0.45" top="0.5" bottom="0.5" header="0" footer="0"/>
  <pageSetup fitToHeight="1" fitToWidth="1" horizontalDpi="600" verticalDpi="600" orientation="portrait" paperSize="17" scale="74" r:id="rId1"/>
  <rowBreaks count="1" manualBreakCount="1">
    <brk id="69" max="9" man="1"/>
  </rowBreaks>
</worksheet>
</file>

<file path=xl/worksheets/sheet5.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1.00390625" style="4" customWidth="1"/>
    <col min="2" max="2" width="12.8515625" style="4" customWidth="1"/>
    <col min="3" max="3" width="15.7109375" style="4" customWidth="1"/>
    <col min="4" max="4" width="16.421875" style="4" customWidth="1"/>
    <col min="5" max="5" width="18.57421875" style="4" customWidth="1"/>
    <col min="6" max="6" width="18.7109375" style="4" customWidth="1"/>
    <col min="7" max="7" width="20.00390625" style="4" customWidth="1"/>
    <col min="8" max="8" width="18.421875" style="4" customWidth="1"/>
    <col min="9" max="9" width="18.140625" style="4" customWidth="1"/>
    <col min="10" max="10" width="18.421875" style="4" customWidth="1"/>
    <col min="11" max="11" width="20.00390625" style="4" customWidth="1"/>
    <col min="12" max="12" width="15.7109375" style="4" customWidth="1"/>
    <col min="13" max="13" width="9.8515625" style="4" bestFit="1" customWidth="1"/>
    <col min="14" max="16384" width="9.140625" style="4" customWidth="1"/>
  </cols>
  <sheetData>
    <row r="1" spans="1:7" ht="18">
      <c r="A1" s="370" t="s">
        <v>181</v>
      </c>
      <c r="E1" s="16" t="s">
        <v>24</v>
      </c>
      <c r="F1" s="16" t="s">
        <v>24</v>
      </c>
      <c r="G1" s="16" t="s">
        <v>24</v>
      </c>
    </row>
    <row r="2" ht="12.75">
      <c r="A2" s="19"/>
    </row>
    <row r="3" spans="1:13" ht="15">
      <c r="A3" s="222" t="s">
        <v>0</v>
      </c>
      <c r="B3" s="20"/>
      <c r="C3" s="20"/>
      <c r="D3" s="95" t="s">
        <v>24</v>
      </c>
      <c r="E3" s="20"/>
      <c r="F3" s="20"/>
      <c r="G3" s="20"/>
      <c r="H3" s="20"/>
      <c r="I3" s="20"/>
      <c r="J3" s="20"/>
      <c r="K3" s="20"/>
      <c r="L3" s="20"/>
      <c r="M3" s="20"/>
    </row>
    <row r="4" spans="1:13" ht="12.75" customHeight="1">
      <c r="A4" s="28" t="s">
        <v>1</v>
      </c>
      <c r="B4" s="224">
        <v>0.157</v>
      </c>
      <c r="C4" s="20"/>
      <c r="D4" s="61" t="s">
        <v>24</v>
      </c>
      <c r="E4" s="26" t="s">
        <v>24</v>
      </c>
      <c r="F4" s="26" t="s">
        <v>24</v>
      </c>
      <c r="G4" s="26" t="s">
        <v>24</v>
      </c>
      <c r="H4" s="26" t="s">
        <v>24</v>
      </c>
      <c r="I4" s="26" t="s">
        <v>24</v>
      </c>
      <c r="J4" s="26" t="s">
        <v>24</v>
      </c>
      <c r="K4" s="20"/>
      <c r="L4" s="26" t="s">
        <v>24</v>
      </c>
      <c r="M4" s="20"/>
    </row>
    <row r="5" spans="1:13" ht="12.75" customHeight="1">
      <c r="A5" s="223" t="s">
        <v>2</v>
      </c>
      <c r="B5" s="163">
        <v>0.0565</v>
      </c>
      <c r="C5" s="20"/>
      <c r="D5" s="30" t="s">
        <v>24</v>
      </c>
      <c r="E5" s="60" t="s">
        <v>24</v>
      </c>
      <c r="F5" s="63" t="s">
        <v>24</v>
      </c>
      <c r="G5" s="63" t="s">
        <v>24</v>
      </c>
      <c r="H5" s="63" t="s">
        <v>24</v>
      </c>
      <c r="I5" s="63" t="s">
        <v>24</v>
      </c>
      <c r="J5" s="26" t="s">
        <v>24</v>
      </c>
      <c r="K5" s="26" t="s">
        <v>24</v>
      </c>
      <c r="L5" s="60" t="s">
        <v>24</v>
      </c>
      <c r="M5" s="20"/>
    </row>
    <row r="6" spans="1:13" ht="12.75" customHeight="1">
      <c r="A6" s="28" t="s">
        <v>4</v>
      </c>
      <c r="B6" s="225">
        <v>1.0916</v>
      </c>
      <c r="C6" s="20"/>
      <c r="D6" s="30" t="s">
        <v>24</v>
      </c>
      <c r="E6" s="64" t="s">
        <v>24</v>
      </c>
      <c r="F6" s="58" t="s">
        <v>24</v>
      </c>
      <c r="G6" s="65" t="s">
        <v>24</v>
      </c>
      <c r="H6" s="66" t="s">
        <v>24</v>
      </c>
      <c r="I6" s="66" t="s">
        <v>24</v>
      </c>
      <c r="J6" s="66" t="s">
        <v>24</v>
      </c>
      <c r="K6" s="67" t="s">
        <v>24</v>
      </c>
      <c r="L6" s="68" t="s">
        <v>24</v>
      </c>
      <c r="M6" s="20"/>
    </row>
    <row r="7" spans="1:13" ht="12.75" customHeight="1">
      <c r="A7" s="28" t="s">
        <v>36</v>
      </c>
      <c r="B7" s="42">
        <v>165007.1</v>
      </c>
      <c r="C7" s="20"/>
      <c r="D7" s="30" t="s">
        <v>24</v>
      </c>
      <c r="E7" s="60" t="s">
        <v>24</v>
      </c>
      <c r="F7" s="69" t="s">
        <v>24</v>
      </c>
      <c r="G7" s="58" t="s">
        <v>24</v>
      </c>
      <c r="H7" s="58" t="s">
        <v>24</v>
      </c>
      <c r="I7" s="58" t="s">
        <v>24</v>
      </c>
      <c r="J7" s="65" t="s">
        <v>24</v>
      </c>
      <c r="K7" s="66"/>
      <c r="L7" s="60" t="s">
        <v>24</v>
      </c>
      <c r="M7" s="20"/>
    </row>
    <row r="8" spans="1:13" ht="12.75" customHeight="1">
      <c r="A8" s="28" t="s">
        <v>37</v>
      </c>
      <c r="B8" s="224">
        <v>0.025</v>
      </c>
      <c r="C8" s="20"/>
      <c r="D8" s="70" t="s">
        <v>24</v>
      </c>
      <c r="E8" s="60" t="s">
        <v>24</v>
      </c>
      <c r="F8" s="58" t="s">
        <v>24</v>
      </c>
      <c r="G8" s="65" t="s">
        <v>24</v>
      </c>
      <c r="H8" s="65" t="s">
        <v>24</v>
      </c>
      <c r="I8" s="65" t="s">
        <v>24</v>
      </c>
      <c r="J8" s="66" t="s">
        <v>24</v>
      </c>
      <c r="K8" s="66"/>
      <c r="L8" s="60" t="s">
        <v>33</v>
      </c>
      <c r="M8" s="20"/>
    </row>
    <row r="9" spans="1:13" ht="12.75" customHeight="1">
      <c r="A9" s="28" t="s">
        <v>38</v>
      </c>
      <c r="B9" s="226">
        <f>B7*B8</f>
        <v>4125.177500000001</v>
      </c>
      <c r="C9" s="71" t="s">
        <v>24</v>
      </c>
      <c r="D9" s="70" t="s">
        <v>24</v>
      </c>
      <c r="E9" s="68" t="s">
        <v>24</v>
      </c>
      <c r="F9" s="58" t="s">
        <v>24</v>
      </c>
      <c r="G9" s="65" t="s">
        <v>24</v>
      </c>
      <c r="H9" s="65" t="s">
        <v>24</v>
      </c>
      <c r="I9" s="65" t="s">
        <v>24</v>
      </c>
      <c r="J9" s="66" t="s">
        <v>24</v>
      </c>
      <c r="K9" s="66"/>
      <c r="L9" s="68" t="s">
        <v>24</v>
      </c>
      <c r="M9" s="20"/>
    </row>
    <row r="10" spans="1:13" ht="12.75" customHeight="1">
      <c r="A10" s="28" t="s">
        <v>23</v>
      </c>
      <c r="B10" s="227">
        <f>'BRA Resource Clearing Results'!E68/('BRA Load Pricing Results'!G60*'BRA Load Pricing Results'!B6)</f>
        <v>1.0121006636720626</v>
      </c>
      <c r="C10" s="30" t="s">
        <v>24</v>
      </c>
      <c r="D10" s="70" t="s">
        <v>24</v>
      </c>
      <c r="E10" s="60" t="s">
        <v>24</v>
      </c>
      <c r="F10" s="69" t="s">
        <v>24</v>
      </c>
      <c r="G10" s="65" t="s">
        <v>24</v>
      </c>
      <c r="H10" s="65" t="s">
        <v>24</v>
      </c>
      <c r="I10" s="65" t="s">
        <v>24</v>
      </c>
      <c r="J10" s="65" t="s">
        <v>24</v>
      </c>
      <c r="K10" s="66" t="s">
        <v>24</v>
      </c>
      <c r="L10" s="60" t="s">
        <v>24</v>
      </c>
      <c r="M10" s="20"/>
    </row>
    <row r="11" spans="1:13" ht="13.5">
      <c r="A11" s="20"/>
      <c r="B11" s="20"/>
      <c r="C11" s="20"/>
      <c r="D11" s="22" t="s">
        <v>24</v>
      </c>
      <c r="E11" s="71"/>
      <c r="F11" s="54"/>
      <c r="G11" s="71"/>
      <c r="H11" s="72" t="s">
        <v>24</v>
      </c>
      <c r="I11" s="20"/>
      <c r="J11" s="20"/>
      <c r="K11" s="20"/>
      <c r="L11" s="20" t="s">
        <v>24</v>
      </c>
      <c r="M11" s="20"/>
    </row>
    <row r="12" spans="1:13" ht="13.5">
      <c r="A12" s="22"/>
      <c r="B12" s="32"/>
      <c r="C12" s="251" t="s">
        <v>24</v>
      </c>
      <c r="D12" s="32"/>
      <c r="E12" s="36"/>
      <c r="F12" s="37"/>
      <c r="G12" s="37"/>
      <c r="H12" s="37"/>
      <c r="I12" s="38"/>
      <c r="J12" s="38"/>
      <c r="K12" s="38"/>
      <c r="L12" s="39"/>
      <c r="M12" s="20"/>
    </row>
    <row r="13" spans="1:13" ht="15">
      <c r="A13" s="217" t="s">
        <v>219</v>
      </c>
      <c r="B13" s="32"/>
      <c r="C13" s="32"/>
      <c r="D13" s="32"/>
      <c r="E13" s="55"/>
      <c r="F13" s="56"/>
      <c r="G13" s="56"/>
      <c r="H13" s="56"/>
      <c r="I13" s="57"/>
      <c r="J13" s="57"/>
      <c r="K13" s="38"/>
      <c r="L13" s="39"/>
      <c r="M13" s="20"/>
    </row>
    <row r="14" spans="1:13" ht="69.75" customHeight="1">
      <c r="A14" s="23" t="s">
        <v>3</v>
      </c>
      <c r="B14" s="23" t="s">
        <v>69</v>
      </c>
      <c r="C14" s="23" t="s">
        <v>192</v>
      </c>
      <c r="D14" s="23" t="s">
        <v>207</v>
      </c>
      <c r="E14" s="23" t="s">
        <v>209</v>
      </c>
      <c r="F14" s="23" t="s">
        <v>214</v>
      </c>
      <c r="G14" s="23" t="s">
        <v>210</v>
      </c>
      <c r="H14" s="23" t="s">
        <v>215</v>
      </c>
      <c r="I14" s="23" t="s">
        <v>211</v>
      </c>
      <c r="J14" s="23" t="s">
        <v>212</v>
      </c>
      <c r="K14" s="23" t="s">
        <v>213</v>
      </c>
      <c r="L14" s="23" t="s">
        <v>109</v>
      </c>
      <c r="M14" s="20"/>
    </row>
    <row r="15" spans="1:13" ht="13.5">
      <c r="A15" s="28" t="s">
        <v>6</v>
      </c>
      <c r="B15" s="42">
        <f>K60</f>
        <v>171128.87749999994</v>
      </c>
      <c r="C15" s="191">
        <f>'BRA Resource Clearing Results'!B5</f>
        <v>120</v>
      </c>
      <c r="D15" s="191">
        <f>'BRA Resource Clearing Results'!C5</f>
        <v>0</v>
      </c>
      <c r="E15" s="33">
        <f>('BRA Resource Clearing Results'!C28+'BRA Resource Clearing Results'!D28)*'BRA Resource Clearing Results'!E5</f>
        <v>0</v>
      </c>
      <c r="F15" s="191">
        <f>E15/B15</f>
        <v>0</v>
      </c>
      <c r="G15" s="98">
        <f>('BRA Resource Clearing Results'!D28*'BRA Resource Clearing Results'!G5)</f>
        <v>-32462.958</v>
      </c>
      <c r="H15" s="192">
        <f>G15/B15</f>
        <v>-0.1896988893648298</v>
      </c>
      <c r="I15" s="33">
        <f>'BRA Resource Clearing Results'!B63*'BRA Resource Clearing Results'!C18+'BRA Resource Clearing Results'!B64*'BRA Resource Clearing Results'!C19+'BRA Resource Clearing Results'!B65*'BRA Resource Clearing Results'!C20+'BRA Resource Clearing Results'!B66*'BRA Resource Clearing Results'!C21+'BRA Resource Clearing Results'!B67*'BRA Resource Clearing Results'!C22</f>
        <v>0</v>
      </c>
      <c r="J15" s="191">
        <f>I15/B15</f>
        <v>0</v>
      </c>
      <c r="K15" s="191">
        <f>'BRA Resource Clearing Results'!J72/'BRA Load Pricing Results'!B15</f>
        <v>0</v>
      </c>
      <c r="L15" s="193">
        <f>C15+D15+F15+H15+J15+K15</f>
        <v>119.81030111063517</v>
      </c>
      <c r="M15" s="20"/>
    </row>
    <row r="16" spans="1:13" ht="13.5">
      <c r="A16" s="28" t="s">
        <v>29</v>
      </c>
      <c r="B16" s="42">
        <f>K40+K44+K50+(SUM(K52:K59))</f>
        <v>68662.94251756083</v>
      </c>
      <c r="C16" s="191">
        <f>'BRA Resource Clearing Results'!B6</f>
        <v>120</v>
      </c>
      <c r="D16" s="191">
        <f>'BRA Resource Clearing Results'!C6</f>
        <v>0</v>
      </c>
      <c r="E16" s="33">
        <f>('BRA Resource Clearing Results'!C29+'BRA Resource Clearing Results'!D29)*('BRA Resource Clearing Results'!E6-'BRA Resource Clearing Results'!E5)</f>
        <v>0</v>
      </c>
      <c r="F16" s="191">
        <f>F15+(E16/B16)</f>
        <v>0</v>
      </c>
      <c r="G16" s="98">
        <f>'BRA Resource Clearing Results'!D29*('BRA Resource Clearing Results'!G6-'BRA Resource Clearing Results'!G5)</f>
        <v>0</v>
      </c>
      <c r="H16" s="192">
        <f>H15+(G16/B16)</f>
        <v>-0.1896988893648298</v>
      </c>
      <c r="I16" s="33">
        <v>0</v>
      </c>
      <c r="J16" s="191">
        <f>J15</f>
        <v>0</v>
      </c>
      <c r="K16" s="191">
        <f>K15+'BRA Resource Clearing Results'!J73/'BRA Load Pricing Results'!B16</f>
        <v>0.11359839403918813</v>
      </c>
      <c r="L16" s="193">
        <f>C16+D16+F16+H16+J16+K16</f>
        <v>119.92389950467435</v>
      </c>
      <c r="M16" s="20"/>
    </row>
    <row r="17" spans="1:13" ht="13.5">
      <c r="A17" s="28" t="s">
        <v>39</v>
      </c>
      <c r="B17" s="42">
        <f>K40+K50+K52+K54+K58+K59</f>
        <v>37435.12094158685</v>
      </c>
      <c r="C17" s="191">
        <f>'BRA Resource Clearing Results'!B7</f>
        <v>120</v>
      </c>
      <c r="D17" s="191">
        <f>'BRA Resource Clearing Results'!C6+'BRA Resource Clearing Results'!C7</f>
        <v>0</v>
      </c>
      <c r="E17" s="33">
        <f>('BRA Resource Clearing Results'!C30+'BRA Resource Clearing Results'!D30)*('BRA Resource Clearing Results'!E7-'BRA Resource Clearing Results'!E6)</f>
        <v>0</v>
      </c>
      <c r="F17" s="191">
        <f>F16+(E17/B17)</f>
        <v>0</v>
      </c>
      <c r="G17" s="98">
        <f>'BRA Resource Clearing Results'!D30*('BRA Resource Clearing Results'!G7-'BRA Resource Clearing Results'!G6)</f>
        <v>0</v>
      </c>
      <c r="H17" s="192">
        <f>H16+(G17/B17)</f>
        <v>-0.1896988893648298</v>
      </c>
      <c r="I17" s="33">
        <v>0</v>
      </c>
      <c r="J17" s="191">
        <f aca="true" t="shared" si="0" ref="J17:J22">J16</f>
        <v>0</v>
      </c>
      <c r="K17" s="191">
        <f>K16+('BRA Resource Clearing Results'!J74/'BRA Load Pricing Results'!B17)</f>
        <v>0.11359839403918813</v>
      </c>
      <c r="L17" s="193">
        <f aca="true" t="shared" si="1" ref="L17:L22">C17+D17+F17+H17+J17+K17</f>
        <v>119.92389950467435</v>
      </c>
      <c r="M17" s="20"/>
    </row>
    <row r="18" spans="1:13" ht="13.5">
      <c r="A18" s="28" t="s">
        <v>5</v>
      </c>
      <c r="B18" s="42">
        <f>K44+K56</f>
        <v>15827.877517897774</v>
      </c>
      <c r="C18" s="191">
        <f>'BRA Resource Clearing Results'!B8</f>
        <v>120</v>
      </c>
      <c r="D18" s="191">
        <f>'BRA Resource Clearing Results'!C6+'BRA Resource Clearing Results'!C8</f>
        <v>0</v>
      </c>
      <c r="E18" s="33">
        <f>('BRA Resource Clearing Results'!C31+'BRA Resource Clearing Results'!D31)*('BRA Resource Clearing Results'!E8-'BRA Resource Clearing Results'!E6)</f>
        <v>0</v>
      </c>
      <c r="F18" s="191">
        <f>F16+(E18/B18)</f>
        <v>0</v>
      </c>
      <c r="G18" s="98">
        <f>'BRA Resource Clearing Results'!D31*('BRA Resource Clearing Results'!G8-'BRA Resource Clearing Results'!G6)</f>
        <v>0</v>
      </c>
      <c r="H18" s="192">
        <f>H16+(G18/B18)</f>
        <v>-0.1896988893648298</v>
      </c>
      <c r="I18" s="33">
        <v>0</v>
      </c>
      <c r="J18" s="191">
        <f t="shared" si="0"/>
        <v>0</v>
      </c>
      <c r="K18" s="191">
        <f>K16+('BRA Resource Clearing Results'!J75/'BRA Load Pricing Results'!B18)</f>
        <v>0.11359839403918813</v>
      </c>
      <c r="L18" s="193">
        <f t="shared" si="1"/>
        <v>119.92389950467435</v>
      </c>
      <c r="M18" s="20"/>
    </row>
    <row r="19" spans="1:13" ht="13.5">
      <c r="A19" s="28" t="s">
        <v>15</v>
      </c>
      <c r="B19" s="42">
        <f>K56</f>
        <v>7617.8948442839655</v>
      </c>
      <c r="C19" s="191">
        <f>'BRA Resource Clearing Results'!B12</f>
        <v>120</v>
      </c>
      <c r="D19" s="191">
        <f>'BRA Resource Clearing Results'!C6+'BRA Resource Clearing Results'!C8+'BRA Resource Clearing Results'!C12</f>
        <v>0</v>
      </c>
      <c r="E19" s="33">
        <f>('BRA Resource Clearing Results'!C35+'BRA Resource Clearing Results'!D35)*('BRA Resource Clearing Results'!E12-'BRA Resource Clearing Results'!E8)</f>
        <v>0</v>
      </c>
      <c r="F19" s="191">
        <f>F18+(E19/B19)</f>
        <v>0</v>
      </c>
      <c r="G19" s="98">
        <f>'BRA Resource Clearing Results'!D35*('BRA Resource Clearing Results'!G12-'BRA Resource Clearing Results'!G8)</f>
        <v>0</v>
      </c>
      <c r="H19" s="192">
        <f>H18+(G19/B19)</f>
        <v>-0.1896988893648298</v>
      </c>
      <c r="I19" s="33">
        <v>0</v>
      </c>
      <c r="J19" s="191">
        <f t="shared" si="0"/>
        <v>0</v>
      </c>
      <c r="K19" s="191">
        <f>K18+('BRA Resource Clearing Results'!J79/'BRA Load Pricing Results'!B19)</f>
        <v>0.11359839403918813</v>
      </c>
      <c r="L19" s="193">
        <f t="shared" si="1"/>
        <v>119.92389950467435</v>
      </c>
      <c r="M19" s="20"/>
    </row>
    <row r="20" spans="1:13" ht="13.5">
      <c r="A20" s="21" t="s">
        <v>20</v>
      </c>
      <c r="B20" s="42">
        <f>K45</f>
        <v>26115.82457357292</v>
      </c>
      <c r="C20" s="191">
        <f>'BRA Resource Clearing Results'!B15</f>
        <v>120</v>
      </c>
      <c r="D20" s="191">
        <f>'BRA Resource Clearing Results'!C15</f>
        <v>0</v>
      </c>
      <c r="E20" s="33">
        <f>('BRA Resource Clearing Results'!C38+'BRA Resource Clearing Results'!D38)*('BRA Resource Clearing Results'!E15-'BRA Resource Clearing Results'!E5)</f>
        <v>0</v>
      </c>
      <c r="F20" s="191">
        <f>F15+(E20/B20)</f>
        <v>0</v>
      </c>
      <c r="G20" s="98">
        <f>'BRA Resource Clearing Results'!D38*('BRA Resource Clearing Results'!G15-'BRA Resource Clearing Results'!G5)</f>
        <v>0</v>
      </c>
      <c r="H20" s="192">
        <f>H15+(G20/B20)</f>
        <v>-0.1896988893648298</v>
      </c>
      <c r="I20" s="33">
        <v>0</v>
      </c>
      <c r="J20" s="191">
        <f t="shared" si="0"/>
        <v>0</v>
      </c>
      <c r="K20" s="191">
        <f>K15+('BRA Resource Clearing Results'!J82/'BRA Load Pricing Results'!B20)</f>
        <v>0</v>
      </c>
      <c r="L20" s="193">
        <f t="shared" si="1"/>
        <v>119.81030111063517</v>
      </c>
      <c r="M20" s="20"/>
    </row>
    <row r="21" spans="1:13" ht="13.5">
      <c r="A21" s="21" t="s">
        <v>11</v>
      </c>
      <c r="B21" s="42">
        <f>K44</f>
        <v>8209.98267361381</v>
      </c>
      <c r="C21" s="191">
        <f>'BRA Resource Clearing Results'!B16</f>
        <v>120</v>
      </c>
      <c r="D21" s="191">
        <f>'BRA Resource Clearing Results'!C6+'BRA Resource Clearing Results'!C8+'BRA Resource Clearing Results'!C16</f>
        <v>0</v>
      </c>
      <c r="E21" s="33">
        <f>('BRA Resource Clearing Results'!C39+'BRA Resource Clearing Results'!D39)*('BRA Resource Clearing Results'!E16-'BRA Resource Clearing Results'!E8)</f>
        <v>0</v>
      </c>
      <c r="F21" s="191">
        <f>F18+(E21/B21)</f>
        <v>0</v>
      </c>
      <c r="G21" s="98">
        <f>'BRA Resource Clearing Results'!D39*('BRA Resource Clearing Results'!G16-'BRA Resource Clearing Results'!G8)</f>
        <v>0</v>
      </c>
      <c r="H21" s="192">
        <f>H18+(G21/B21)</f>
        <v>-0.1896988893648298</v>
      </c>
      <c r="I21" s="33">
        <v>0</v>
      </c>
      <c r="J21" s="191">
        <f t="shared" si="0"/>
        <v>0</v>
      </c>
      <c r="K21" s="191">
        <f>K18+('BRA Resource Clearing Results'!J83/'BRA Load Pricing Results'!B21)</f>
        <v>0.11359839403918813</v>
      </c>
      <c r="L21" s="193">
        <f t="shared" si="1"/>
        <v>119.92389950467435</v>
      </c>
      <c r="M21" s="20"/>
    </row>
    <row r="22" spans="1:13" ht="13.5">
      <c r="A22" s="21" t="s">
        <v>10</v>
      </c>
      <c r="B22" s="42">
        <f>K57</f>
        <v>8509.98893512893</v>
      </c>
      <c r="C22" s="191">
        <f>'BRA Resource Clearing Results'!B17</f>
        <v>120</v>
      </c>
      <c r="D22" s="191">
        <f>'BRA Resource Clearing Results'!C6+'BRA Resource Clearing Results'!C17</f>
        <v>0</v>
      </c>
      <c r="E22" s="98">
        <f>('BRA Resource Clearing Results'!C40+'BRA Resource Clearing Results'!D40)*('BRA Resource Clearing Results'!E17-'BRA Resource Clearing Results'!E6)</f>
        <v>-14854.5</v>
      </c>
      <c r="F22" s="192">
        <f>F16+(E22/B22)</f>
        <v>-1.745536934681684</v>
      </c>
      <c r="G22" s="98">
        <f>'BRA Resource Clearing Results'!D40*('BRA Resource Clearing Results'!G17-'BRA Resource Clearing Results'!G6)</f>
        <v>0</v>
      </c>
      <c r="H22" s="192">
        <f>H16+(G22/B22)</f>
        <v>-0.1896988893648298</v>
      </c>
      <c r="I22" s="33">
        <v>0</v>
      </c>
      <c r="J22" s="191">
        <f t="shared" si="0"/>
        <v>0</v>
      </c>
      <c r="K22" s="191">
        <f>K16+('BRA Resource Clearing Results'!J84/'BRA Load Pricing Results'!B22)</f>
        <v>0.11453846576677597</v>
      </c>
      <c r="L22" s="193">
        <f t="shared" si="1"/>
        <v>118.17930264172026</v>
      </c>
      <c r="M22" s="20"/>
    </row>
    <row r="23" spans="1:13" s="7" customFormat="1" ht="13.5">
      <c r="A23" s="22" t="s">
        <v>110</v>
      </c>
      <c r="B23" s="32"/>
      <c r="C23" s="50"/>
      <c r="D23" s="50"/>
      <c r="E23" s="50"/>
      <c r="F23" s="52"/>
      <c r="G23" s="100"/>
      <c r="H23" s="32"/>
      <c r="I23" s="32"/>
      <c r="J23" s="50"/>
      <c r="K23" s="32"/>
      <c r="L23" s="58"/>
      <c r="M23" s="30"/>
    </row>
    <row r="24" spans="1:13" s="7" customFormat="1" ht="13.5">
      <c r="A24" s="22"/>
      <c r="B24" s="32"/>
      <c r="C24" s="50"/>
      <c r="D24" s="73" t="s">
        <v>24</v>
      </c>
      <c r="E24" s="73" t="s">
        <v>24</v>
      </c>
      <c r="F24" s="52"/>
      <c r="G24" s="30"/>
      <c r="H24" s="32"/>
      <c r="I24" s="32"/>
      <c r="J24" s="50"/>
      <c r="K24" s="32"/>
      <c r="L24" s="58"/>
      <c r="M24" s="30"/>
    </row>
    <row r="25" spans="1:13" ht="30.75">
      <c r="A25" s="229" t="s">
        <v>163</v>
      </c>
      <c r="B25" s="20"/>
      <c r="C25" s="74" t="s">
        <v>24</v>
      </c>
      <c r="D25" s="20"/>
      <c r="E25" s="54" t="s">
        <v>24</v>
      </c>
      <c r="F25" s="646" t="s">
        <v>24</v>
      </c>
      <c r="G25" s="646"/>
      <c r="H25" s="646"/>
      <c r="I25" s="646"/>
      <c r="J25" s="646"/>
      <c r="K25" s="75" t="s">
        <v>24</v>
      </c>
      <c r="L25" s="20"/>
      <c r="M25" s="20"/>
    </row>
    <row r="26" spans="1:13" ht="79.5" customHeight="1">
      <c r="A26" s="220" t="s">
        <v>68</v>
      </c>
      <c r="B26" s="23" t="s">
        <v>220</v>
      </c>
      <c r="C26" s="24" t="s">
        <v>93</v>
      </c>
      <c r="D26" s="24" t="s">
        <v>164</v>
      </c>
      <c r="E26" s="23" t="s">
        <v>227</v>
      </c>
      <c r="F26" s="23" t="s">
        <v>216</v>
      </c>
      <c r="G26" s="23" t="s">
        <v>217</v>
      </c>
      <c r="H26" s="23" t="s">
        <v>218</v>
      </c>
      <c r="I26" s="24" t="s">
        <v>165</v>
      </c>
      <c r="J26" s="24" t="s">
        <v>228</v>
      </c>
      <c r="K26" s="24" t="s">
        <v>208</v>
      </c>
      <c r="L26" s="20"/>
      <c r="M26" s="20"/>
    </row>
    <row r="27" spans="1:13" ht="13.5">
      <c r="A27" s="28" t="s">
        <v>43</v>
      </c>
      <c r="B27" s="28"/>
      <c r="C27" s="103">
        <f>'BRA Resource Clearing Results'!E54</f>
        <v>2217.4999999999995</v>
      </c>
      <c r="D27" s="29">
        <f>'BRA Resource Clearing Results'!C9</f>
        <v>95</v>
      </c>
      <c r="E27" s="29">
        <f>('BRA Resource Clearing Results'!C32+'BRA Resource Clearing Results'!D32)*('BRA Resource Clearing Results'!E9-'BRA Resource Clearing Results'!E7)</f>
        <v>0</v>
      </c>
      <c r="F27" s="28"/>
      <c r="G27" s="98">
        <f>'BRA Resource Clearing Results'!D32*('BRA Resource Clearing Results'!G9-'BRA Resource Clearing Results'!G7)</f>
        <v>0</v>
      </c>
      <c r="H27" s="28"/>
      <c r="I27" s="76">
        <f>'BRA Resource Clearing Results'!J76</f>
        <v>0</v>
      </c>
      <c r="J27" s="28"/>
      <c r="K27" s="28"/>
      <c r="L27" s="20"/>
      <c r="M27" s="20"/>
    </row>
    <row r="28" spans="1:13" ht="13.5">
      <c r="A28" s="28" t="s">
        <v>40</v>
      </c>
      <c r="B28" s="28"/>
      <c r="C28" s="45">
        <f>'BRA Resource Clearing Results'!E55</f>
        <v>3893.2000000000003</v>
      </c>
      <c r="D28" s="29">
        <f>'BRA Resource Clearing Results'!C9+'BRA Resource Clearing Results'!C10</f>
        <v>95</v>
      </c>
      <c r="E28" s="29">
        <f>('BRA Resource Clearing Results'!C33+'BRA Resource Clearing Results'!D33)*('BRA Resource Clearing Results'!E10-'BRA Resource Clearing Results'!E7)</f>
        <v>0</v>
      </c>
      <c r="F28" s="28"/>
      <c r="G28" s="98">
        <f>'BRA Resource Clearing Results'!D33*('BRA Resource Clearing Results'!G10-'BRA Resource Clearing Results'!G7)</f>
        <v>0</v>
      </c>
      <c r="H28" s="28"/>
      <c r="I28" s="76">
        <f>'BRA Resource Clearing Results'!J77</f>
        <v>0</v>
      </c>
      <c r="J28" s="28"/>
      <c r="K28" s="28"/>
      <c r="L28" s="20"/>
      <c r="M28" s="20"/>
    </row>
    <row r="29" spans="1:13" ht="13.5">
      <c r="A29" s="59" t="s">
        <v>8</v>
      </c>
      <c r="B29" s="190">
        <f>L17</f>
        <v>119.92389950467435</v>
      </c>
      <c r="C29" s="45">
        <f>C28+C27</f>
        <v>6110.7</v>
      </c>
      <c r="D29" s="194">
        <f>(C28*D28+C27*D27)/C29</f>
        <v>95</v>
      </c>
      <c r="E29" s="46">
        <f>SUM(E27:E28)</f>
        <v>0</v>
      </c>
      <c r="F29" s="190">
        <f>E29/K58</f>
        <v>0</v>
      </c>
      <c r="G29" s="98">
        <f>SUM(G27:G28)</f>
        <v>0</v>
      </c>
      <c r="H29" s="190">
        <f>G29/K58</f>
        <v>0</v>
      </c>
      <c r="I29" s="76">
        <f>I27+I28</f>
        <v>0</v>
      </c>
      <c r="J29" s="195">
        <f>I29/K58</f>
        <v>0</v>
      </c>
      <c r="K29" s="196">
        <f>B29+D29+F29+H29+J29</f>
        <v>214.92389950467435</v>
      </c>
      <c r="L29" s="20"/>
      <c r="M29" s="20"/>
    </row>
    <row r="30" spans="1:13" ht="13.5">
      <c r="A30" s="28" t="s">
        <v>42</v>
      </c>
      <c r="B30" s="28"/>
      <c r="C30" s="41">
        <v>3930.7</v>
      </c>
      <c r="D30" s="29">
        <v>0</v>
      </c>
      <c r="E30" s="46">
        <v>0</v>
      </c>
      <c r="F30" s="46"/>
      <c r="G30" s="98">
        <v>0</v>
      </c>
      <c r="H30" s="77"/>
      <c r="I30" s="76">
        <v>0</v>
      </c>
      <c r="J30" s="28"/>
      <c r="K30" s="28"/>
      <c r="L30" s="20"/>
      <c r="M30" s="20"/>
    </row>
    <row r="31" spans="1:13" ht="13.5">
      <c r="A31" s="28" t="s">
        <v>41</v>
      </c>
      <c r="B31" s="28"/>
      <c r="C31" s="45">
        <f>'BRA Resource Clearing Results'!E34</f>
        <v>1682.2999999999993</v>
      </c>
      <c r="D31" s="78">
        <f>'BRA Resource Clearing Results'!C11</f>
        <v>0</v>
      </c>
      <c r="E31" s="46">
        <f>('BRA Resource Clearing Results'!C34+'BRA Resource Clearing Results'!D34)*('BRA Resource Clearing Results'!E11-'BRA Resource Clearing Results'!E7)</f>
        <v>0</v>
      </c>
      <c r="F31" s="28"/>
      <c r="G31" s="98">
        <f>'BRA Resource Clearing Results'!D34*('BRA Resource Clearing Results'!G11-'BRA Resource Clearing Results'!G7)</f>
        <v>0</v>
      </c>
      <c r="H31" s="28"/>
      <c r="I31" s="76">
        <f>'BRA Resource Clearing Results'!J78</f>
        <v>0</v>
      </c>
      <c r="J31" s="28"/>
      <c r="K31" s="28"/>
      <c r="L31" s="20"/>
      <c r="M31" s="20"/>
    </row>
    <row r="32" spans="1:13" ht="13.5">
      <c r="A32" s="59" t="s">
        <v>17</v>
      </c>
      <c r="B32" s="190">
        <f>L17</f>
        <v>119.92389950467435</v>
      </c>
      <c r="C32" s="41">
        <f>C30+C31</f>
        <v>5612.999999999999</v>
      </c>
      <c r="D32" s="194">
        <f>(C31*D31+C30*D30)/C32</f>
        <v>0</v>
      </c>
      <c r="E32" s="46">
        <f>SUM(E30:E31)</f>
        <v>0</v>
      </c>
      <c r="F32" s="190">
        <f>E32/K50</f>
        <v>0</v>
      </c>
      <c r="G32" s="98">
        <f>SUM(G30:G31)</f>
        <v>0</v>
      </c>
      <c r="H32" s="190">
        <f>G32/K50</f>
        <v>0</v>
      </c>
      <c r="I32" s="76">
        <f>I30+I31</f>
        <v>0</v>
      </c>
      <c r="J32" s="195">
        <f>I32/K50</f>
        <v>0</v>
      </c>
      <c r="K32" s="196">
        <f>B32+D32+F32+H32+J32</f>
        <v>119.92389950467435</v>
      </c>
      <c r="L32" s="20"/>
      <c r="M32" s="20"/>
    </row>
    <row r="33" spans="1:13" ht="13.5">
      <c r="A33" s="28" t="s">
        <v>157</v>
      </c>
      <c r="B33" s="28"/>
      <c r="C33" s="103">
        <f>'BRA Resource Clearing Results'!E58</f>
        <v>6428.700000000002</v>
      </c>
      <c r="D33" s="29">
        <f>'BRA Resource Clearing Results'!C13</f>
        <v>0</v>
      </c>
      <c r="E33" s="29">
        <f>('BRA Resource Clearing Results'!C36+'BRA Resource Clearing Results'!D36)*('BRA Resource Clearing Results'!E13-'BRA Resource Clearing Results'!E5)</f>
        <v>0</v>
      </c>
      <c r="F33" s="28"/>
      <c r="G33" s="98">
        <f>'BRA Resource Clearing Results'!D36*('BRA Resource Clearing Results'!G13-'BRA Resource Clearing Results'!G5)</f>
        <v>0</v>
      </c>
      <c r="H33" s="28"/>
      <c r="I33" s="76">
        <f>'BRA Resource Clearing Results'!J80</f>
        <v>0</v>
      </c>
      <c r="J33" s="28"/>
      <c r="K33" s="28"/>
      <c r="L33" s="20"/>
      <c r="M33" s="20"/>
    </row>
    <row r="34" spans="1:13" ht="13.5">
      <c r="A34" s="28" t="s">
        <v>156</v>
      </c>
      <c r="B34" s="28"/>
      <c r="C34" s="45">
        <f>'BRA Resource Clearing Results'!E59</f>
        <v>2548.6</v>
      </c>
      <c r="D34" s="29">
        <f>'BRA Resource Clearing Results'!C13+'BRA Resource Clearing Results'!C14</f>
        <v>0</v>
      </c>
      <c r="E34" s="29">
        <f>('BRA Resource Clearing Results'!C37+'BRA Resource Clearing Results'!D37)*('BRA Resource Clearing Results'!E14-'BRA Resource Clearing Results'!E5)</f>
        <v>0</v>
      </c>
      <c r="F34" s="28"/>
      <c r="G34" s="98">
        <f>'BRA Resource Clearing Results'!D37*('BRA Resource Clearing Results'!G14-'BRA Resource Clearing Results'!G5)</f>
        <v>0</v>
      </c>
      <c r="H34" s="28"/>
      <c r="I34" s="76">
        <f>'BRA Resource Clearing Results'!J81</f>
        <v>0</v>
      </c>
      <c r="J34" s="28"/>
      <c r="K34" s="28"/>
      <c r="L34" s="20"/>
      <c r="M34" s="20"/>
    </row>
    <row r="35" spans="1:13" ht="13.5">
      <c r="A35" s="59" t="s">
        <v>49</v>
      </c>
      <c r="B35" s="190">
        <f>L15</f>
        <v>119.81030111063517</v>
      </c>
      <c r="C35" s="45">
        <f>C34+C33</f>
        <v>8977.300000000001</v>
      </c>
      <c r="D35" s="194">
        <f>(C34*D34+C33*D33)/C35</f>
        <v>0</v>
      </c>
      <c r="E35" s="46">
        <f>SUM(E33:E34)</f>
        <v>0</v>
      </c>
      <c r="F35" s="190">
        <f>E35/K43</f>
        <v>0</v>
      </c>
      <c r="G35" s="98">
        <f>SUM(G33:G34)</f>
        <v>0</v>
      </c>
      <c r="H35" s="190">
        <f>G35/K43</f>
        <v>0</v>
      </c>
      <c r="I35" s="76">
        <f>I33+I34</f>
        <v>0</v>
      </c>
      <c r="J35" s="195">
        <f>I35/K43</f>
        <v>0</v>
      </c>
      <c r="K35" s="196">
        <f>B35+D35+F35+H35+J35</f>
        <v>119.81030111063517</v>
      </c>
      <c r="L35" s="20"/>
      <c r="M35" s="20"/>
    </row>
    <row r="36" spans="1:13" ht="12.75" customHeight="1">
      <c r="A36" s="102" t="s">
        <v>221</v>
      </c>
      <c r="B36" s="102"/>
      <c r="C36" s="79"/>
      <c r="D36" s="79"/>
      <c r="E36" s="79"/>
      <c r="F36" s="79"/>
      <c r="G36" s="101"/>
      <c r="H36" s="20"/>
      <c r="I36" s="20"/>
      <c r="J36" s="20"/>
      <c r="K36" s="20"/>
      <c r="L36" s="20"/>
      <c r="M36" s="20"/>
    </row>
    <row r="37" spans="1:13" ht="13.5">
      <c r="A37" s="30"/>
      <c r="B37" s="34"/>
      <c r="C37" s="34"/>
      <c r="D37" s="34" t="s">
        <v>24</v>
      </c>
      <c r="E37" s="43"/>
      <c r="F37" s="80" t="s">
        <v>24</v>
      </c>
      <c r="G37" s="70"/>
      <c r="H37" s="70"/>
      <c r="I37" s="70"/>
      <c r="J37" s="70"/>
      <c r="K37" s="70"/>
      <c r="L37" s="81"/>
      <c r="M37" s="20"/>
    </row>
    <row r="38" spans="1:13" s="2" customFormat="1" ht="17.25">
      <c r="A38" s="575" t="s">
        <v>45</v>
      </c>
      <c r="B38" s="96"/>
      <c r="C38" s="20"/>
      <c r="D38" s="20"/>
      <c r="E38" s="82"/>
      <c r="F38" s="82"/>
      <c r="G38" s="82"/>
      <c r="H38" s="82"/>
      <c r="I38" s="82"/>
      <c r="J38" s="82"/>
      <c r="K38" s="82"/>
      <c r="L38" s="97"/>
      <c r="M38" s="20"/>
    </row>
    <row r="39" spans="1:13" ht="54.75" customHeight="1">
      <c r="A39" s="219" t="s">
        <v>7</v>
      </c>
      <c r="B39" s="219" t="s">
        <v>28</v>
      </c>
      <c r="C39" s="219" t="s">
        <v>27</v>
      </c>
      <c r="D39" s="219" t="s">
        <v>34</v>
      </c>
      <c r="E39" s="219" t="s">
        <v>189</v>
      </c>
      <c r="F39" s="219" t="s">
        <v>22</v>
      </c>
      <c r="G39" s="219" t="s">
        <v>292</v>
      </c>
      <c r="H39" s="219" t="s">
        <v>30</v>
      </c>
      <c r="I39" s="230" t="s">
        <v>23</v>
      </c>
      <c r="J39" s="230" t="s">
        <v>25</v>
      </c>
      <c r="K39" s="230" t="s">
        <v>26</v>
      </c>
      <c r="L39" s="231" t="s">
        <v>35</v>
      </c>
      <c r="M39" s="219" t="s">
        <v>7</v>
      </c>
    </row>
    <row r="40" spans="1:13" ht="13.5">
      <c r="A40" s="28" t="s">
        <v>16</v>
      </c>
      <c r="B40" s="86" t="s">
        <v>29</v>
      </c>
      <c r="C40" s="86" t="s">
        <v>39</v>
      </c>
      <c r="D40" s="86"/>
      <c r="E40" s="232">
        <v>2590</v>
      </c>
      <c r="F40" s="88">
        <f>G40/E40</f>
        <v>1.0617760617760619</v>
      </c>
      <c r="G40" s="89">
        <v>2750</v>
      </c>
      <c r="H40" s="90">
        <f>$B$9*G40/$G$60</f>
        <v>75.04754287975453</v>
      </c>
      <c r="I40" s="88">
        <f>$B$10</f>
        <v>1.0121006636720626</v>
      </c>
      <c r="J40" s="88">
        <f>I40*F40</f>
        <v>1.0746242567946611</v>
      </c>
      <c r="K40" s="89">
        <f>E40*J40*$B$6+H40</f>
        <v>3113.272525156919</v>
      </c>
      <c r="L40" s="233">
        <f>L17</f>
        <v>119.92389950467435</v>
      </c>
      <c r="M40" s="28" t="s">
        <v>16</v>
      </c>
    </row>
    <row r="41" spans="1:13" ht="13.5">
      <c r="A41" s="28" t="s">
        <v>166</v>
      </c>
      <c r="B41" s="86"/>
      <c r="C41" s="86"/>
      <c r="D41" s="86"/>
      <c r="E41" s="232">
        <v>10988.9</v>
      </c>
      <c r="F41" s="88">
        <v>1.0288045875606529</v>
      </c>
      <c r="G41" s="89">
        <f>E41*F41</f>
        <v>11305.430732245257</v>
      </c>
      <c r="H41" s="90">
        <f>$B$9*G41/$G$60</f>
        <v>308.52538096446204</v>
      </c>
      <c r="I41" s="88">
        <f aca="true" t="shared" si="2" ref="I41:I47">$B$10</f>
        <v>1.0121006636720626</v>
      </c>
      <c r="J41" s="88">
        <f>I41*F41</f>
        <v>1.0412538058589995</v>
      </c>
      <c r="K41" s="89">
        <f>E41*J41*$B$6+H41</f>
        <v>12798.867957732304</v>
      </c>
      <c r="L41" s="233">
        <f>L15</f>
        <v>119.81030111063517</v>
      </c>
      <c r="M41" s="28" t="s">
        <v>166</v>
      </c>
    </row>
    <row r="42" spans="1:13" ht="13.5">
      <c r="A42" s="28" t="s">
        <v>19</v>
      </c>
      <c r="B42" s="86" t="s">
        <v>24</v>
      </c>
      <c r="C42" s="86"/>
      <c r="D42" s="86"/>
      <c r="E42" s="232">
        <v>8270</v>
      </c>
      <c r="F42" s="88">
        <f>G42/E42</f>
        <v>1.0690447400241838</v>
      </c>
      <c r="G42" s="89">
        <v>8841</v>
      </c>
      <c r="H42" s="90">
        <f aca="true" t="shared" si="3" ref="H42:H59">$B$9*G42/$G$60</f>
        <v>241.27102785451265</v>
      </c>
      <c r="I42" s="88">
        <f t="shared" si="2"/>
        <v>1.0121006636720626</v>
      </c>
      <c r="J42" s="88">
        <f>I42*F42</f>
        <v>1.0819808908736042</v>
      </c>
      <c r="K42" s="89">
        <f aca="true" t="shared" si="4" ref="K42:K59">E42*J42*$B$6+H42</f>
        <v>10008.888143604483</v>
      </c>
      <c r="L42" s="233">
        <f>L15</f>
        <v>119.81030111063517</v>
      </c>
      <c r="M42" s="28" t="s">
        <v>19</v>
      </c>
    </row>
    <row r="43" spans="1:13" ht="13.5">
      <c r="A43" s="28" t="s">
        <v>49</v>
      </c>
      <c r="B43" s="86"/>
      <c r="C43" s="86"/>
      <c r="D43" s="86" t="s">
        <v>49</v>
      </c>
      <c r="E43" s="232">
        <v>12680</v>
      </c>
      <c r="F43" s="88">
        <f>G43/E43</f>
        <v>1.031782334384858</v>
      </c>
      <c r="G43" s="89">
        <v>13083</v>
      </c>
      <c r="H43" s="90">
        <f t="shared" si="3"/>
        <v>357.03527399848315</v>
      </c>
      <c r="I43" s="88">
        <f t="shared" si="2"/>
        <v>1.0121006636720626</v>
      </c>
      <c r="J43" s="88">
        <f aca="true" t="shared" si="5" ref="J43:J58">I43*F43</f>
        <v>1.0442675853960248</v>
      </c>
      <c r="K43" s="89">
        <f t="shared" si="4"/>
        <v>14811.252526046535</v>
      </c>
      <c r="L43" s="233">
        <f>K35</f>
        <v>119.81030111063517</v>
      </c>
      <c r="M43" s="28" t="s">
        <v>49</v>
      </c>
    </row>
    <row r="44" spans="1:13" ht="13.5">
      <c r="A44" s="28" t="s">
        <v>11</v>
      </c>
      <c r="B44" s="86" t="s">
        <v>29</v>
      </c>
      <c r="C44" s="86" t="s">
        <v>5</v>
      </c>
      <c r="D44" s="86" t="s">
        <v>11</v>
      </c>
      <c r="E44" s="232">
        <v>6920</v>
      </c>
      <c r="F44" s="88">
        <f>G44/E44</f>
        <v>1.0479768786127168</v>
      </c>
      <c r="G44" s="89">
        <v>7252</v>
      </c>
      <c r="H44" s="90">
        <f t="shared" si="3"/>
        <v>197.90719307781086</v>
      </c>
      <c r="I44" s="88">
        <f t="shared" si="2"/>
        <v>1.0121006636720626</v>
      </c>
      <c r="J44" s="88">
        <f t="shared" si="5"/>
        <v>1.0606580943569073</v>
      </c>
      <c r="K44" s="89">
        <f t="shared" si="4"/>
        <v>8209.98267361381</v>
      </c>
      <c r="L44" s="233">
        <f>L21</f>
        <v>119.92389950467435</v>
      </c>
      <c r="M44" s="28" t="s">
        <v>11</v>
      </c>
    </row>
    <row r="45" spans="1:13" ht="13.5">
      <c r="A45" s="28" t="s">
        <v>190</v>
      </c>
      <c r="B45" s="86"/>
      <c r="C45" s="86"/>
      <c r="D45" s="86" t="s">
        <v>20</v>
      </c>
      <c r="E45" s="232">
        <v>21477.6</v>
      </c>
      <c r="F45" s="88">
        <v>1.074072377462208</v>
      </c>
      <c r="G45" s="89">
        <f>E45*F45</f>
        <v>23068.496894182317</v>
      </c>
      <c r="H45" s="90">
        <f t="shared" si="3"/>
        <v>629.539639940957</v>
      </c>
      <c r="I45" s="88">
        <f t="shared" si="2"/>
        <v>1.0121006636720626</v>
      </c>
      <c r="J45" s="88">
        <f t="shared" si="5"/>
        <v>1.0870693660613309</v>
      </c>
      <c r="K45" s="89">
        <f t="shared" si="4"/>
        <v>26115.82457357292</v>
      </c>
      <c r="L45" s="233">
        <f>L20</f>
        <v>119.81030111063517</v>
      </c>
      <c r="M45" s="28" t="s">
        <v>190</v>
      </c>
    </row>
    <row r="46" spans="1:13" ht="13.5">
      <c r="A46" s="28" t="s">
        <v>21</v>
      </c>
      <c r="B46" s="86"/>
      <c r="C46" s="86"/>
      <c r="D46" s="86"/>
      <c r="E46" s="232">
        <v>3260</v>
      </c>
      <c r="F46" s="88">
        <f>G46/E46</f>
        <v>1.0745398773006134</v>
      </c>
      <c r="G46" s="89">
        <v>3503</v>
      </c>
      <c r="H46" s="90">
        <f t="shared" si="3"/>
        <v>95.59692462101096</v>
      </c>
      <c r="I46" s="88">
        <f t="shared" si="2"/>
        <v>1.0121006636720626</v>
      </c>
      <c r="J46" s="88">
        <f>I46*F46</f>
        <v>1.0875425229580475</v>
      </c>
      <c r="K46" s="89">
        <f t="shared" si="4"/>
        <v>3965.743147499886</v>
      </c>
      <c r="L46" s="233">
        <f>L15</f>
        <v>119.81030111063517</v>
      </c>
      <c r="M46" s="28" t="s">
        <v>21</v>
      </c>
    </row>
    <row r="47" spans="1:13" ht="13.5">
      <c r="A47" s="28" t="s">
        <v>167</v>
      </c>
      <c r="B47" s="86"/>
      <c r="C47" s="86"/>
      <c r="D47" s="86"/>
      <c r="E47" s="232">
        <v>4410</v>
      </c>
      <c r="F47" s="88">
        <v>1.0499051233396584</v>
      </c>
      <c r="G47" s="89">
        <f>E47*F47</f>
        <v>4630.081593927894</v>
      </c>
      <c r="H47" s="90">
        <f t="shared" si="3"/>
        <v>126.3549988934785</v>
      </c>
      <c r="I47" s="88">
        <f t="shared" si="2"/>
        <v>1.0121006636720626</v>
      </c>
      <c r="J47" s="88">
        <f>I47*F47</f>
        <v>1.062609672124767</v>
      </c>
      <c r="K47" s="89">
        <f t="shared" si="4"/>
        <v>5241.711205676533</v>
      </c>
      <c r="L47" s="233">
        <f>L15</f>
        <v>119.81030111063517</v>
      </c>
      <c r="M47" s="28" t="s">
        <v>167</v>
      </c>
    </row>
    <row r="48" spans="1:13" ht="13.5">
      <c r="A48" s="28" t="s">
        <v>48</v>
      </c>
      <c r="B48" s="86"/>
      <c r="C48" s="86"/>
      <c r="D48" s="86"/>
      <c r="E48" s="232">
        <v>2820</v>
      </c>
      <c r="F48" s="88">
        <f>G48/E48</f>
        <v>1.0553191489361702</v>
      </c>
      <c r="G48" s="89">
        <v>2976</v>
      </c>
      <c r="H48" s="90">
        <f t="shared" si="3"/>
        <v>81.21508640369073</v>
      </c>
      <c r="I48" s="88">
        <f aca="true" t="shared" si="6" ref="I48:I59">$B$10</f>
        <v>1.0121006636720626</v>
      </c>
      <c r="J48" s="88">
        <f>I48*F48</f>
        <v>1.0680892110241342</v>
      </c>
      <c r="K48" s="89">
        <f t="shared" si="4"/>
        <v>3369.1269217698155</v>
      </c>
      <c r="L48" s="233">
        <f>L15</f>
        <v>119.81030111063517</v>
      </c>
      <c r="M48" s="28" t="s">
        <v>48</v>
      </c>
    </row>
    <row r="49" spans="1:13" ht="13.5">
      <c r="A49" s="28" t="s">
        <v>32</v>
      </c>
      <c r="B49" s="86"/>
      <c r="C49" s="86"/>
      <c r="D49" s="86"/>
      <c r="E49" s="232">
        <v>18980</v>
      </c>
      <c r="F49" s="88">
        <f>G49/E49</f>
        <v>1.105268703898841</v>
      </c>
      <c r="G49" s="89">
        <v>20978</v>
      </c>
      <c r="H49" s="90">
        <f t="shared" si="3"/>
        <v>572.4899471023602</v>
      </c>
      <c r="I49" s="88">
        <f t="shared" si="6"/>
        <v>1.0121006636720626</v>
      </c>
      <c r="J49" s="88">
        <f t="shared" si="5"/>
        <v>1.1186431887519774</v>
      </c>
      <c r="K49" s="89">
        <f t="shared" si="4"/>
        <v>23749.174920997037</v>
      </c>
      <c r="L49" s="233">
        <f>L15</f>
        <v>119.81030111063517</v>
      </c>
      <c r="M49" s="28" t="s">
        <v>32</v>
      </c>
    </row>
    <row r="50" spans="1:13" ht="13.5">
      <c r="A50" s="28" t="s">
        <v>17</v>
      </c>
      <c r="B50" s="86" t="s">
        <v>29</v>
      </c>
      <c r="C50" s="86" t="s">
        <v>39</v>
      </c>
      <c r="D50" s="86" t="s">
        <v>17</v>
      </c>
      <c r="E50" s="232">
        <v>3970</v>
      </c>
      <c r="F50" s="88">
        <f>G50/E50</f>
        <v>1.053904282115869</v>
      </c>
      <c r="G50" s="89">
        <v>4184</v>
      </c>
      <c r="H50" s="90">
        <f t="shared" si="3"/>
        <v>114.18142523959746</v>
      </c>
      <c r="I50" s="88">
        <f t="shared" si="6"/>
        <v>1.0121006636720626</v>
      </c>
      <c r="J50" s="88">
        <f t="shared" si="5"/>
        <v>1.0666572233762999</v>
      </c>
      <c r="K50" s="89">
        <f t="shared" si="4"/>
        <v>4736.702634638746</v>
      </c>
      <c r="L50" s="233">
        <f>K32</f>
        <v>119.92389950467435</v>
      </c>
      <c r="M50" s="28" t="s">
        <v>17</v>
      </c>
    </row>
    <row r="51" spans="1:13" ht="13.5">
      <c r="A51" s="28" t="s">
        <v>168</v>
      </c>
      <c r="B51" s="86"/>
      <c r="C51" s="86"/>
      <c r="D51" s="86"/>
      <c r="E51" s="232">
        <v>2033.3</v>
      </c>
      <c r="F51" s="88">
        <v>1.0449405342171965</v>
      </c>
      <c r="G51" s="89">
        <f>E51*F51</f>
        <v>2124.6775882238253</v>
      </c>
      <c r="H51" s="90">
        <f t="shared" si="3"/>
        <v>57.98248451195673</v>
      </c>
      <c r="I51" s="88">
        <f t="shared" si="6"/>
        <v>1.0121006636720626</v>
      </c>
      <c r="J51" s="88">
        <f t="shared" si="5"/>
        <v>1.0575850081790643</v>
      </c>
      <c r="K51" s="89">
        <f t="shared" si="4"/>
        <v>2405.3455855396014</v>
      </c>
      <c r="L51" s="233">
        <f>L15</f>
        <v>119.81030111063517</v>
      </c>
      <c r="M51" s="28" t="s">
        <v>168</v>
      </c>
    </row>
    <row r="52" spans="1:13" ht="13.5">
      <c r="A52" s="28" t="s">
        <v>12</v>
      </c>
      <c r="B52" s="86" t="s">
        <v>29</v>
      </c>
      <c r="C52" s="86" t="s">
        <v>39</v>
      </c>
      <c r="D52" s="86"/>
      <c r="E52" s="232">
        <v>6020</v>
      </c>
      <c r="F52" s="88">
        <f aca="true" t="shared" si="7" ref="F52:F59">G52/E52</f>
        <v>1.0579734219269104</v>
      </c>
      <c r="G52" s="89">
        <v>6369</v>
      </c>
      <c r="H52" s="90">
        <f t="shared" si="3"/>
        <v>173.81010930951152</v>
      </c>
      <c r="I52" s="88">
        <f t="shared" si="6"/>
        <v>1.0121006636720626</v>
      </c>
      <c r="J52" s="88">
        <f t="shared" si="5"/>
        <v>1.070775602479629</v>
      </c>
      <c r="K52" s="89">
        <f t="shared" si="4"/>
        <v>7210.339168263425</v>
      </c>
      <c r="L52" s="233">
        <f>L17</f>
        <v>119.92389950467435</v>
      </c>
      <c r="M52" s="28" t="s">
        <v>12</v>
      </c>
    </row>
    <row r="53" spans="1:13" ht="13.5">
      <c r="A53" s="28" t="s">
        <v>13</v>
      </c>
      <c r="B53" s="86" t="s">
        <v>29</v>
      </c>
      <c r="C53" s="86"/>
      <c r="D53" s="86"/>
      <c r="E53" s="232">
        <v>2840</v>
      </c>
      <c r="F53" s="88">
        <f t="shared" si="7"/>
        <v>1.0778169014084507</v>
      </c>
      <c r="G53" s="89">
        <v>3061</v>
      </c>
      <c r="H53" s="90">
        <f t="shared" si="3"/>
        <v>83.53473772906496</v>
      </c>
      <c r="I53" s="88">
        <f t="shared" si="6"/>
        <v>1.0121006636720626</v>
      </c>
      <c r="J53" s="88">
        <f t="shared" si="5"/>
        <v>1.090859201232459</v>
      </c>
      <c r="K53" s="89">
        <f t="shared" si="4"/>
        <v>3465.3553452746646</v>
      </c>
      <c r="L53" s="233">
        <f>L16</f>
        <v>119.92389950467435</v>
      </c>
      <c r="M53" s="28" t="s">
        <v>13</v>
      </c>
    </row>
    <row r="54" spans="1:13" ht="13.5">
      <c r="A54" s="28" t="s">
        <v>9</v>
      </c>
      <c r="B54" s="86" t="s">
        <v>29</v>
      </c>
      <c r="C54" s="86" t="s">
        <v>39</v>
      </c>
      <c r="D54" s="86"/>
      <c r="E54" s="232">
        <v>8360</v>
      </c>
      <c r="F54" s="88">
        <f t="shared" si="7"/>
        <v>1.0623205741626793</v>
      </c>
      <c r="G54" s="89">
        <v>8881</v>
      </c>
      <c r="H54" s="90">
        <f t="shared" si="3"/>
        <v>242.3626284782182</v>
      </c>
      <c r="I54" s="88">
        <f t="shared" si="6"/>
        <v>1.0121006636720626</v>
      </c>
      <c r="J54" s="88">
        <f t="shared" si="5"/>
        <v>1.0751753581425343</v>
      </c>
      <c r="K54" s="89">
        <f t="shared" si="4"/>
        <v>10054.17210760676</v>
      </c>
      <c r="L54" s="233">
        <f>L17</f>
        <v>119.92389950467435</v>
      </c>
      <c r="M54" s="28" t="s">
        <v>9</v>
      </c>
    </row>
    <row r="55" spans="1:13" ht="13.5">
      <c r="A55" s="28" t="s">
        <v>14</v>
      </c>
      <c r="B55" s="86" t="s">
        <v>29</v>
      </c>
      <c r="C55" s="86"/>
      <c r="D55" s="86"/>
      <c r="E55" s="232">
        <v>2770</v>
      </c>
      <c r="F55" s="88">
        <f t="shared" si="7"/>
        <v>1.092057761732852</v>
      </c>
      <c r="G55" s="89">
        <v>3025</v>
      </c>
      <c r="H55" s="90">
        <f t="shared" si="3"/>
        <v>82.55229716772999</v>
      </c>
      <c r="I55" s="88">
        <f t="shared" si="6"/>
        <v>1.0121006636720626</v>
      </c>
      <c r="J55" s="88">
        <f t="shared" si="5"/>
        <v>1.1052723854180466</v>
      </c>
      <c r="K55" s="89">
        <f t="shared" si="4"/>
        <v>3424.599777672611</v>
      </c>
      <c r="L55" s="233">
        <f>L16</f>
        <v>119.92389950467435</v>
      </c>
      <c r="M55" s="28" t="s">
        <v>14</v>
      </c>
    </row>
    <row r="56" spans="1:13" ht="13.5">
      <c r="A56" s="28" t="s">
        <v>15</v>
      </c>
      <c r="B56" s="86" t="s">
        <v>29</v>
      </c>
      <c r="C56" s="86" t="s">
        <v>5</v>
      </c>
      <c r="D56" s="86" t="s">
        <v>15</v>
      </c>
      <c r="E56" s="232">
        <v>6520</v>
      </c>
      <c r="F56" s="88">
        <f t="shared" si="7"/>
        <v>1.0320552147239264</v>
      </c>
      <c r="G56" s="89">
        <v>6729</v>
      </c>
      <c r="H56" s="90">
        <f t="shared" si="3"/>
        <v>183.6345149228612</v>
      </c>
      <c r="I56" s="88">
        <f t="shared" si="6"/>
        <v>1.0121006636720626</v>
      </c>
      <c r="J56" s="88">
        <f t="shared" si="5"/>
        <v>1.044543767768299</v>
      </c>
      <c r="K56" s="89">
        <f t="shared" si="4"/>
        <v>7617.8948442839655</v>
      </c>
      <c r="L56" s="233">
        <f>L19</f>
        <v>119.92389950467435</v>
      </c>
      <c r="M56" s="28" t="s">
        <v>15</v>
      </c>
    </row>
    <row r="57" spans="1:13" ht="13.5">
      <c r="A57" s="28" t="s">
        <v>10</v>
      </c>
      <c r="B57" s="86" t="s">
        <v>29</v>
      </c>
      <c r="C57" s="86"/>
      <c r="D57" s="86" t="s">
        <v>10</v>
      </c>
      <c r="E57" s="232">
        <v>7115</v>
      </c>
      <c r="F57" s="88">
        <f t="shared" si="7"/>
        <v>1.0565003513703444</v>
      </c>
      <c r="G57" s="89">
        <v>7517</v>
      </c>
      <c r="H57" s="90">
        <f t="shared" si="3"/>
        <v>205.13904720985994</v>
      </c>
      <c r="I57" s="88">
        <f t="shared" si="6"/>
        <v>1.0121006636720626</v>
      </c>
      <c r="J57" s="88">
        <f t="shared" si="5"/>
        <v>1.0692847067916929</v>
      </c>
      <c r="K57" s="89">
        <f t="shared" si="4"/>
        <v>8509.98893512893</v>
      </c>
      <c r="L57" s="233">
        <f>L22</f>
        <v>118.17930264172026</v>
      </c>
      <c r="M57" s="28" t="s">
        <v>10</v>
      </c>
    </row>
    <row r="58" spans="1:13" ht="13.5">
      <c r="A58" s="28" t="s">
        <v>8</v>
      </c>
      <c r="B58" s="86" t="s">
        <v>29</v>
      </c>
      <c r="C58" s="86" t="s">
        <v>39</v>
      </c>
      <c r="D58" s="86" t="s">
        <v>8</v>
      </c>
      <c r="E58" s="232">
        <v>10120</v>
      </c>
      <c r="F58" s="88">
        <f t="shared" si="7"/>
        <v>1.034584980237154</v>
      </c>
      <c r="G58" s="89">
        <v>10470</v>
      </c>
      <c r="H58" s="90">
        <f t="shared" si="3"/>
        <v>285.72646325491996</v>
      </c>
      <c r="I58" s="88">
        <f t="shared" si="6"/>
        <v>1.0121006636720626</v>
      </c>
      <c r="J58" s="88">
        <f t="shared" si="5"/>
        <v>1.0471041451231715</v>
      </c>
      <c r="K58" s="89">
        <f t="shared" si="4"/>
        <v>11853.077577597434</v>
      </c>
      <c r="L58" s="233">
        <f>K29</f>
        <v>214.92389950467435</v>
      </c>
      <c r="M58" s="28" t="s">
        <v>8</v>
      </c>
    </row>
    <row r="59" spans="1:13" ht="13.5">
      <c r="A59" s="28" t="s">
        <v>18</v>
      </c>
      <c r="B59" s="86" t="s">
        <v>29</v>
      </c>
      <c r="C59" s="86" t="s">
        <v>39</v>
      </c>
      <c r="D59" s="86"/>
      <c r="E59" s="232">
        <v>400</v>
      </c>
      <c r="F59" s="88">
        <f t="shared" si="7"/>
        <v>1.0325</v>
      </c>
      <c r="G59" s="89">
        <v>413</v>
      </c>
      <c r="H59" s="90">
        <f t="shared" si="3"/>
        <v>11.2707764397595</v>
      </c>
      <c r="I59" s="88">
        <f t="shared" si="6"/>
        <v>1.0121006636720626</v>
      </c>
      <c r="J59" s="88">
        <f>I59*F59</f>
        <v>1.0449939352414046</v>
      </c>
      <c r="K59" s="89">
        <f t="shared" si="4"/>
        <v>467.55692832356635</v>
      </c>
      <c r="L59" s="233">
        <f>L17</f>
        <v>119.92389950467435</v>
      </c>
      <c r="M59" s="28" t="s">
        <v>18</v>
      </c>
    </row>
    <row r="60" spans="1:13" ht="13.5">
      <c r="A60" s="93" t="s">
        <v>82</v>
      </c>
      <c r="B60" s="22"/>
      <c r="C60" s="30"/>
      <c r="D60" s="30"/>
      <c r="E60" s="234">
        <f>SUM(E40:E59)</f>
        <v>142544.8</v>
      </c>
      <c r="F60" s="235"/>
      <c r="G60" s="236">
        <f>SUM(G40:G59)</f>
        <v>151160.6868085793</v>
      </c>
      <c r="H60" s="236">
        <f>SUM(H40:H59)</f>
        <v>4125.177500000001</v>
      </c>
      <c r="I60" s="59"/>
      <c r="J60" s="59"/>
      <c r="K60" s="237">
        <f>SUM(K40:K59)</f>
        <v>171128.87749999994</v>
      </c>
      <c r="L60" s="238"/>
      <c r="M60" s="28"/>
    </row>
    <row r="61" spans="1:13" ht="13.5">
      <c r="A61" s="94" t="s">
        <v>169</v>
      </c>
      <c r="B61" s="30"/>
      <c r="C61" s="30"/>
      <c r="D61" s="30"/>
      <c r="E61" s="30"/>
      <c r="F61" s="30"/>
      <c r="G61" s="30"/>
      <c r="H61" s="30"/>
      <c r="I61" s="30"/>
      <c r="J61" s="30"/>
      <c r="K61" s="30"/>
      <c r="L61" s="30"/>
      <c r="M61" s="20"/>
    </row>
    <row r="62" spans="1:13" ht="30.75" customHeight="1">
      <c r="A62" s="645" t="s">
        <v>92</v>
      </c>
      <c r="B62" s="645"/>
      <c r="C62" s="645"/>
      <c r="D62" s="645"/>
      <c r="E62" s="645"/>
      <c r="F62" s="645"/>
      <c r="G62" s="645"/>
      <c r="H62" s="645"/>
      <c r="I62" s="645"/>
      <c r="J62" s="645"/>
      <c r="K62" s="645"/>
      <c r="L62" s="645"/>
      <c r="M62" s="20"/>
    </row>
    <row r="63" spans="1:10" ht="12.75">
      <c r="A63" s="9"/>
      <c r="C63" s="5"/>
      <c r="D63" s="5"/>
      <c r="E63" s="8"/>
      <c r="F63" s="5"/>
      <c r="G63" s="5"/>
      <c r="I63" s="5"/>
      <c r="J63" s="5" t="s">
        <v>24</v>
      </c>
    </row>
    <row r="64" spans="1:11" ht="12.75">
      <c r="A64" s="9"/>
      <c r="C64" s="5"/>
      <c r="D64" s="5"/>
      <c r="E64" s="8"/>
      <c r="F64" s="5"/>
      <c r="G64" s="5"/>
      <c r="H64" s="12" t="s">
        <v>24</v>
      </c>
      <c r="I64" s="5"/>
      <c r="J64" s="5"/>
      <c r="K64" s="99"/>
    </row>
    <row r="65" ht="12.75">
      <c r="H65" s="12"/>
    </row>
    <row r="66" spans="1:8" ht="13.5">
      <c r="A66" s="17"/>
      <c r="H66" s="12"/>
    </row>
    <row r="67" ht="12.75">
      <c r="H67" s="12"/>
    </row>
    <row r="77" ht="12.75">
      <c r="B77" s="4" t="s">
        <v>24</v>
      </c>
    </row>
    <row r="78" ht="12.75">
      <c r="B78" s="4" t="s">
        <v>24</v>
      </c>
    </row>
    <row r="79" spans="2:4" ht="12.75">
      <c r="B79" s="4" t="s">
        <v>24</v>
      </c>
      <c r="C79" s="4" t="s">
        <v>24</v>
      </c>
      <c r="D79" s="4" t="s">
        <v>24</v>
      </c>
    </row>
    <row r="80" ht="12.75">
      <c r="B80" s="4" t="s">
        <v>24</v>
      </c>
    </row>
    <row r="81" ht="12.75">
      <c r="B81" s="4" t="s">
        <v>24</v>
      </c>
    </row>
    <row r="82" ht="12.75">
      <c r="B82" s="4" t="s">
        <v>24</v>
      </c>
    </row>
  </sheetData>
  <sheetProtection/>
  <mergeCells count="2">
    <mergeCell ref="A62:L62"/>
    <mergeCell ref="F25:J25"/>
  </mergeCells>
  <printOptions/>
  <pageMargins left="0.45" right="0.45" top="0.5" bottom="0.5" header="0" footer="0"/>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AD48"/>
  <sheetViews>
    <sheetView zoomScalePageLayoutView="0" workbookViewId="0" topLeftCell="A1">
      <selection activeCell="A1" sqref="A1"/>
    </sheetView>
  </sheetViews>
  <sheetFormatPr defaultColWidth="9.140625" defaultRowHeight="12.75"/>
  <cols>
    <col min="1" max="1" width="17.57421875" style="0" customWidth="1"/>
    <col min="2" max="3" width="12.7109375" style="0" customWidth="1"/>
    <col min="4" max="4" width="15.421875" style="0" customWidth="1"/>
    <col min="5" max="6" width="15.7109375" style="0" customWidth="1"/>
    <col min="7" max="7" width="19.140625" style="0" customWidth="1"/>
    <col min="8" max="10" width="15.7109375" style="0" customWidth="1"/>
    <col min="11" max="11" width="17.28125" style="0" bestFit="1" customWidth="1"/>
    <col min="12" max="26" width="15.7109375" style="0" customWidth="1"/>
    <col min="27" max="27" width="17.28125" style="0" customWidth="1"/>
    <col min="28" max="28" width="15.7109375" style="0" customWidth="1"/>
  </cols>
  <sheetData>
    <row r="1" spans="1:25" ht="18">
      <c r="A1" s="371" t="s">
        <v>182</v>
      </c>
      <c r="B1" s="4"/>
      <c r="C1" s="4"/>
      <c r="D1" s="4"/>
      <c r="E1" s="4"/>
      <c r="F1" s="4"/>
      <c r="G1" s="4"/>
      <c r="H1" s="4"/>
      <c r="I1" s="4"/>
      <c r="J1" s="4"/>
      <c r="K1" s="4"/>
      <c r="L1" s="4"/>
      <c r="M1" s="4"/>
      <c r="N1" s="4"/>
      <c r="O1" s="4"/>
      <c r="P1" s="4"/>
      <c r="Q1" s="4"/>
      <c r="R1" s="4"/>
      <c r="S1" s="4"/>
      <c r="T1" s="4"/>
      <c r="U1" s="4"/>
      <c r="V1" s="4"/>
      <c r="W1" s="4"/>
      <c r="X1" s="4"/>
      <c r="Y1" s="4"/>
    </row>
    <row r="2" spans="1:25" ht="18" thickBot="1">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5.75" thickBot="1">
      <c r="A3" s="218" t="s">
        <v>77</v>
      </c>
      <c r="B3" s="95"/>
      <c r="C3" s="95"/>
      <c r="D3" s="95"/>
      <c r="E3" s="247" t="s">
        <v>24</v>
      </c>
      <c r="F3" s="248"/>
      <c r="G3" s="20"/>
      <c r="H3" s="104" t="s">
        <v>24</v>
      </c>
      <c r="I3" s="105"/>
      <c r="J3" s="104"/>
      <c r="K3" s="104"/>
      <c r="L3" s="104"/>
      <c r="M3" s="20"/>
      <c r="N3" s="20"/>
      <c r="O3" s="20"/>
      <c r="P3" s="20"/>
      <c r="Q3" s="20"/>
      <c r="R3" s="20"/>
      <c r="S3" s="20"/>
      <c r="T3" s="20"/>
      <c r="U3" s="20"/>
      <c r="V3" s="20"/>
      <c r="W3" s="20"/>
      <c r="X3" s="20"/>
      <c r="Y3" s="104"/>
      <c r="Z3" s="20"/>
      <c r="AA3" s="20"/>
      <c r="AB3" s="20"/>
    </row>
    <row r="4" spans="1:28" ht="110.25">
      <c r="A4" s="106" t="s">
        <v>3</v>
      </c>
      <c r="B4" s="107" t="s">
        <v>78</v>
      </c>
      <c r="C4" s="107" t="s">
        <v>79</v>
      </c>
      <c r="D4" s="107" t="s">
        <v>30</v>
      </c>
      <c r="E4" s="107" t="s">
        <v>118</v>
      </c>
      <c r="F4" s="108" t="s">
        <v>80</v>
      </c>
      <c r="G4" s="109" t="s">
        <v>143</v>
      </c>
      <c r="H4" s="108" t="s">
        <v>88</v>
      </c>
      <c r="I4" s="109" t="s">
        <v>144</v>
      </c>
      <c r="J4" s="197" t="s">
        <v>148</v>
      </c>
      <c r="K4" s="26"/>
      <c r="L4" s="20"/>
      <c r="M4" s="20"/>
      <c r="N4" s="26"/>
      <c r="O4" s="20"/>
      <c r="P4" s="20"/>
      <c r="Q4" s="20"/>
      <c r="R4" s="20"/>
      <c r="S4" s="20"/>
      <c r="T4" s="20"/>
      <c r="U4" s="20"/>
      <c r="V4" s="20"/>
      <c r="W4" s="20"/>
      <c r="X4" s="20"/>
      <c r="Y4" s="20"/>
      <c r="Z4" s="20"/>
      <c r="AA4" s="20"/>
      <c r="AB4" s="20"/>
    </row>
    <row r="5" spans="1:28" ht="13.5">
      <c r="A5" s="111" t="s">
        <v>29</v>
      </c>
      <c r="B5" s="40">
        <f>'BRA Load Pricing Results'!B16</f>
        <v>68662.94251756083</v>
      </c>
      <c r="C5" s="40">
        <f>'BRA Resource Clearing Results'!E29</f>
        <v>68363.9</v>
      </c>
      <c r="D5" s="45">
        <f>'BRA Load Pricing Results'!H40+'BRA Load Pricing Results'!H44+'BRA Load Pricing Results'!H50+'BRA Load Pricing Results'!H52+'BRA Load Pricing Results'!H53+'BRA Load Pricing Results'!H54+'BRA Load Pricing Results'!H55+'BRA Load Pricing Results'!H56+'BRA Load Pricing Results'!H57+'BRA Load Pricing Results'!H58+'BRA Load Pricing Results'!H59</f>
        <v>1655.166735709088</v>
      </c>
      <c r="E5" s="245">
        <f>IF(B5-C5-D5&lt;0,0,B5-C5-D5)</f>
        <v>0</v>
      </c>
      <c r="F5" s="113">
        <f>'BRA Resource Clearing Results'!B94</f>
        <v>0</v>
      </c>
      <c r="G5" s="113">
        <f aca="true" t="shared" si="0" ref="G5:G14">E5-F5</f>
        <v>0</v>
      </c>
      <c r="H5" s="113">
        <f>'BRA ICTRs'!C20</f>
        <v>0</v>
      </c>
      <c r="I5" s="113">
        <f>'BRA ICTRs'!C12+'BRA ICTRs'!C18</f>
        <v>0</v>
      </c>
      <c r="J5" s="199">
        <f>G5-H5-I5</f>
        <v>0</v>
      </c>
      <c r="K5" s="221"/>
      <c r="L5" s="20"/>
      <c r="M5" s="20"/>
      <c r="N5" s="34"/>
      <c r="O5" s="20"/>
      <c r="P5" s="20"/>
      <c r="Q5" s="20"/>
      <c r="R5" s="20"/>
      <c r="S5" s="20"/>
      <c r="T5" s="20"/>
      <c r="U5" s="20"/>
      <c r="V5" s="20"/>
      <c r="W5" s="20"/>
      <c r="X5" s="20"/>
      <c r="Y5" s="20"/>
      <c r="Z5" s="20"/>
      <c r="AA5" s="20"/>
      <c r="AB5" s="20"/>
    </row>
    <row r="6" spans="1:28" ht="13.5">
      <c r="A6" s="111" t="s">
        <v>39</v>
      </c>
      <c r="B6" s="40">
        <f>'BRA Load Pricing Results'!B17</f>
        <v>37435.12094158685</v>
      </c>
      <c r="C6" s="40">
        <f>'BRA Resource Clearing Results'!E30</f>
        <v>32210.9</v>
      </c>
      <c r="D6" s="45">
        <f>'BRA Load Pricing Results'!H40+'BRA Load Pricing Results'!H50+'BRA Load Pricing Results'!H52+'BRA Load Pricing Results'!H54+'BRA Load Pricing Results'!H58+'BRA Load Pricing Results'!H59</f>
        <v>902.3989456017612</v>
      </c>
      <c r="E6" s="112">
        <f>B6-C6-D6</f>
        <v>4321.8219959850885</v>
      </c>
      <c r="F6" s="113">
        <f>'BRA Resource Clearing Results'!B95</f>
        <v>0</v>
      </c>
      <c r="G6" s="45">
        <f t="shared" si="0"/>
        <v>4321.8219959850885</v>
      </c>
      <c r="H6" s="113">
        <v>0</v>
      </c>
      <c r="I6" s="45">
        <f>'BRA ICTRs'!D12+'BRA ICTRs'!D18</f>
        <v>898</v>
      </c>
      <c r="J6" s="198">
        <f>G6-H6-I6</f>
        <v>3423.8219959850885</v>
      </c>
      <c r="K6" s="221"/>
      <c r="L6" s="20"/>
      <c r="M6" s="20"/>
      <c r="N6" s="34" t="s">
        <v>24</v>
      </c>
      <c r="O6" s="20"/>
      <c r="P6" s="20"/>
      <c r="Q6" s="20"/>
      <c r="R6" s="20"/>
      <c r="S6" s="20"/>
      <c r="T6" s="20"/>
      <c r="U6" s="20"/>
      <c r="V6" s="20"/>
      <c r="W6" s="20"/>
      <c r="X6" s="20"/>
      <c r="Y6" s="20"/>
      <c r="Z6" s="20"/>
      <c r="AA6" s="20"/>
      <c r="AB6" s="20"/>
    </row>
    <row r="7" spans="1:28" ht="13.5">
      <c r="A7" s="111" t="s">
        <v>5</v>
      </c>
      <c r="B7" s="40">
        <f>'BRA Load Pricing Results'!B18</f>
        <v>15827.877517897774</v>
      </c>
      <c r="C7" s="40">
        <f>'BRA Resource Clearing Results'!E31</f>
        <v>11693.400000000001</v>
      </c>
      <c r="D7" s="45">
        <f>'BRA Load Pricing Results'!H44+'BRA Load Pricing Results'!H56</f>
        <v>381.5417080006721</v>
      </c>
      <c r="E7" s="112">
        <f>B7-C7-D7</f>
        <v>3752.9358098971006</v>
      </c>
      <c r="F7" s="113">
        <f>'BRA Resource Clearing Results'!B96</f>
        <v>0</v>
      </c>
      <c r="G7" s="45">
        <f t="shared" si="0"/>
        <v>3752.9358098971006</v>
      </c>
      <c r="H7" s="113">
        <f>'BRA ICTRs'!E23</f>
        <v>0</v>
      </c>
      <c r="I7" s="45">
        <f>'BRA ICTRs'!E12+'BRA ICTRs'!E18</f>
        <v>237</v>
      </c>
      <c r="J7" s="198">
        <f>G7-H7-I7</f>
        <v>3515.9358098971006</v>
      </c>
      <c r="K7" s="221"/>
      <c r="L7" s="20"/>
      <c r="M7" s="20"/>
      <c r="N7" s="34"/>
      <c r="O7" s="20"/>
      <c r="P7" s="20"/>
      <c r="Q7" s="20"/>
      <c r="R7" s="20"/>
      <c r="S7" s="20"/>
      <c r="T7" s="20"/>
      <c r="U7" s="20"/>
      <c r="V7" s="20"/>
      <c r="W7" s="20"/>
      <c r="X7" s="20"/>
      <c r="Y7" s="20"/>
      <c r="Z7" s="20"/>
      <c r="AA7" s="20"/>
      <c r="AB7" s="20"/>
    </row>
    <row r="8" spans="1:28" ht="13.5">
      <c r="A8" s="111" t="s">
        <v>46</v>
      </c>
      <c r="B8" s="40">
        <f>'BRA Load Pricing Results'!K58</f>
        <v>11853.077577597434</v>
      </c>
      <c r="C8" s="40">
        <f>'BRA Load Pricing Results'!C29</f>
        <v>6110.7</v>
      </c>
      <c r="D8" s="45">
        <f>'BRA Load Pricing Results'!H58</f>
        <v>285.72646325491996</v>
      </c>
      <c r="E8" s="112">
        <f>B8-C8-D8-2</f>
        <v>5454.651114342514</v>
      </c>
      <c r="F8" s="113">
        <f>IF('BRA Resource Clearing Results'!D97+'BRA Resource Clearing Results'!D98=0,0,('BRA Resource Clearing Results'!D97+'BRA Resource Clearing Results'!D98)/'BRA Load Pricing Results'!D29)</f>
        <v>0</v>
      </c>
      <c r="G8" s="45">
        <f t="shared" si="0"/>
        <v>5454.651114342514</v>
      </c>
      <c r="H8" s="113">
        <v>0</v>
      </c>
      <c r="I8" s="45">
        <f>('BRA ICTRs'!C97+'BRA ICTRs'!C98)/L19</f>
        <v>499.4</v>
      </c>
      <c r="J8" s="198">
        <f>G8-H8-I8</f>
        <v>4955.2511143425145</v>
      </c>
      <c r="K8" s="221"/>
      <c r="L8" s="20"/>
      <c r="M8" s="20"/>
      <c r="N8" s="34"/>
      <c r="O8" s="20"/>
      <c r="P8" s="20"/>
      <c r="Q8" s="20"/>
      <c r="R8" s="20"/>
      <c r="S8" s="20"/>
      <c r="T8" s="20"/>
      <c r="U8" s="20"/>
      <c r="V8" s="20"/>
      <c r="W8" s="20"/>
      <c r="X8" s="20"/>
      <c r="Y8" s="20"/>
      <c r="Z8" s="20"/>
      <c r="AA8" s="20"/>
      <c r="AB8" s="20"/>
    </row>
    <row r="9" spans="1:28" ht="13.5">
      <c r="A9" s="111" t="s">
        <v>44</v>
      </c>
      <c r="B9" s="40">
        <f>'BRA Load Pricing Results'!K50</f>
        <v>4736.702634638746</v>
      </c>
      <c r="C9" s="40">
        <f>'BRA Load Pricing Results'!C32</f>
        <v>5612.999999999999</v>
      </c>
      <c r="D9" s="45">
        <f>'BRA Load Pricing Results'!H50</f>
        <v>114.18142523959746</v>
      </c>
      <c r="E9" s="245">
        <f>IF(B9-C9-D9&lt;0,0,B9-C9-D9)</f>
        <v>0</v>
      </c>
      <c r="F9" s="113">
        <f>IF('BRA Resource Clearing Results'!D99=0,0,('BRA Resource Clearing Results'!D99/'BRA Load Pricing Results'!D32))</f>
        <v>0</v>
      </c>
      <c r="G9" s="113">
        <f t="shared" si="0"/>
        <v>0</v>
      </c>
      <c r="H9" s="113">
        <f>'BRA ICTRs'!I21+'BRA ICTRs'!I22</f>
        <v>0</v>
      </c>
      <c r="I9" s="114">
        <f>'BRA ICTRs'!I12+'BRA ICTRs'!I18</f>
        <v>0</v>
      </c>
      <c r="J9" s="199">
        <f>MAX(G9-H9-I9,0)</f>
        <v>0</v>
      </c>
      <c r="K9" s="221"/>
      <c r="L9" s="20"/>
      <c r="M9" s="20"/>
      <c r="N9" s="34"/>
      <c r="O9" s="20"/>
      <c r="P9" s="20"/>
      <c r="Q9" s="20"/>
      <c r="R9" s="20"/>
      <c r="S9" s="20"/>
      <c r="T9" s="20"/>
      <c r="U9" s="20"/>
      <c r="V9" s="20"/>
      <c r="W9" s="20"/>
      <c r="X9" s="20"/>
      <c r="Y9" s="20"/>
      <c r="Z9" s="20"/>
      <c r="AA9" s="20"/>
      <c r="AB9" s="20"/>
    </row>
    <row r="10" spans="1:28" ht="13.5">
      <c r="A10" s="111" t="s">
        <v>15</v>
      </c>
      <c r="B10" s="40">
        <f>'BRA Load Pricing Results'!B19</f>
        <v>7617.8948442839655</v>
      </c>
      <c r="C10" s="40">
        <f>'BRA Resource Clearing Results'!E35</f>
        <v>5937.8</v>
      </c>
      <c r="D10" s="45">
        <f>'BRA Load Pricing Results'!H56</f>
        <v>183.6345149228612</v>
      </c>
      <c r="E10" s="112">
        <f>B10-C10-D10</f>
        <v>1496.4603293611042</v>
      </c>
      <c r="F10" s="113">
        <f>'BRA Resource Clearing Results'!B100</f>
        <v>0</v>
      </c>
      <c r="G10" s="45">
        <f t="shared" si="0"/>
        <v>1496.4603293611042</v>
      </c>
      <c r="H10" s="113">
        <f>'BRA ICTRs'!J23</f>
        <v>0</v>
      </c>
      <c r="I10" s="113">
        <f>'BRA ICTRs'!J12+'BRA ICTRs'!J18</f>
        <v>0</v>
      </c>
      <c r="J10" s="198">
        <f>G10-H10-I10</f>
        <v>1496.4603293611042</v>
      </c>
      <c r="K10" s="221"/>
      <c r="L10" s="20"/>
      <c r="M10" s="20"/>
      <c r="N10" s="34"/>
      <c r="O10" s="20"/>
      <c r="P10" s="20"/>
      <c r="Q10" s="20"/>
      <c r="R10" s="20"/>
      <c r="S10" s="20"/>
      <c r="T10" s="20"/>
      <c r="U10" s="20"/>
      <c r="V10" s="20"/>
      <c r="W10" s="20"/>
      <c r="X10" s="20"/>
      <c r="Y10" s="20"/>
      <c r="Z10" s="20"/>
      <c r="AA10" s="20"/>
      <c r="AB10" s="20"/>
    </row>
    <row r="11" spans="1:28" ht="13.5">
      <c r="A11" s="111" t="s">
        <v>158</v>
      </c>
      <c r="B11" s="40">
        <f>'BRA Load Pricing Results'!K43</f>
        <v>14811.252526046535</v>
      </c>
      <c r="C11" s="40">
        <f>'BRA Load Pricing Results'!C35</f>
        <v>8977.300000000001</v>
      </c>
      <c r="D11" s="45">
        <f>'BRA Load Pricing Results'!H43</f>
        <v>357.03527399848315</v>
      </c>
      <c r="E11" s="112">
        <f>B11-C11-D11</f>
        <v>5476.9172520480515</v>
      </c>
      <c r="F11" s="113">
        <f>IF('BRA Resource Clearing Results'!D101+'BRA Resource Clearing Results'!D102=0,0,('BRA Resource Clearing Results'!D101+'BRA Resource Clearing Results'!D102)/'BRA Load Pricing Results'!D35)</f>
        <v>0</v>
      </c>
      <c r="G11" s="45">
        <f t="shared" si="0"/>
        <v>5476.9172520480515</v>
      </c>
      <c r="H11" s="113">
        <v>0</v>
      </c>
      <c r="I11" s="113">
        <v>0</v>
      </c>
      <c r="J11" s="198">
        <f>G11-H11-I11</f>
        <v>5476.9172520480515</v>
      </c>
      <c r="K11" s="221"/>
      <c r="L11" s="20"/>
      <c r="M11" s="20"/>
      <c r="N11" s="34"/>
      <c r="O11" s="20"/>
      <c r="P11" s="20"/>
      <c r="Q11" s="20"/>
      <c r="R11" s="20"/>
      <c r="S11" s="20"/>
      <c r="T11" s="20"/>
      <c r="U11" s="20"/>
      <c r="V11" s="20"/>
      <c r="W11" s="20"/>
      <c r="X11" s="20"/>
      <c r="Y11" s="20"/>
      <c r="Z11" s="20"/>
      <c r="AA11" s="20"/>
      <c r="AB11" s="20"/>
    </row>
    <row r="12" spans="1:28" ht="13.5">
      <c r="A12" s="115" t="s">
        <v>20</v>
      </c>
      <c r="B12" s="40">
        <f>'BRA Load Pricing Results'!K45</f>
        <v>26115.82457357292</v>
      </c>
      <c r="C12" s="116">
        <f>'BRA Resource Clearing Results'!E38</f>
        <v>22551.000000000007</v>
      </c>
      <c r="D12" s="45">
        <f>'BRA Load Pricing Results'!H45</f>
        <v>629.539639940957</v>
      </c>
      <c r="E12" s="112">
        <f>B12-C12-D12</f>
        <v>2935.2849336319573</v>
      </c>
      <c r="F12" s="113">
        <f>'BRA Resource Clearing Results'!B103</f>
        <v>0</v>
      </c>
      <c r="G12" s="45">
        <f t="shared" si="0"/>
        <v>2935.2849336319573</v>
      </c>
      <c r="H12" s="113">
        <v>0</v>
      </c>
      <c r="I12" s="113">
        <v>0</v>
      </c>
      <c r="J12" s="198">
        <f>G12-H12-I12</f>
        <v>2935.2849336319573</v>
      </c>
      <c r="K12" s="221"/>
      <c r="L12" s="20"/>
      <c r="M12" s="20"/>
      <c r="N12" s="34"/>
      <c r="O12" s="20"/>
      <c r="P12" s="20"/>
      <c r="Q12" s="20"/>
      <c r="R12" s="20"/>
      <c r="S12" s="20"/>
      <c r="T12" s="20"/>
      <c r="U12" s="20"/>
      <c r="V12" s="20"/>
      <c r="W12" s="20"/>
      <c r="X12" s="20"/>
      <c r="Y12" s="20"/>
      <c r="Z12" s="20"/>
      <c r="AA12" s="20"/>
      <c r="AB12" s="20"/>
    </row>
    <row r="13" spans="1:28" ht="13.5">
      <c r="A13" s="115" t="s">
        <v>11</v>
      </c>
      <c r="B13" s="40">
        <f>'BRA Load Pricing Results'!K44</f>
        <v>8209.98267361381</v>
      </c>
      <c r="C13" s="116">
        <f>'BRA Resource Clearing Results'!E39</f>
        <v>3351.2999999999997</v>
      </c>
      <c r="D13" s="45">
        <f>'BRA Load Pricing Results'!H44</f>
        <v>197.90719307781086</v>
      </c>
      <c r="E13" s="112">
        <f>B13-C13-D13</f>
        <v>4660.775480535999</v>
      </c>
      <c r="F13" s="113">
        <f>'BRA Resource Clearing Results'!B104</f>
        <v>0</v>
      </c>
      <c r="G13" s="45">
        <f t="shared" si="0"/>
        <v>4660.775480535999</v>
      </c>
      <c r="H13" s="113">
        <v>0</v>
      </c>
      <c r="I13" s="113">
        <f>'BRA ICTRs'!K12+'BRA ICTRs'!K18</f>
        <v>182</v>
      </c>
      <c r="J13" s="198">
        <f>G13-H13-I13</f>
        <v>4478.775480535999</v>
      </c>
      <c r="K13" s="221"/>
      <c r="L13" s="20"/>
      <c r="M13" s="20"/>
      <c r="N13" s="34"/>
      <c r="O13" s="20"/>
      <c r="P13" s="20"/>
      <c r="Q13" s="20"/>
      <c r="R13" s="20"/>
      <c r="S13" s="20"/>
      <c r="T13" s="20"/>
      <c r="U13" s="20"/>
      <c r="V13" s="20"/>
      <c r="W13" s="20"/>
      <c r="X13" s="20"/>
      <c r="Y13" s="20"/>
      <c r="Z13" s="20"/>
      <c r="AA13" s="20"/>
      <c r="AB13" s="20"/>
    </row>
    <row r="14" spans="1:28" ht="14.25" thickBot="1">
      <c r="A14" s="117" t="s">
        <v>10</v>
      </c>
      <c r="B14" s="118">
        <f>'BRA Load Pricing Results'!K57</f>
        <v>8509.98893512893</v>
      </c>
      <c r="C14" s="119">
        <f>'BRA Resource Clearing Results'!E40</f>
        <v>9348.499999999998</v>
      </c>
      <c r="D14" s="120">
        <f>'BRA Load Pricing Results'!H57</f>
        <v>205.13904720985994</v>
      </c>
      <c r="E14" s="246">
        <f>IF(B14-C14-D14&lt;0,0,B14-C14-D14)</f>
        <v>0</v>
      </c>
      <c r="F14" s="121">
        <f>'BRA Resource Clearing Results'!B105</f>
        <v>0</v>
      </c>
      <c r="G14" s="121">
        <f t="shared" si="0"/>
        <v>0</v>
      </c>
      <c r="H14" s="121">
        <v>0</v>
      </c>
      <c r="I14" s="121">
        <v>0</v>
      </c>
      <c r="J14" s="200">
        <f>G14-H14-I14</f>
        <v>0</v>
      </c>
      <c r="K14" s="221"/>
      <c r="L14" s="20"/>
      <c r="M14" s="20"/>
      <c r="N14" s="34"/>
      <c r="O14" s="20"/>
      <c r="P14" s="20"/>
      <c r="Q14" s="20"/>
      <c r="R14" s="20"/>
      <c r="S14" s="20"/>
      <c r="T14" s="20"/>
      <c r="U14" s="20"/>
      <c r="V14" s="20"/>
      <c r="W14" s="20"/>
      <c r="X14" s="20"/>
      <c r="Y14" s="20"/>
      <c r="Z14" s="20"/>
      <c r="AA14" s="20"/>
      <c r="AB14" s="20"/>
    </row>
    <row r="15" spans="1:28" ht="13.5">
      <c r="A15" s="122" t="s">
        <v>24</v>
      </c>
      <c r="B15" s="30"/>
      <c r="C15" s="30"/>
      <c r="D15" s="50"/>
      <c r="E15" s="30" t="s">
        <v>119</v>
      </c>
      <c r="F15" s="50"/>
      <c r="G15" s="51"/>
      <c r="H15" s="66"/>
      <c r="I15" s="51"/>
      <c r="J15" s="37"/>
      <c r="K15" s="123"/>
      <c r="L15" s="20"/>
      <c r="M15" s="20"/>
      <c r="N15" s="34"/>
      <c r="O15" s="20"/>
      <c r="P15" s="20"/>
      <c r="Q15" s="20"/>
      <c r="R15" s="20"/>
      <c r="S15" s="20"/>
      <c r="T15" s="20"/>
      <c r="U15" s="20"/>
      <c r="V15" s="20"/>
      <c r="W15" s="20"/>
      <c r="X15" s="20"/>
      <c r="Y15" s="20"/>
      <c r="Z15" s="20"/>
      <c r="AA15" s="20"/>
      <c r="AB15" s="20"/>
    </row>
    <row r="16" spans="1:28" ht="12.75" customHeight="1" thickBot="1">
      <c r="A16" s="122"/>
      <c r="B16" s="30"/>
      <c r="C16" s="30"/>
      <c r="D16" s="50"/>
      <c r="E16" s="124"/>
      <c r="F16" s="50"/>
      <c r="G16" s="51"/>
      <c r="H16" s="66"/>
      <c r="I16" s="51"/>
      <c r="J16" s="37"/>
      <c r="K16" s="123"/>
      <c r="L16" s="20"/>
      <c r="M16" s="20"/>
      <c r="N16" s="34"/>
      <c r="O16" s="20"/>
      <c r="P16" s="20"/>
      <c r="Q16" s="20"/>
      <c r="R16" s="20"/>
      <c r="S16" s="20"/>
      <c r="T16" s="20"/>
      <c r="U16" s="20"/>
      <c r="V16" s="20"/>
      <c r="W16" s="20"/>
      <c r="X16" s="20"/>
      <c r="Y16" s="20"/>
      <c r="Z16" s="20"/>
      <c r="AA16" s="20"/>
      <c r="AB16" s="20"/>
    </row>
    <row r="17" spans="1:28" ht="15" customHeight="1" thickBot="1">
      <c r="A17" s="647" t="s">
        <v>106</v>
      </c>
      <c r="B17" s="648"/>
      <c r="C17" s="648"/>
      <c r="D17" s="649"/>
      <c r="E17" s="125"/>
      <c r="F17" s="20"/>
      <c r="G17" s="20"/>
      <c r="H17" s="20"/>
      <c r="I17" s="20"/>
      <c r="J17" s="20"/>
      <c r="K17" s="20"/>
      <c r="L17" s="20"/>
      <c r="M17" s="20"/>
      <c r="N17" s="20"/>
      <c r="O17" s="20"/>
      <c r="P17" s="20"/>
      <c r="Q17" s="20"/>
      <c r="R17" s="20"/>
      <c r="S17" s="20"/>
      <c r="T17" s="20"/>
      <c r="U17" s="20"/>
      <c r="V17" s="20"/>
      <c r="W17" s="20"/>
      <c r="X17" s="20"/>
      <c r="Y17" s="20"/>
      <c r="Z17" s="20"/>
      <c r="AA17" s="20"/>
      <c r="AB17" s="20"/>
    </row>
    <row r="18" spans="1:28" ht="13.5">
      <c r="A18" s="650"/>
      <c r="B18" s="651"/>
      <c r="C18" s="651"/>
      <c r="D18" s="652"/>
      <c r="E18" s="659" t="s">
        <v>29</v>
      </c>
      <c r="F18" s="660"/>
      <c r="G18" s="659" t="s">
        <v>39</v>
      </c>
      <c r="H18" s="660"/>
      <c r="I18" s="659" t="s">
        <v>5</v>
      </c>
      <c r="J18" s="660"/>
      <c r="K18" s="659" t="s">
        <v>46</v>
      </c>
      <c r="L18" s="660"/>
      <c r="M18" s="659" t="s">
        <v>44</v>
      </c>
      <c r="N18" s="660"/>
      <c r="O18" s="659" t="s">
        <v>15</v>
      </c>
      <c r="P18" s="660"/>
      <c r="Q18" s="659" t="s">
        <v>158</v>
      </c>
      <c r="R18" s="660"/>
      <c r="S18" s="659" t="s">
        <v>20</v>
      </c>
      <c r="T18" s="660"/>
      <c r="U18" s="659" t="s">
        <v>11</v>
      </c>
      <c r="V18" s="660"/>
      <c r="W18" s="659" t="s">
        <v>10</v>
      </c>
      <c r="X18" s="660"/>
      <c r="Y18" s="20"/>
      <c r="Z18" s="20"/>
      <c r="AA18" s="20"/>
      <c r="AB18" s="20"/>
    </row>
    <row r="19" spans="1:28" ht="30.75" customHeight="1" thickBot="1">
      <c r="A19" s="653"/>
      <c r="B19" s="654"/>
      <c r="C19" s="654"/>
      <c r="D19" s="655"/>
      <c r="E19" s="141" t="s">
        <v>47</v>
      </c>
      <c r="F19" s="126">
        <f>'BRA Resource Clearing Results'!C6</f>
        <v>0</v>
      </c>
      <c r="G19" s="141" t="s">
        <v>47</v>
      </c>
      <c r="H19" s="126">
        <f>'BRA Resource Clearing Results'!C7</f>
        <v>0</v>
      </c>
      <c r="I19" s="141" t="s">
        <v>47</v>
      </c>
      <c r="J19" s="126">
        <f>'BRA Resource Clearing Results'!C8</f>
        <v>0</v>
      </c>
      <c r="K19" s="141" t="s">
        <v>47</v>
      </c>
      <c r="L19" s="126">
        <f>'BRA Load Pricing Results'!D29</f>
        <v>95</v>
      </c>
      <c r="M19" s="141" t="s">
        <v>47</v>
      </c>
      <c r="N19" s="142">
        <f>'BRA Load Pricing Results'!D32</f>
        <v>0</v>
      </c>
      <c r="O19" s="141" t="s">
        <v>47</v>
      </c>
      <c r="P19" s="142">
        <f>'BRA Resource Clearing Results'!C12</f>
        <v>0</v>
      </c>
      <c r="Q19" s="141" t="s">
        <v>47</v>
      </c>
      <c r="R19" s="142">
        <f>'BRA Load Pricing Results'!D35</f>
        <v>0</v>
      </c>
      <c r="S19" s="141" t="s">
        <v>47</v>
      </c>
      <c r="T19" s="142">
        <f>'BRA Resource Clearing Results'!C15</f>
        <v>0</v>
      </c>
      <c r="U19" s="141" t="s">
        <v>47</v>
      </c>
      <c r="V19" s="142">
        <f>'BRA Resource Clearing Results'!C16</f>
        <v>0</v>
      </c>
      <c r="W19" s="141" t="s">
        <v>47</v>
      </c>
      <c r="X19" s="142">
        <f>'BRA Resource Clearing Results'!C17</f>
        <v>0</v>
      </c>
      <c r="Y19" s="20"/>
      <c r="Z19" s="20"/>
      <c r="AA19" s="20"/>
      <c r="AB19" s="104"/>
    </row>
    <row r="20" spans="1:29" ht="69">
      <c r="A20" s="83" t="s">
        <v>7</v>
      </c>
      <c r="B20" s="84" t="s">
        <v>28</v>
      </c>
      <c r="C20" s="84" t="s">
        <v>27</v>
      </c>
      <c r="D20" s="85" t="s">
        <v>34</v>
      </c>
      <c r="E20" s="83" t="s">
        <v>94</v>
      </c>
      <c r="F20" s="85" t="s">
        <v>107</v>
      </c>
      <c r="G20" s="83" t="s">
        <v>95</v>
      </c>
      <c r="H20" s="85" t="s">
        <v>107</v>
      </c>
      <c r="I20" s="83" t="s">
        <v>94</v>
      </c>
      <c r="J20" s="85" t="s">
        <v>107</v>
      </c>
      <c r="K20" s="83" t="s">
        <v>96</v>
      </c>
      <c r="L20" s="85" t="s">
        <v>107</v>
      </c>
      <c r="M20" s="83" t="s">
        <v>97</v>
      </c>
      <c r="N20" s="85" t="s">
        <v>107</v>
      </c>
      <c r="O20" s="83" t="s">
        <v>94</v>
      </c>
      <c r="P20" s="85" t="s">
        <v>107</v>
      </c>
      <c r="Q20" s="83" t="s">
        <v>94</v>
      </c>
      <c r="R20" s="85" t="s">
        <v>107</v>
      </c>
      <c r="S20" s="83" t="s">
        <v>94</v>
      </c>
      <c r="T20" s="85" t="s">
        <v>107</v>
      </c>
      <c r="U20" s="83" t="s">
        <v>94</v>
      </c>
      <c r="V20" s="85" t="s">
        <v>107</v>
      </c>
      <c r="W20" s="83" t="s">
        <v>94</v>
      </c>
      <c r="X20" s="85" t="s">
        <v>107</v>
      </c>
      <c r="Y20" s="83" t="s">
        <v>102</v>
      </c>
      <c r="Z20" s="84" t="s">
        <v>108</v>
      </c>
      <c r="AA20" s="201" t="s">
        <v>56</v>
      </c>
      <c r="AB20" s="202" t="s">
        <v>103</v>
      </c>
      <c r="AC20" s="10"/>
    </row>
    <row r="21" spans="1:30" ht="13.5">
      <c r="A21" s="49" t="s">
        <v>16</v>
      </c>
      <c r="B21" s="86" t="s">
        <v>29</v>
      </c>
      <c r="C21" s="86" t="s">
        <v>39</v>
      </c>
      <c r="D21" s="87"/>
      <c r="E21" s="127">
        <f>IF(B21="MAAC",$J$5*'BRA Load Pricing Results'!K40/'BRA Load Pricing Results'!$B$16,0)</f>
        <v>0</v>
      </c>
      <c r="F21" s="128">
        <f>E21*$F$19</f>
        <v>0</v>
      </c>
      <c r="G21" s="127">
        <f>IF(C21="EMAAC",$J$6*'BRA Load Pricing Results'!K40/'BRA Load Pricing Results'!$B$17,0)</f>
        <v>284.7403903879697</v>
      </c>
      <c r="H21" s="128">
        <f>G21*$H$19</f>
        <v>0</v>
      </c>
      <c r="I21" s="127">
        <f>IF(C21="SWMAAC",$J$7*'BRA Load Pricing Results'!K40/'BRA Load Pricing Results'!$B$18,0)</f>
        <v>0</v>
      </c>
      <c r="J21" s="128">
        <f>I21*$J$19</f>
        <v>0</v>
      </c>
      <c r="K21" s="127">
        <f>IF(D21="PS",$J$8*'BRA Load Pricing Results'!K40/'BRA Load Pricing Results'!$K$58,0)</f>
        <v>0</v>
      </c>
      <c r="L21" s="128">
        <f>K21*$L$19</f>
        <v>0</v>
      </c>
      <c r="M21" s="127">
        <f>IF(D21="DPL",$J$9*'BRA Load Pricing Results'!K40/'BRA Load Pricing Results'!$K$50,0)</f>
        <v>0</v>
      </c>
      <c r="N21" s="128">
        <f>M21*$N$19</f>
        <v>0</v>
      </c>
      <c r="O21" s="127">
        <f>IF(D21="PEPCO",$J$10*'BRA Load Pricing Results'!K40/'BRA Load Pricing Results'!$K$56,0)</f>
        <v>0</v>
      </c>
      <c r="P21" s="128">
        <f>O21*$P$19</f>
        <v>0</v>
      </c>
      <c r="Q21" s="127">
        <f>IF(D21="ATSI",$J$11*'BRA Load Pricing Results'!K40/'BRA Load Pricing Results'!$K$43,0)</f>
        <v>0</v>
      </c>
      <c r="R21" s="128">
        <f>Q21*$R$19</f>
        <v>0</v>
      </c>
      <c r="S21" s="127">
        <f>IF(D21="COMED",$J$12*'BRA Load Pricing Results'!K40/'BRA Load Pricing Results'!$K$45,0)</f>
        <v>0</v>
      </c>
      <c r="T21" s="128">
        <f>S21*$T$19</f>
        <v>0</v>
      </c>
      <c r="U21" s="127">
        <f>IF(D21="BGE",$J$13*'BRA Load Pricing Results'!K40/'BRA Load Pricing Results'!$K$44,0)</f>
        <v>0</v>
      </c>
      <c r="V21" s="128">
        <f>U21*$V$19</f>
        <v>0</v>
      </c>
      <c r="W21" s="127">
        <f>IF(D21="PL",$J$14*'BRA Load Pricing Results'!K40/'BRA Load Pricing Results'!$K$57,0)</f>
        <v>0</v>
      </c>
      <c r="X21" s="128">
        <f aca="true" t="shared" si="1" ref="X21:X37">W21*$X$19</f>
        <v>0</v>
      </c>
      <c r="Y21" s="129">
        <f>MAX(E21,G21,I21,K21,M21,O21,Q21+S21+U21+W21)</f>
        <v>284.7403903879697</v>
      </c>
      <c r="Z21" s="29">
        <f>F21+H21+J21+L21+N21+P21+R21+T21+V21+X21</f>
        <v>0</v>
      </c>
      <c r="AA21" s="191">
        <f>Z21/'BRA Load Pricing Results'!K40</f>
        <v>0</v>
      </c>
      <c r="AB21" s="203">
        <f>IF(Y21=0,0,Z21/Y21)</f>
        <v>0</v>
      </c>
      <c r="AC21" s="30"/>
      <c r="AD21" s="22"/>
    </row>
    <row r="22" spans="1:30" ht="13.5">
      <c r="A22" s="49" t="s">
        <v>31</v>
      </c>
      <c r="B22" s="86"/>
      <c r="C22" s="86"/>
      <c r="D22" s="87"/>
      <c r="E22" s="127">
        <f>IF(B22="MAAC",$J$5*'BRA Load Pricing Results'!K41/'BRA Load Pricing Results'!$B$16,0)</f>
        <v>0</v>
      </c>
      <c r="F22" s="128">
        <f aca="true" t="shared" si="2" ref="F22:F30">E22*$F$19</f>
        <v>0</v>
      </c>
      <c r="G22" s="127">
        <f>IF(C22="EMAAC",$J$6*'BRA Load Pricing Results'!K41/'BRA Load Pricing Results'!$B$17,0)</f>
        <v>0</v>
      </c>
      <c r="H22" s="128">
        <f>G22*$H$19</f>
        <v>0</v>
      </c>
      <c r="I22" s="127">
        <f>IF(C22="SWMAAC",$J$7*'BRA Load Pricing Results'!K41/'BRA Load Pricing Results'!$B$18,0)</f>
        <v>0</v>
      </c>
      <c r="J22" s="128">
        <f>I22*$J$19</f>
        <v>0</v>
      </c>
      <c r="K22" s="127">
        <f>IF(D22="PS",$J$8*'BRA Load Pricing Results'!K41/'BRA Load Pricing Results'!$K$58,0)</f>
        <v>0</v>
      </c>
      <c r="L22" s="128">
        <f>K22*$L$19</f>
        <v>0</v>
      </c>
      <c r="M22" s="127">
        <f>IF(D22="DPL",$J$9*'BRA Load Pricing Results'!K41/'BRA Load Pricing Results'!$K$50,0)</f>
        <v>0</v>
      </c>
      <c r="N22" s="128">
        <f aca="true" t="shared" si="3" ref="N22:N36">M22*$N$19</f>
        <v>0</v>
      </c>
      <c r="O22" s="127">
        <f>IF(D22="PEPCO",$J$10*'BRA Load Pricing Results'!K41/'BRA Load Pricing Results'!$K$56,0)</f>
        <v>0</v>
      </c>
      <c r="P22" s="128">
        <f>O22*$P$19</f>
        <v>0</v>
      </c>
      <c r="Q22" s="127">
        <f>IF(D22="ATSI",$J$11*'BRA Load Pricing Results'!K41/'BRA Load Pricing Results'!$K$43,0)</f>
        <v>0</v>
      </c>
      <c r="R22" s="128">
        <f aca="true" t="shared" si="4" ref="R22:R40">Q22*$R$19</f>
        <v>0</v>
      </c>
      <c r="S22" s="127">
        <f>IF(D22="COMED",$J$12*'BRA Load Pricing Results'!K41/'BRA Load Pricing Results'!$K$45,0)</f>
        <v>0</v>
      </c>
      <c r="T22" s="128">
        <f aca="true" t="shared" si="5" ref="T22:T40">S22*$T$19</f>
        <v>0</v>
      </c>
      <c r="U22" s="127">
        <f>IF(D22="BGE",$J$13*'BRA Load Pricing Results'!K41/'BRA Load Pricing Results'!$K$44,0)</f>
        <v>0</v>
      </c>
      <c r="V22" s="128">
        <f>U22*$V$19</f>
        <v>0</v>
      </c>
      <c r="W22" s="127">
        <f>IF(D22="PL",$J$14*'BRA Load Pricing Results'!K41/'BRA Load Pricing Results'!$K$57,0)</f>
        <v>0</v>
      </c>
      <c r="X22" s="128">
        <f t="shared" si="1"/>
        <v>0</v>
      </c>
      <c r="Y22" s="129">
        <f aca="true" t="shared" si="6" ref="Y22:Y40">MAX(E22,G22,I22,K22,M22,O22,Q22+S22+U22+W22)</f>
        <v>0</v>
      </c>
      <c r="Z22" s="29">
        <f aca="true" t="shared" si="7" ref="Z22:Z39">F22+H22+J22+L22+N22+P22+R22+T22+V22+X22</f>
        <v>0</v>
      </c>
      <c r="AA22" s="191">
        <f>Z22/'BRA Load Pricing Results'!K41</f>
        <v>0</v>
      </c>
      <c r="AB22" s="203">
        <f>IF(Y22=0,0,Z22/Y22)</f>
        <v>0</v>
      </c>
      <c r="AC22" s="30"/>
      <c r="AD22" s="22"/>
    </row>
    <row r="23" spans="1:30" ht="13.5">
      <c r="A23" s="49" t="s">
        <v>19</v>
      </c>
      <c r="B23" s="86" t="s">
        <v>24</v>
      </c>
      <c r="C23" s="86"/>
      <c r="D23" s="87"/>
      <c r="E23" s="127">
        <f>IF(B23="MAAC",$J$5*'BRA Load Pricing Results'!K42/'BRA Load Pricing Results'!$B$16,0)</f>
        <v>0</v>
      </c>
      <c r="F23" s="128">
        <f t="shared" si="2"/>
        <v>0</v>
      </c>
      <c r="G23" s="127">
        <f>IF(C23="EMAAC",$J$6*'BRA Load Pricing Results'!K42/'BRA Load Pricing Results'!$B$17,0)</f>
        <v>0</v>
      </c>
      <c r="H23" s="128">
        <f>G23*$H$19</f>
        <v>0</v>
      </c>
      <c r="I23" s="127">
        <f>IF(C23="SWMAAC",$J$7*'BRA Load Pricing Results'!K42/'BRA Load Pricing Results'!$B$18,0)</f>
        <v>0</v>
      </c>
      <c r="J23" s="128">
        <f aca="true" t="shared" si="8" ref="J23:J40">I23*$J$19</f>
        <v>0</v>
      </c>
      <c r="K23" s="127">
        <f>IF(D23="PS",$J$8*'BRA Load Pricing Results'!K42/'BRA Load Pricing Results'!$K$58,0)</f>
        <v>0</v>
      </c>
      <c r="L23" s="128">
        <f>K23*$L$19</f>
        <v>0</v>
      </c>
      <c r="M23" s="127">
        <f>IF(D23="DPL",$J$9*'BRA Load Pricing Results'!K42/'BRA Load Pricing Results'!$K$50,0)</f>
        <v>0</v>
      </c>
      <c r="N23" s="128">
        <f t="shared" si="3"/>
        <v>0</v>
      </c>
      <c r="O23" s="127">
        <f>IF(D23="PEPCO",$J$10*'BRA Load Pricing Results'!K42/'BRA Load Pricing Results'!$K$56,0)</f>
        <v>0</v>
      </c>
      <c r="P23" s="128">
        <f>O23*$P$19</f>
        <v>0</v>
      </c>
      <c r="Q23" s="127">
        <f>IF(D23="ATSI",$J$11*'BRA Load Pricing Results'!K42/'BRA Load Pricing Results'!$K$43,0)</f>
        <v>0</v>
      </c>
      <c r="R23" s="128">
        <f t="shared" si="4"/>
        <v>0</v>
      </c>
      <c r="S23" s="127">
        <f>IF(D23="COMED",$J$12*'BRA Load Pricing Results'!K42/'BRA Load Pricing Results'!$K$45,0)</f>
        <v>0</v>
      </c>
      <c r="T23" s="128">
        <f t="shared" si="5"/>
        <v>0</v>
      </c>
      <c r="U23" s="127">
        <f>IF(D23="BGE",$J$13*'BRA Load Pricing Results'!K42/'BRA Load Pricing Results'!$K$44,0)</f>
        <v>0</v>
      </c>
      <c r="V23" s="128">
        <f>U23*$V$19</f>
        <v>0</v>
      </c>
      <c r="W23" s="127">
        <f>IF(D23="PL",$J$14*'BRA Load Pricing Results'!K42/'BRA Load Pricing Results'!$K$57,0)</f>
        <v>0</v>
      </c>
      <c r="X23" s="128">
        <f t="shared" si="1"/>
        <v>0</v>
      </c>
      <c r="Y23" s="129">
        <f t="shared" si="6"/>
        <v>0</v>
      </c>
      <c r="Z23" s="29">
        <f t="shared" si="7"/>
        <v>0</v>
      </c>
      <c r="AA23" s="191">
        <f>Z23/'BRA Load Pricing Results'!K42</f>
        <v>0</v>
      </c>
      <c r="AB23" s="203">
        <f>IF(Y23=0,0,Z23/Y23)</f>
        <v>0</v>
      </c>
      <c r="AC23" s="30"/>
      <c r="AD23" s="22"/>
    </row>
    <row r="24" spans="1:30" ht="13.5">
      <c r="A24" s="49" t="s">
        <v>49</v>
      </c>
      <c r="B24" s="86"/>
      <c r="C24" s="86"/>
      <c r="D24" s="87" t="s">
        <v>49</v>
      </c>
      <c r="E24" s="127">
        <f>IF(B24="MAAC",$J$5*'BRA Load Pricing Results'!K43/'BRA Load Pricing Results'!$B$16,0)</f>
        <v>0</v>
      </c>
      <c r="F24" s="128">
        <f t="shared" si="2"/>
        <v>0</v>
      </c>
      <c r="G24" s="127">
        <f>IF(C24="EMAAC",$J$6*'BRA Load Pricing Results'!K43/'BRA Load Pricing Results'!$B$17,0)</f>
        <v>0</v>
      </c>
      <c r="H24" s="128">
        <f>G24*$H$19</f>
        <v>0</v>
      </c>
      <c r="I24" s="127">
        <f>IF(C24="SWMAAC",$J$7*'BRA Load Pricing Results'!K43/'BRA Load Pricing Results'!$B$18,0)</f>
        <v>0</v>
      </c>
      <c r="J24" s="128">
        <f t="shared" si="8"/>
        <v>0</v>
      </c>
      <c r="K24" s="127">
        <f>IF(D24="PS",$J$8*'BRA Load Pricing Results'!K43/'BRA Load Pricing Results'!$K$58,0)</f>
        <v>0</v>
      </c>
      <c r="L24" s="128">
        <f aca="true" t="shared" si="9" ref="L24:L40">K24*$L$19</f>
        <v>0</v>
      </c>
      <c r="M24" s="127">
        <f>IF(D24="DPL",$J$9*'BRA Load Pricing Results'!K43/'BRA Load Pricing Results'!$K$50,0)</f>
        <v>0</v>
      </c>
      <c r="N24" s="128">
        <f t="shared" si="3"/>
        <v>0</v>
      </c>
      <c r="O24" s="127">
        <f>IF(D24="PEPCO",$J$10*'BRA Load Pricing Results'!K43/'BRA Load Pricing Results'!$K$56,0)</f>
        <v>0</v>
      </c>
      <c r="P24" s="128">
        <f aca="true" t="shared" si="10" ref="P24:P36">O24*$P$19</f>
        <v>0</v>
      </c>
      <c r="Q24" s="127">
        <f>IF(D24="ATSI",$J$11*'BRA Load Pricing Results'!K43/'BRA Load Pricing Results'!$K$43,0)</f>
        <v>5476.9172520480515</v>
      </c>
      <c r="R24" s="128">
        <f>Q24*$R$19</f>
        <v>0</v>
      </c>
      <c r="S24" s="127">
        <f>IF(D24="COMED",$J$12*'BRA Load Pricing Results'!K43/'BRA Load Pricing Results'!$K$45,0)</f>
        <v>0</v>
      </c>
      <c r="T24" s="128">
        <f t="shared" si="5"/>
        <v>0</v>
      </c>
      <c r="U24" s="127">
        <f>IF(D24="BGE",$J$13*'BRA Load Pricing Results'!K43/'BRA Load Pricing Results'!$K$44,0)</f>
        <v>0</v>
      </c>
      <c r="V24" s="128">
        <f>U24*$V$19</f>
        <v>0</v>
      </c>
      <c r="W24" s="127">
        <f>IF(D24="PL",$J$14*'BRA Load Pricing Results'!K43/'BRA Load Pricing Results'!$K$57,0)</f>
        <v>0</v>
      </c>
      <c r="X24" s="128">
        <f t="shared" si="1"/>
        <v>0</v>
      </c>
      <c r="Y24" s="129">
        <f t="shared" si="6"/>
        <v>5476.9172520480515</v>
      </c>
      <c r="Z24" s="29">
        <f t="shared" si="7"/>
        <v>0</v>
      </c>
      <c r="AA24" s="191">
        <f>Z24/'BRA Load Pricing Results'!K43</f>
        <v>0</v>
      </c>
      <c r="AB24" s="203">
        <f>IF(Y24=0,0,Z24/Y24)</f>
        <v>0</v>
      </c>
      <c r="AC24" s="30"/>
      <c r="AD24" s="22"/>
    </row>
    <row r="25" spans="1:30" ht="13.5">
      <c r="A25" s="49" t="s">
        <v>11</v>
      </c>
      <c r="B25" s="86" t="s">
        <v>29</v>
      </c>
      <c r="C25" s="86" t="s">
        <v>5</v>
      </c>
      <c r="D25" s="87" t="s">
        <v>11</v>
      </c>
      <c r="E25" s="127">
        <f>IF(B25="MAAC",$J$5*'BRA Load Pricing Results'!K44/'BRA Load Pricing Results'!$B$16,0)</f>
        <v>0</v>
      </c>
      <c r="F25" s="128">
        <f>E25*$F$19</f>
        <v>0</v>
      </c>
      <c r="G25" s="127">
        <f>IF(C25="EMAAC",$J$6*'BRA Load Pricing Results'!K44/'BRA Load Pricing Results'!$B$17,0)</f>
        <v>0</v>
      </c>
      <c r="H25" s="128">
        <f aca="true" t="shared" si="11" ref="H25:H38">G25*$H$19</f>
        <v>0</v>
      </c>
      <c r="I25" s="127">
        <f>IF(C25="SWMAAC",$J$7*'BRA Load Pricing Results'!K44/'BRA Load Pricing Results'!$B$18,0)</f>
        <v>1823.729811413617</v>
      </c>
      <c r="J25" s="128">
        <f>I25*$J$19</f>
        <v>0</v>
      </c>
      <c r="K25" s="127">
        <f>IF(D25="PS",$J$8*'BRA Load Pricing Results'!K44/'BRA Load Pricing Results'!$K$58,0)</f>
        <v>0</v>
      </c>
      <c r="L25" s="128">
        <f t="shared" si="9"/>
        <v>0</v>
      </c>
      <c r="M25" s="127">
        <f>IF(D25="DPL",$J$9*'BRA Load Pricing Results'!K44/'BRA Load Pricing Results'!$K$50,0)</f>
        <v>0</v>
      </c>
      <c r="N25" s="128">
        <f t="shared" si="3"/>
        <v>0</v>
      </c>
      <c r="O25" s="127">
        <f>IF(D25="PEPCO",$J$10*'BRA Load Pricing Results'!K44/'BRA Load Pricing Results'!$K$56,0)</f>
        <v>0</v>
      </c>
      <c r="P25" s="128">
        <f t="shared" si="10"/>
        <v>0</v>
      </c>
      <c r="Q25" s="127">
        <f>IF(D25="ATSI",$J$11*'BRA Load Pricing Results'!K44/'BRA Load Pricing Results'!$K$43,0)</f>
        <v>0</v>
      </c>
      <c r="R25" s="128">
        <f t="shared" si="4"/>
        <v>0</v>
      </c>
      <c r="S25" s="127">
        <f>IF(D25="COMED",$J$12*'BRA Load Pricing Results'!K44/'BRA Load Pricing Results'!$K$45,0)</f>
        <v>0</v>
      </c>
      <c r="T25" s="128">
        <f t="shared" si="5"/>
        <v>0</v>
      </c>
      <c r="U25" s="127">
        <f>IF(D25="BGE",$J$13*'BRA Load Pricing Results'!K44/'BRA Load Pricing Results'!$K$44,0)</f>
        <v>4478.775480535999</v>
      </c>
      <c r="V25" s="128">
        <f>U25*$V$19</f>
        <v>0</v>
      </c>
      <c r="W25" s="127">
        <f>IF(D25="PL",$J$14*'BRA Load Pricing Results'!K44/'BRA Load Pricing Results'!$K$57,0)</f>
        <v>0</v>
      </c>
      <c r="X25" s="128">
        <f t="shared" si="1"/>
        <v>0</v>
      </c>
      <c r="Y25" s="129">
        <f t="shared" si="6"/>
        <v>4478.775480535999</v>
      </c>
      <c r="Z25" s="29">
        <f t="shared" si="7"/>
        <v>0</v>
      </c>
      <c r="AA25" s="191">
        <f>Z25/'BRA Load Pricing Results'!K44</f>
        <v>0</v>
      </c>
      <c r="AB25" s="203">
        <f>IF(Y25=0,0,Z25/Y25)</f>
        <v>0</v>
      </c>
      <c r="AC25" s="30"/>
      <c r="AD25" s="22"/>
    </row>
    <row r="26" spans="1:30" ht="13.5">
      <c r="A26" s="49" t="s">
        <v>20</v>
      </c>
      <c r="B26" s="86"/>
      <c r="C26" s="86"/>
      <c r="D26" s="87" t="s">
        <v>20</v>
      </c>
      <c r="E26" s="127">
        <f>IF(B26="MAAC",$J$5*'BRA Load Pricing Results'!K45/'BRA Load Pricing Results'!$B$16,0)</f>
        <v>0</v>
      </c>
      <c r="F26" s="128">
        <f t="shared" si="2"/>
        <v>0</v>
      </c>
      <c r="G26" s="127">
        <f>IF(C26="EMAAC",$J$6*'BRA Load Pricing Results'!K45/'BRA Load Pricing Results'!$B$17,0)</f>
        <v>0</v>
      </c>
      <c r="H26" s="128">
        <f t="shared" si="11"/>
        <v>0</v>
      </c>
      <c r="I26" s="127">
        <f>IF(C26="SWMAAC",$J$7*'BRA Load Pricing Results'!K45/'BRA Load Pricing Results'!$B$18,0)</f>
        <v>0</v>
      </c>
      <c r="J26" s="128">
        <f t="shared" si="8"/>
        <v>0</v>
      </c>
      <c r="K26" s="127">
        <f>IF(D26="PS",$J$8*'BRA Load Pricing Results'!K45/'BRA Load Pricing Results'!$K$58,0)</f>
        <v>0</v>
      </c>
      <c r="L26" s="128">
        <f t="shared" si="9"/>
        <v>0</v>
      </c>
      <c r="M26" s="127">
        <f>IF(D26="DPL",$J$9*'BRA Load Pricing Results'!K45/'BRA Load Pricing Results'!$K$50,0)</f>
        <v>0</v>
      </c>
      <c r="N26" s="128">
        <f t="shared" si="3"/>
        <v>0</v>
      </c>
      <c r="O26" s="127">
        <f>IF(D26="PEPCO",$J$10*'BRA Load Pricing Results'!K45/'BRA Load Pricing Results'!$K$56,0)</f>
        <v>0</v>
      </c>
      <c r="P26" s="128">
        <f t="shared" si="10"/>
        <v>0</v>
      </c>
      <c r="Q26" s="127">
        <f>IF(D26="ATSI",$J$11*'BRA Load Pricing Results'!K45/'BRA Load Pricing Results'!$K$43,0)</f>
        <v>0</v>
      </c>
      <c r="R26" s="128">
        <f t="shared" si="4"/>
        <v>0</v>
      </c>
      <c r="S26" s="131">
        <f>IF(D26="COMED",$J$12*'BRA Load Pricing Results'!K45/'BRA Load Pricing Results'!$K$45,0)</f>
        <v>2935.2849336319573</v>
      </c>
      <c r="T26" s="128">
        <f t="shared" si="5"/>
        <v>0</v>
      </c>
      <c r="U26" s="127">
        <f>IF(D26="BGE",$J$13*'BRA Load Pricing Results'!K45/'BRA Load Pricing Results'!$K$44,0)</f>
        <v>0</v>
      </c>
      <c r="V26" s="128">
        <f aca="true" t="shared" si="12" ref="V26:V40">U26*$V$19</f>
        <v>0</v>
      </c>
      <c r="W26" s="127">
        <f>IF(D26="PL",$J$14*'BRA Load Pricing Results'!K45/'BRA Load Pricing Results'!$K$57,0)</f>
        <v>0</v>
      </c>
      <c r="X26" s="128">
        <f t="shared" si="1"/>
        <v>0</v>
      </c>
      <c r="Y26" s="129">
        <f t="shared" si="6"/>
        <v>2935.2849336319573</v>
      </c>
      <c r="Z26" s="29">
        <f t="shared" si="7"/>
        <v>0</v>
      </c>
      <c r="AA26" s="191">
        <f>Z26/'BRA Load Pricing Results'!K45</f>
        <v>0</v>
      </c>
      <c r="AB26" s="203">
        <f aca="true" t="shared" si="13" ref="AB26:AB40">IF(Y26=0,0,Z26/Y26)</f>
        <v>0</v>
      </c>
      <c r="AC26" s="30"/>
      <c r="AD26" s="22"/>
    </row>
    <row r="27" spans="1:30" ht="13.5">
      <c r="A27" s="49" t="s">
        <v>21</v>
      </c>
      <c r="B27" s="86"/>
      <c r="C27" s="86"/>
      <c r="D27" s="87"/>
      <c r="E27" s="127">
        <f>IF(B27="MAAC",$J$5*'BRA Load Pricing Results'!K46/'BRA Load Pricing Results'!$B$16,0)</f>
        <v>0</v>
      </c>
      <c r="F27" s="128">
        <f t="shared" si="2"/>
        <v>0</v>
      </c>
      <c r="G27" s="127">
        <f>IF(C27="EMAAC",$J$6*'BRA Load Pricing Results'!K46/'BRA Load Pricing Results'!$B$17,0)</f>
        <v>0</v>
      </c>
      <c r="H27" s="128">
        <f>G27*$H$19</f>
        <v>0</v>
      </c>
      <c r="I27" s="127">
        <f>IF(C27="SWMAAC",$J$7*'BRA Load Pricing Results'!K46/'BRA Load Pricing Results'!$B$18,0)</f>
        <v>0</v>
      </c>
      <c r="J27" s="128">
        <f>I27*$J$19</f>
        <v>0</v>
      </c>
      <c r="K27" s="127">
        <f>IF(D27="PS",$J$8*'BRA Load Pricing Results'!K46/'BRA Load Pricing Results'!$K$58,0)</f>
        <v>0</v>
      </c>
      <c r="L27" s="128">
        <f t="shared" si="9"/>
        <v>0</v>
      </c>
      <c r="M27" s="127">
        <f>IF(D27="DPL",$J$9*'BRA Load Pricing Results'!K46/'BRA Load Pricing Results'!$K$50,0)</f>
        <v>0</v>
      </c>
      <c r="N27" s="128">
        <f t="shared" si="3"/>
        <v>0</v>
      </c>
      <c r="O27" s="127">
        <f>IF(D27="PEPCO",$J$10*'BRA Load Pricing Results'!K46/'BRA Load Pricing Results'!$K$56,0)</f>
        <v>0</v>
      </c>
      <c r="P27" s="128">
        <f t="shared" si="10"/>
        <v>0</v>
      </c>
      <c r="Q27" s="127">
        <f>IF(D27="ATSI",$J$11*'BRA Load Pricing Results'!K46/'BRA Load Pricing Results'!$K$43,0)</f>
        <v>0</v>
      </c>
      <c r="R27" s="128">
        <f t="shared" si="4"/>
        <v>0</v>
      </c>
      <c r="S27" s="127">
        <f>IF(D27="COMED",$J$12*'BRA Load Pricing Results'!K46/'BRA Load Pricing Results'!$K$45,0)</f>
        <v>0</v>
      </c>
      <c r="T27" s="128">
        <f t="shared" si="5"/>
        <v>0</v>
      </c>
      <c r="U27" s="127">
        <f>IF(D27="BGE",$J$13*'BRA Load Pricing Results'!K46/'BRA Load Pricing Results'!$K$44,0)</f>
        <v>0</v>
      </c>
      <c r="V27" s="128">
        <f t="shared" si="12"/>
        <v>0</v>
      </c>
      <c r="W27" s="127">
        <f>IF(D27="PL",$J$14*'BRA Load Pricing Results'!K46/'BRA Load Pricing Results'!$K$57,0)</f>
        <v>0</v>
      </c>
      <c r="X27" s="128">
        <f t="shared" si="1"/>
        <v>0</v>
      </c>
      <c r="Y27" s="129">
        <f t="shared" si="6"/>
        <v>0</v>
      </c>
      <c r="Z27" s="29">
        <f t="shared" si="7"/>
        <v>0</v>
      </c>
      <c r="AA27" s="191">
        <f>Z27/'BRA Load Pricing Results'!K46</f>
        <v>0</v>
      </c>
      <c r="AB27" s="203">
        <f t="shared" si="13"/>
        <v>0</v>
      </c>
      <c r="AC27" s="30"/>
      <c r="AD27" s="22"/>
    </row>
    <row r="28" spans="1:30" ht="13.5">
      <c r="A28" s="49" t="s">
        <v>63</v>
      </c>
      <c r="B28" s="86"/>
      <c r="C28" s="86"/>
      <c r="D28" s="87"/>
      <c r="E28" s="127">
        <f>IF(B28="MAAC",$J$5*'BRA Load Pricing Results'!K47/'BRA Load Pricing Results'!$B$16,0)</f>
        <v>0</v>
      </c>
      <c r="F28" s="128">
        <f t="shared" si="2"/>
        <v>0</v>
      </c>
      <c r="G28" s="127">
        <f>IF(C28="EMAAC",$J$6*'BRA Load Pricing Results'!K47/'BRA Load Pricing Results'!$B$17,0)</f>
        <v>0</v>
      </c>
      <c r="H28" s="128">
        <f>G28*$H$19</f>
        <v>0</v>
      </c>
      <c r="I28" s="127">
        <f>IF(C28="SWMAAC",$J$7*'BRA Load Pricing Results'!K47/'BRA Load Pricing Results'!$B$18,0)</f>
        <v>0</v>
      </c>
      <c r="J28" s="128">
        <f>I28*$J$19</f>
        <v>0</v>
      </c>
      <c r="K28" s="127">
        <f>IF(D28="PS",$J$8*'BRA Load Pricing Results'!K47/'BRA Load Pricing Results'!$K$58,0)</f>
        <v>0</v>
      </c>
      <c r="L28" s="128">
        <f>K28*$L$19</f>
        <v>0</v>
      </c>
      <c r="M28" s="127">
        <f>IF(D28="DPL",$J$9*'BRA Load Pricing Results'!K47/'BRA Load Pricing Results'!$K$50,0)</f>
        <v>0</v>
      </c>
      <c r="N28" s="128">
        <f>M28*$N$19</f>
        <v>0</v>
      </c>
      <c r="O28" s="127">
        <f>IF(D28="PEPCO",$J$10*'BRA Load Pricing Results'!K47/'BRA Load Pricing Results'!$K$56,0)</f>
        <v>0</v>
      </c>
      <c r="P28" s="128">
        <f>O28*$P$19</f>
        <v>0</v>
      </c>
      <c r="Q28" s="127">
        <f>IF(D28="ATSI",$J$11*'BRA Load Pricing Results'!K47/'BRA Load Pricing Results'!$K$43,0)</f>
        <v>0</v>
      </c>
      <c r="R28" s="128">
        <f t="shared" si="4"/>
        <v>0</v>
      </c>
      <c r="S28" s="127">
        <f>IF(D28="COMED",$J$12*'BRA Load Pricing Results'!K47/'BRA Load Pricing Results'!$K$45,0)</f>
        <v>0</v>
      </c>
      <c r="T28" s="128">
        <f t="shared" si="5"/>
        <v>0</v>
      </c>
      <c r="U28" s="127">
        <f>IF(D28="BGE",$J$13*'BRA Load Pricing Results'!K47/'BRA Load Pricing Results'!$K$44,0)</f>
        <v>0</v>
      </c>
      <c r="V28" s="128">
        <f t="shared" si="12"/>
        <v>0</v>
      </c>
      <c r="W28" s="127">
        <f>IF(D28="PL",$J$14*'BRA Load Pricing Results'!K47/'BRA Load Pricing Results'!$K$57,0)</f>
        <v>0</v>
      </c>
      <c r="X28" s="128">
        <f t="shared" si="1"/>
        <v>0</v>
      </c>
      <c r="Y28" s="129">
        <f t="shared" si="6"/>
        <v>0</v>
      </c>
      <c r="Z28" s="29">
        <f t="shared" si="7"/>
        <v>0</v>
      </c>
      <c r="AA28" s="191">
        <f>Z28/'BRA Load Pricing Results'!K47</f>
        <v>0</v>
      </c>
      <c r="AB28" s="203">
        <f t="shared" si="13"/>
        <v>0</v>
      </c>
      <c r="AC28" s="30"/>
      <c r="AD28" s="22"/>
    </row>
    <row r="29" spans="1:30" ht="13.5">
      <c r="A29" s="49" t="s">
        <v>48</v>
      </c>
      <c r="B29" s="86"/>
      <c r="C29" s="86"/>
      <c r="D29" s="87"/>
      <c r="E29" s="127">
        <f>IF(B29="MAAC",$J$5*'BRA Load Pricing Results'!K48/'BRA Load Pricing Results'!$B$16,0)</f>
        <v>0</v>
      </c>
      <c r="F29" s="128">
        <f t="shared" si="2"/>
        <v>0</v>
      </c>
      <c r="G29" s="127">
        <f>IF(C29="EMAAC",$J$6*'BRA Load Pricing Results'!K48/'BRA Load Pricing Results'!$B$17,0)</f>
        <v>0</v>
      </c>
      <c r="H29" s="128">
        <f>G29*$H$19</f>
        <v>0</v>
      </c>
      <c r="I29" s="127">
        <f>IF(C29="SWMAAC",$J$7*'BRA Load Pricing Results'!K48/'BRA Load Pricing Results'!$B$18,0)</f>
        <v>0</v>
      </c>
      <c r="J29" s="128">
        <f>I29*$J$19</f>
        <v>0</v>
      </c>
      <c r="K29" s="127">
        <f>IF(D29="PS",$J$8*'BRA Load Pricing Results'!K48/'BRA Load Pricing Results'!$K$58,0)</f>
        <v>0</v>
      </c>
      <c r="L29" s="128">
        <f>K29*$L$19</f>
        <v>0</v>
      </c>
      <c r="M29" s="127">
        <f>IF(D29="DPL",$J$9*'BRA Load Pricing Results'!K48/'BRA Load Pricing Results'!$K$50,0)</f>
        <v>0</v>
      </c>
      <c r="N29" s="128">
        <f>M29*$N$19</f>
        <v>0</v>
      </c>
      <c r="O29" s="127">
        <f>IF(D29="PEPCO",$J$10*'BRA Load Pricing Results'!#REF!/'BRA Load Pricing Results'!$K$56,0)</f>
        <v>0</v>
      </c>
      <c r="P29" s="128">
        <f>O29*$P$19</f>
        <v>0</v>
      </c>
      <c r="Q29" s="127">
        <f>IF(D29="ATSI",$J$11*'BRA Load Pricing Results'!K48/'BRA Load Pricing Results'!$K$43,0)</f>
        <v>0</v>
      </c>
      <c r="R29" s="128">
        <f t="shared" si="4"/>
        <v>0</v>
      </c>
      <c r="S29" s="127">
        <f>IF(D29="COMED",$J$12*'BRA Load Pricing Results'!K48/'BRA Load Pricing Results'!$K$45,0)</f>
        <v>0</v>
      </c>
      <c r="T29" s="128">
        <f t="shared" si="5"/>
        <v>0</v>
      </c>
      <c r="U29" s="127">
        <f>IF(D29="BGE",$J$13*'BRA Load Pricing Results'!K48/'BRA Load Pricing Results'!$K$44,0)</f>
        <v>0</v>
      </c>
      <c r="V29" s="128">
        <f t="shared" si="12"/>
        <v>0</v>
      </c>
      <c r="W29" s="127">
        <f>IF(D29="PL",$J$14*'BRA Load Pricing Results'!K48/'BRA Load Pricing Results'!$K$57,0)</f>
        <v>0</v>
      </c>
      <c r="X29" s="128">
        <f t="shared" si="1"/>
        <v>0</v>
      </c>
      <c r="Y29" s="129">
        <f t="shared" si="6"/>
        <v>0</v>
      </c>
      <c r="Z29" s="29">
        <f t="shared" si="7"/>
        <v>0</v>
      </c>
      <c r="AA29" s="191">
        <f>Z29/'BRA Load Pricing Results'!K48</f>
        <v>0</v>
      </c>
      <c r="AB29" s="203">
        <f t="shared" si="13"/>
        <v>0</v>
      </c>
      <c r="AC29" s="30"/>
      <c r="AD29" s="22"/>
    </row>
    <row r="30" spans="1:30" ht="13.5">
      <c r="A30" s="49" t="s">
        <v>32</v>
      </c>
      <c r="B30" s="86"/>
      <c r="C30" s="86"/>
      <c r="D30" s="87"/>
      <c r="E30" s="127">
        <f>IF(B30="MAAC",$J$5*'BRA Load Pricing Results'!K49/'BRA Load Pricing Results'!$B$16,0)</f>
        <v>0</v>
      </c>
      <c r="F30" s="128">
        <f t="shared" si="2"/>
        <v>0</v>
      </c>
      <c r="G30" s="127">
        <f>IF(C30="EMAAC",$J$6*'BRA Load Pricing Results'!K49/'BRA Load Pricing Results'!$B$17,0)</f>
        <v>0</v>
      </c>
      <c r="H30" s="128">
        <f t="shared" si="11"/>
        <v>0</v>
      </c>
      <c r="I30" s="127">
        <f>IF(C30="SWMAAC",$J$7*'BRA Load Pricing Results'!K49/'BRA Load Pricing Results'!$B$18,0)</f>
        <v>0</v>
      </c>
      <c r="J30" s="128">
        <f t="shared" si="8"/>
        <v>0</v>
      </c>
      <c r="K30" s="127">
        <f>IF(D30="PS",$J$8*'BRA Load Pricing Results'!K49/'BRA Load Pricing Results'!$K$58,0)</f>
        <v>0</v>
      </c>
      <c r="L30" s="128">
        <f t="shared" si="9"/>
        <v>0</v>
      </c>
      <c r="M30" s="127">
        <f>IF(D30="DPL",$J$9*'BRA Load Pricing Results'!K49/'BRA Load Pricing Results'!$K$50,0)</f>
        <v>0</v>
      </c>
      <c r="N30" s="128">
        <f t="shared" si="3"/>
        <v>0</v>
      </c>
      <c r="O30" s="127">
        <f>IF(D30="PEPCO",$J$10*'BRA Load Pricing Results'!K49/'BRA Load Pricing Results'!$K$56,0)</f>
        <v>0</v>
      </c>
      <c r="P30" s="128">
        <f t="shared" si="10"/>
        <v>0</v>
      </c>
      <c r="Q30" s="127">
        <f>IF(D30="ATSI",$J$11*'BRA Load Pricing Results'!K49/'BRA Load Pricing Results'!$K$43,0)</f>
        <v>0</v>
      </c>
      <c r="R30" s="128">
        <f t="shared" si="4"/>
        <v>0</v>
      </c>
      <c r="S30" s="127">
        <f>IF(D30="COMED",$J$12*'BRA Load Pricing Results'!K49/'BRA Load Pricing Results'!$K$45,0)</f>
        <v>0</v>
      </c>
      <c r="T30" s="128">
        <f t="shared" si="5"/>
        <v>0</v>
      </c>
      <c r="U30" s="127">
        <f>IF(D30="BGE",$J$13*'BRA Load Pricing Results'!K49/'BRA Load Pricing Results'!$K$44,0)</f>
        <v>0</v>
      </c>
      <c r="V30" s="128">
        <f t="shared" si="12"/>
        <v>0</v>
      </c>
      <c r="W30" s="127">
        <f>IF(D30="PL",$J$14*'BRA Load Pricing Results'!K49/'BRA Load Pricing Results'!$K$57,0)</f>
        <v>0</v>
      </c>
      <c r="X30" s="128">
        <f t="shared" si="1"/>
        <v>0</v>
      </c>
      <c r="Y30" s="129">
        <f t="shared" si="6"/>
        <v>0</v>
      </c>
      <c r="Z30" s="29">
        <f t="shared" si="7"/>
        <v>0</v>
      </c>
      <c r="AA30" s="191">
        <f>Z30/'BRA Load Pricing Results'!K49</f>
        <v>0</v>
      </c>
      <c r="AB30" s="203">
        <f t="shared" si="13"/>
        <v>0</v>
      </c>
      <c r="AC30" s="30"/>
      <c r="AD30" s="22"/>
    </row>
    <row r="31" spans="1:30" ht="13.5">
      <c r="A31" s="49" t="s">
        <v>17</v>
      </c>
      <c r="B31" s="86" t="s">
        <v>29</v>
      </c>
      <c r="C31" s="86" t="s">
        <v>39</v>
      </c>
      <c r="D31" s="87" t="s">
        <v>17</v>
      </c>
      <c r="E31" s="127">
        <f>IF(B31="MAAC",$J$5*'BRA Load Pricing Results'!K50/'BRA Load Pricing Results'!$B$16,0)</f>
        <v>0</v>
      </c>
      <c r="F31" s="128">
        <f aca="true" t="shared" si="14" ref="F31:F40">E31*$F$19</f>
        <v>0</v>
      </c>
      <c r="G31" s="127">
        <f>IF(C31="EMAAC",$J$6*'BRA Load Pricing Results'!K50/'BRA Load Pricing Results'!$B$17,0)</f>
        <v>433.21956123027826</v>
      </c>
      <c r="H31" s="128">
        <f>G31*$H$19</f>
        <v>0</v>
      </c>
      <c r="I31" s="127">
        <f>IF(C31="SWMAAC",$J$7*'BRA Load Pricing Results'!K50/'BRA Load Pricing Results'!$B$18,0)</f>
        <v>0</v>
      </c>
      <c r="J31" s="128">
        <f t="shared" si="8"/>
        <v>0</v>
      </c>
      <c r="K31" s="127">
        <f>IF(D31="PS",$J$8*'BRA Load Pricing Results'!K50/'BRA Load Pricing Results'!$K$58,0)</f>
        <v>0</v>
      </c>
      <c r="L31" s="128">
        <f t="shared" si="9"/>
        <v>0</v>
      </c>
      <c r="M31" s="127">
        <f>IF(D31="DPL",$J$9*'BRA Load Pricing Results'!K50/'BRA Load Pricing Results'!$K$50,0)</f>
        <v>0</v>
      </c>
      <c r="N31" s="128">
        <f t="shared" si="3"/>
        <v>0</v>
      </c>
      <c r="O31" s="127">
        <f>IF(D31="PEPCO",$J$10*'BRA Load Pricing Results'!K50/'BRA Load Pricing Results'!$K$56,0)</f>
        <v>0</v>
      </c>
      <c r="P31" s="128">
        <f t="shared" si="10"/>
        <v>0</v>
      </c>
      <c r="Q31" s="127">
        <f>IF(D31="ATSI",$J$11*'BRA Load Pricing Results'!K50/'BRA Load Pricing Results'!$K$43,0)</f>
        <v>0</v>
      </c>
      <c r="R31" s="128">
        <f t="shared" si="4"/>
        <v>0</v>
      </c>
      <c r="S31" s="127">
        <f>IF(D31="COMED",$J$12*'BRA Load Pricing Results'!K50/'BRA Load Pricing Results'!$K$45,0)</f>
        <v>0</v>
      </c>
      <c r="T31" s="128">
        <f t="shared" si="5"/>
        <v>0</v>
      </c>
      <c r="U31" s="127">
        <f>IF(D31="BGE",$J$13*'BRA Load Pricing Results'!K50/'BRA Load Pricing Results'!$K$44,0)</f>
        <v>0</v>
      </c>
      <c r="V31" s="128">
        <f t="shared" si="12"/>
        <v>0</v>
      </c>
      <c r="W31" s="127">
        <f>IF(D31="PL",$J$14*'BRA Load Pricing Results'!K50/'BRA Load Pricing Results'!$K$57,0)</f>
        <v>0</v>
      </c>
      <c r="X31" s="128">
        <f t="shared" si="1"/>
        <v>0</v>
      </c>
      <c r="Y31" s="129">
        <f t="shared" si="6"/>
        <v>433.21956123027826</v>
      </c>
      <c r="Z31" s="29">
        <f t="shared" si="7"/>
        <v>0</v>
      </c>
      <c r="AA31" s="191">
        <f>Z31/'BRA Load Pricing Results'!K50</f>
        <v>0</v>
      </c>
      <c r="AB31" s="203">
        <f t="shared" si="13"/>
        <v>0</v>
      </c>
      <c r="AC31" s="30"/>
      <c r="AD31" s="22"/>
    </row>
    <row r="32" spans="1:30" ht="13.5">
      <c r="A32" s="49" t="s">
        <v>160</v>
      </c>
      <c r="B32" s="86"/>
      <c r="C32" s="86"/>
      <c r="D32" s="87"/>
      <c r="E32" s="127">
        <f>IF(B32="MAAC",$J$5*'BRA Load Pricing Results'!K51/'BRA Load Pricing Results'!$B$16,0)</f>
        <v>0</v>
      </c>
      <c r="F32" s="128">
        <f t="shared" si="14"/>
        <v>0</v>
      </c>
      <c r="G32" s="127">
        <f>IF(C32="EMAAC",$J$6*'BRA Load Pricing Results'!K51/'BRA Load Pricing Results'!$B$17,0)</f>
        <v>0</v>
      </c>
      <c r="H32" s="128">
        <f>G32*$H$19</f>
        <v>0</v>
      </c>
      <c r="I32" s="127">
        <f>IF(C32="SWMAAC",$J$7*'BRA Load Pricing Results'!K51/'BRA Load Pricing Results'!$B$18,0)</f>
        <v>0</v>
      </c>
      <c r="J32" s="128">
        <f>I32*$J$19</f>
        <v>0</v>
      </c>
      <c r="K32" s="127">
        <f>IF(D32="PS",$J$8*'BRA Load Pricing Results'!K51/'BRA Load Pricing Results'!$K$58,0)</f>
        <v>0</v>
      </c>
      <c r="L32" s="128">
        <f>K32*$L$19</f>
        <v>0</v>
      </c>
      <c r="M32" s="127">
        <f>IF(D32="DPL",$J$9*'BRA Load Pricing Results'!K51/'BRA Load Pricing Results'!$K$50,0)</f>
        <v>0</v>
      </c>
      <c r="N32" s="128">
        <f>M32*$N$19</f>
        <v>0</v>
      </c>
      <c r="O32" s="127">
        <f>IF(D32="PEPCO",$J$10*'BRA Load Pricing Results'!K51/'BRA Load Pricing Results'!$K$56,0)</f>
        <v>0</v>
      </c>
      <c r="P32" s="128">
        <f>O32*$P$19</f>
        <v>0</v>
      </c>
      <c r="Q32" s="127">
        <f>IF(D32="ATSI",$J$11*'BRA Load Pricing Results'!K51/'BRA Load Pricing Results'!$K$43,0)</f>
        <v>0</v>
      </c>
      <c r="R32" s="128">
        <f>Q32*$R$19</f>
        <v>0</v>
      </c>
      <c r="S32" s="127">
        <f>IF(D32="COMED",$J$12*'BRA Load Pricing Results'!K51/'BRA Load Pricing Results'!$K$45,0)</f>
        <v>0</v>
      </c>
      <c r="T32" s="128">
        <f t="shared" si="5"/>
        <v>0</v>
      </c>
      <c r="U32" s="127">
        <f>IF(D32="BGE",$J$13*'BRA Load Pricing Results'!K51/'BRA Load Pricing Results'!$K$44,0)</f>
        <v>0</v>
      </c>
      <c r="V32" s="128">
        <f t="shared" si="12"/>
        <v>0</v>
      </c>
      <c r="W32" s="127">
        <f>IF(D32="PL",$J$14*'BRA Load Pricing Results'!K51/'BRA Load Pricing Results'!$K$57,0)</f>
        <v>0</v>
      </c>
      <c r="X32" s="128">
        <f t="shared" si="1"/>
        <v>0</v>
      </c>
      <c r="Y32" s="129">
        <f t="shared" si="6"/>
        <v>0</v>
      </c>
      <c r="Z32" s="29">
        <f t="shared" si="7"/>
        <v>0</v>
      </c>
      <c r="AA32" s="191">
        <f>Z32/'BRA Load Pricing Results'!K51</f>
        <v>0</v>
      </c>
      <c r="AB32" s="203">
        <f>IF(Y32=0,0,Z32/Y32)</f>
        <v>0</v>
      </c>
      <c r="AC32" s="30"/>
      <c r="AD32" s="22"/>
    </row>
    <row r="33" spans="1:30" ht="13.5">
      <c r="A33" s="49" t="s">
        <v>12</v>
      </c>
      <c r="B33" s="86" t="s">
        <v>29</v>
      </c>
      <c r="C33" s="86" t="s">
        <v>39</v>
      </c>
      <c r="D33" s="87"/>
      <c r="E33" s="127">
        <f>IF(B33="MAAC",$J$5*'BRA Load Pricing Results'!K52/'BRA Load Pricing Results'!$B$16,0)</f>
        <v>0</v>
      </c>
      <c r="F33" s="128">
        <f t="shared" si="14"/>
        <v>0</v>
      </c>
      <c r="G33" s="127">
        <f>IF(C33="EMAAC",$J$6*'BRA Load Pricing Results'!K52/'BRA Load Pricing Results'!$B$17,0)</f>
        <v>659.4587441385378</v>
      </c>
      <c r="H33" s="128">
        <f>G33*$H$19</f>
        <v>0</v>
      </c>
      <c r="I33" s="127">
        <f>IF(C33="SWMAAC",$J$7*'BRA Load Pricing Results'!K52/'BRA Load Pricing Results'!$B$18,0)</f>
        <v>0</v>
      </c>
      <c r="J33" s="128">
        <f t="shared" si="8"/>
        <v>0</v>
      </c>
      <c r="K33" s="127">
        <f>IF(D33="PS",$J$8*'BRA Load Pricing Results'!K52/'BRA Load Pricing Results'!$K$58,0)</f>
        <v>0</v>
      </c>
      <c r="L33" s="128">
        <f t="shared" si="9"/>
        <v>0</v>
      </c>
      <c r="M33" s="127">
        <f>IF(D33="DPL",$J$9*'BRA Load Pricing Results'!K52/'BRA Load Pricing Results'!$K$50,0)</f>
        <v>0</v>
      </c>
      <c r="N33" s="128">
        <f t="shared" si="3"/>
        <v>0</v>
      </c>
      <c r="O33" s="127">
        <f>IF(D33="PEPCO",$J$10*'BRA Load Pricing Results'!K52/'BRA Load Pricing Results'!$K$56,0)</f>
        <v>0</v>
      </c>
      <c r="P33" s="128">
        <f t="shared" si="10"/>
        <v>0</v>
      </c>
      <c r="Q33" s="127">
        <f>IF(D33="ATSI",$J$11*'BRA Load Pricing Results'!K52/'BRA Load Pricing Results'!$K$43,0)</f>
        <v>0</v>
      </c>
      <c r="R33" s="128">
        <f t="shared" si="4"/>
        <v>0</v>
      </c>
      <c r="S33" s="127">
        <f>IF(D33="COMED",$J$12*'BRA Load Pricing Results'!K52/'BRA Load Pricing Results'!$K$45,0)</f>
        <v>0</v>
      </c>
      <c r="T33" s="128">
        <f t="shared" si="5"/>
        <v>0</v>
      </c>
      <c r="U33" s="127">
        <f>IF(D33="BGE",$J$13*'BRA Load Pricing Results'!K52/'BRA Load Pricing Results'!$K$44,0)</f>
        <v>0</v>
      </c>
      <c r="V33" s="128">
        <f t="shared" si="12"/>
        <v>0</v>
      </c>
      <c r="W33" s="127">
        <f>IF(D33="PL",$J$14*'BRA Load Pricing Results'!K52/'BRA Load Pricing Results'!$K$57,0)</f>
        <v>0</v>
      </c>
      <c r="X33" s="128">
        <f t="shared" si="1"/>
        <v>0</v>
      </c>
      <c r="Y33" s="129">
        <f t="shared" si="6"/>
        <v>659.4587441385378</v>
      </c>
      <c r="Z33" s="29">
        <f t="shared" si="7"/>
        <v>0</v>
      </c>
      <c r="AA33" s="191">
        <f>Z33/'BRA Load Pricing Results'!K52</f>
        <v>0</v>
      </c>
      <c r="AB33" s="203">
        <f t="shared" si="13"/>
        <v>0</v>
      </c>
      <c r="AC33" s="30"/>
      <c r="AD33" s="22"/>
    </row>
    <row r="34" spans="1:30" ht="13.5">
      <c r="A34" s="49" t="s">
        <v>13</v>
      </c>
      <c r="B34" s="86" t="s">
        <v>29</v>
      </c>
      <c r="C34" s="86"/>
      <c r="D34" s="87"/>
      <c r="E34" s="127">
        <f>IF(B34="MAAC",$J$5*'BRA Load Pricing Results'!K53/'BRA Load Pricing Results'!$B$16,0)</f>
        <v>0</v>
      </c>
      <c r="F34" s="128">
        <f t="shared" si="14"/>
        <v>0</v>
      </c>
      <c r="G34" s="127">
        <f>IF(C34="EMAAC",$J$6*'BRA Load Pricing Results'!K53/'BRA Load Pricing Results'!$B$17,0)</f>
        <v>0</v>
      </c>
      <c r="H34" s="128">
        <f t="shared" si="11"/>
        <v>0</v>
      </c>
      <c r="I34" s="127">
        <f>IF(C34="SWMAAC",$J$7*'BRA Load Pricing Results'!K53/'BRA Load Pricing Results'!$B$18,0)</f>
        <v>0</v>
      </c>
      <c r="J34" s="128">
        <f t="shared" si="8"/>
        <v>0</v>
      </c>
      <c r="K34" s="127">
        <f>IF(D34="PS",$J$8*'BRA Load Pricing Results'!K53/'BRA Load Pricing Results'!$K$58,0)</f>
        <v>0</v>
      </c>
      <c r="L34" s="128">
        <f t="shared" si="9"/>
        <v>0</v>
      </c>
      <c r="M34" s="127">
        <f>IF(D34="DPL",$J$9*'BRA Load Pricing Results'!K53/'BRA Load Pricing Results'!$K$50,0)</f>
        <v>0</v>
      </c>
      <c r="N34" s="128">
        <f t="shared" si="3"/>
        <v>0</v>
      </c>
      <c r="O34" s="127">
        <f>IF(D34="PEPCO",$J$10*'BRA Load Pricing Results'!K53/'BRA Load Pricing Results'!$K$56,0)</f>
        <v>0</v>
      </c>
      <c r="P34" s="128">
        <f t="shared" si="10"/>
        <v>0</v>
      </c>
      <c r="Q34" s="127">
        <f>IF(D34="ATSI",$J$11*'BRA Load Pricing Results'!K53/'BRA Load Pricing Results'!$K$43,0)</f>
        <v>0</v>
      </c>
      <c r="R34" s="128">
        <f t="shared" si="4"/>
        <v>0</v>
      </c>
      <c r="S34" s="127">
        <f>IF(D34="COMED",$J$12*'BRA Load Pricing Results'!K53/'BRA Load Pricing Results'!$K$45,0)</f>
        <v>0</v>
      </c>
      <c r="T34" s="128">
        <f t="shared" si="5"/>
        <v>0</v>
      </c>
      <c r="U34" s="127">
        <f>IF(D34="BGE",$J$13*'BRA Load Pricing Results'!K53/'BRA Load Pricing Results'!$K$44,0)</f>
        <v>0</v>
      </c>
      <c r="V34" s="128">
        <f t="shared" si="12"/>
        <v>0</v>
      </c>
      <c r="W34" s="127">
        <f>IF(D34="PL",$J$14*'BRA Load Pricing Results'!K53/'BRA Load Pricing Results'!$K$57,0)</f>
        <v>0</v>
      </c>
      <c r="X34" s="128">
        <f t="shared" si="1"/>
        <v>0</v>
      </c>
      <c r="Y34" s="129">
        <f t="shared" si="6"/>
        <v>0</v>
      </c>
      <c r="Z34" s="29">
        <f t="shared" si="7"/>
        <v>0</v>
      </c>
      <c r="AA34" s="191">
        <f>Z34/'BRA Load Pricing Results'!K53</f>
        <v>0</v>
      </c>
      <c r="AB34" s="203">
        <f t="shared" si="13"/>
        <v>0</v>
      </c>
      <c r="AC34" s="30"/>
      <c r="AD34" s="22"/>
    </row>
    <row r="35" spans="1:30" ht="13.5">
      <c r="A35" s="49" t="s">
        <v>9</v>
      </c>
      <c r="B35" s="86" t="s">
        <v>29</v>
      </c>
      <c r="C35" s="86" t="s">
        <v>39</v>
      </c>
      <c r="D35" s="87"/>
      <c r="E35" s="127">
        <f>IF(B35="MAAC",$J$5*'BRA Load Pricing Results'!K54/'BRA Load Pricing Results'!$B$16,0)</f>
        <v>0</v>
      </c>
      <c r="F35" s="128">
        <f t="shared" si="14"/>
        <v>0</v>
      </c>
      <c r="G35" s="127">
        <f>IF(C35="EMAAC",$J$6*'BRA Load Pricing Results'!K54/'BRA Load Pricing Results'!$B$17,0)</f>
        <v>919.5561480129303</v>
      </c>
      <c r="H35" s="128">
        <f>G35*$H$19</f>
        <v>0</v>
      </c>
      <c r="I35" s="127">
        <f>IF(C35="SWMAAC",$J$7*'BRA Load Pricing Results'!K54/'BRA Load Pricing Results'!$B$18,0)</f>
        <v>0</v>
      </c>
      <c r="J35" s="128">
        <f t="shared" si="8"/>
        <v>0</v>
      </c>
      <c r="K35" s="127">
        <f>IF(D35="PS",$J$8*'BRA Load Pricing Results'!K54/'BRA Load Pricing Results'!$K$58,0)</f>
        <v>0</v>
      </c>
      <c r="L35" s="128">
        <f t="shared" si="9"/>
        <v>0</v>
      </c>
      <c r="M35" s="127">
        <f>IF(D35="DPL",$J$9*'BRA Load Pricing Results'!K54/'BRA Load Pricing Results'!$K$50,0)</f>
        <v>0</v>
      </c>
      <c r="N35" s="128">
        <f t="shared" si="3"/>
        <v>0</v>
      </c>
      <c r="O35" s="127">
        <f>IF(D35="PEPCO",$J$10*'BRA Load Pricing Results'!K54/'BRA Load Pricing Results'!$K$56,0)</f>
        <v>0</v>
      </c>
      <c r="P35" s="128">
        <f t="shared" si="10"/>
        <v>0</v>
      </c>
      <c r="Q35" s="127">
        <f>IF(D35="ATSI",$J$11*'BRA Load Pricing Results'!K54/'BRA Load Pricing Results'!$K$43,0)</f>
        <v>0</v>
      </c>
      <c r="R35" s="128">
        <f t="shared" si="4"/>
        <v>0</v>
      </c>
      <c r="S35" s="127">
        <f>IF(D35="COMED",$J$12*'BRA Load Pricing Results'!K54/'BRA Load Pricing Results'!$K$45,0)</f>
        <v>0</v>
      </c>
      <c r="T35" s="128">
        <f t="shared" si="5"/>
        <v>0</v>
      </c>
      <c r="U35" s="127">
        <f>IF(D35="BGE",$J$13*'BRA Load Pricing Results'!K54/'BRA Load Pricing Results'!$K$44,0)</f>
        <v>0</v>
      </c>
      <c r="V35" s="128">
        <f t="shared" si="12"/>
        <v>0</v>
      </c>
      <c r="W35" s="127">
        <f>IF(D35="PL",$J$14*'BRA Load Pricing Results'!K54/'BRA Load Pricing Results'!$K$57,0)</f>
        <v>0</v>
      </c>
      <c r="X35" s="128">
        <f t="shared" si="1"/>
        <v>0</v>
      </c>
      <c r="Y35" s="129">
        <f t="shared" si="6"/>
        <v>919.5561480129303</v>
      </c>
      <c r="Z35" s="29">
        <f t="shared" si="7"/>
        <v>0</v>
      </c>
      <c r="AA35" s="191">
        <f>Z35/'BRA Load Pricing Results'!K54</f>
        <v>0</v>
      </c>
      <c r="AB35" s="203">
        <f t="shared" si="13"/>
        <v>0</v>
      </c>
      <c r="AC35" s="30"/>
      <c r="AD35" s="22"/>
    </row>
    <row r="36" spans="1:30" ht="13.5">
      <c r="A36" s="49" t="s">
        <v>14</v>
      </c>
      <c r="B36" s="86" t="s">
        <v>29</v>
      </c>
      <c r="C36" s="86"/>
      <c r="D36" s="87"/>
      <c r="E36" s="127">
        <f>IF(B36="MAAC",$J$5*'BRA Load Pricing Results'!K55/'BRA Load Pricing Results'!$B$16,0)</f>
        <v>0</v>
      </c>
      <c r="F36" s="128">
        <f t="shared" si="14"/>
        <v>0</v>
      </c>
      <c r="G36" s="127">
        <f>IF(C36="EMAAC",$J$6*'BRA Load Pricing Results'!K55/'BRA Load Pricing Results'!$B$17,0)</f>
        <v>0</v>
      </c>
      <c r="H36" s="128">
        <f t="shared" si="11"/>
        <v>0</v>
      </c>
      <c r="I36" s="127">
        <f>IF(C36="SWMAAC",$J$7*'BRA Load Pricing Results'!K55/'BRA Load Pricing Results'!$B$18,0)</f>
        <v>0</v>
      </c>
      <c r="J36" s="128">
        <f t="shared" si="8"/>
        <v>0</v>
      </c>
      <c r="K36" s="127">
        <f>IF(D36="PS",$J$8*'BRA Load Pricing Results'!K55/'BRA Load Pricing Results'!$K$58,0)</f>
        <v>0</v>
      </c>
      <c r="L36" s="128">
        <f t="shared" si="9"/>
        <v>0</v>
      </c>
      <c r="M36" s="127">
        <f>IF(D36="DPL",$J$9*'BRA Load Pricing Results'!K55/'BRA Load Pricing Results'!$K$50,0)</f>
        <v>0</v>
      </c>
      <c r="N36" s="128">
        <f t="shared" si="3"/>
        <v>0</v>
      </c>
      <c r="O36" s="127">
        <f>IF(D36="PEPCO",$J$10*'BRA Load Pricing Results'!K55/'BRA Load Pricing Results'!$K$56,0)</f>
        <v>0</v>
      </c>
      <c r="P36" s="128">
        <f t="shared" si="10"/>
        <v>0</v>
      </c>
      <c r="Q36" s="127">
        <f>IF(D36="ATSI",$J$11*'BRA Load Pricing Results'!K55/'BRA Load Pricing Results'!$K$43,0)</f>
        <v>0</v>
      </c>
      <c r="R36" s="128">
        <f t="shared" si="4"/>
        <v>0</v>
      </c>
      <c r="S36" s="127">
        <f>IF(D36="COMED",$J$12*'BRA Load Pricing Results'!K55/'BRA Load Pricing Results'!$K$45,0)</f>
        <v>0</v>
      </c>
      <c r="T36" s="128">
        <f t="shared" si="5"/>
        <v>0</v>
      </c>
      <c r="U36" s="127">
        <f>IF(D36="BGE",$J$13*'BRA Load Pricing Results'!K55/'BRA Load Pricing Results'!$K$44,0)</f>
        <v>0</v>
      </c>
      <c r="V36" s="128">
        <f t="shared" si="12"/>
        <v>0</v>
      </c>
      <c r="W36" s="127">
        <f>IF(D36="PL",$J$14*'BRA Load Pricing Results'!K55/'BRA Load Pricing Results'!$K$57,0)</f>
        <v>0</v>
      </c>
      <c r="X36" s="128">
        <f t="shared" si="1"/>
        <v>0</v>
      </c>
      <c r="Y36" s="129">
        <f t="shared" si="6"/>
        <v>0</v>
      </c>
      <c r="Z36" s="29">
        <f t="shared" si="7"/>
        <v>0</v>
      </c>
      <c r="AA36" s="191">
        <f>Z36/'BRA Load Pricing Results'!K55</f>
        <v>0</v>
      </c>
      <c r="AB36" s="203">
        <f t="shared" si="13"/>
        <v>0</v>
      </c>
      <c r="AC36" s="30"/>
      <c r="AD36" s="22"/>
    </row>
    <row r="37" spans="1:30" ht="13.5">
      <c r="A37" s="49" t="s">
        <v>15</v>
      </c>
      <c r="B37" s="86" t="s">
        <v>29</v>
      </c>
      <c r="C37" s="86" t="s">
        <v>5</v>
      </c>
      <c r="D37" s="87" t="s">
        <v>15</v>
      </c>
      <c r="E37" s="127">
        <f>IF(B37="MAAC",$J$5*'BRA Load Pricing Results'!K56/'BRA Load Pricing Results'!$B$16,0)</f>
        <v>0</v>
      </c>
      <c r="F37" s="128">
        <f t="shared" si="14"/>
        <v>0</v>
      </c>
      <c r="G37" s="127">
        <f>IF(C37="EMAAC",$J$6*'BRA Load Pricing Results'!K56/'BRA Load Pricing Results'!$B$17,0)</f>
        <v>0</v>
      </c>
      <c r="H37" s="128">
        <f t="shared" si="11"/>
        <v>0</v>
      </c>
      <c r="I37" s="127">
        <f>IF(C37="SWMAAC",$J$7*'BRA Load Pricing Results'!K56/'BRA Load Pricing Results'!$B$18,0)</f>
        <v>1692.205998483484</v>
      </c>
      <c r="J37" s="128">
        <f t="shared" si="8"/>
        <v>0</v>
      </c>
      <c r="K37" s="127">
        <f>IF(D37="PS",$J$8*'BRA Load Pricing Results'!K56/'BRA Load Pricing Results'!$K$58,0)</f>
        <v>0</v>
      </c>
      <c r="L37" s="128">
        <f t="shared" si="9"/>
        <v>0</v>
      </c>
      <c r="M37" s="127">
        <f>IF(D37="DPL",$J$9*'BRA Load Pricing Results'!K56/'BRA Load Pricing Results'!$K$50,0)</f>
        <v>0</v>
      </c>
      <c r="N37" s="128">
        <f>M37*N19</f>
        <v>0</v>
      </c>
      <c r="O37" s="127">
        <f>IF(D37="PEPCO",$J$10*'BRA Load Pricing Results'!K56/'BRA Load Pricing Results'!$K$56,0)</f>
        <v>1496.4603293611042</v>
      </c>
      <c r="P37" s="128">
        <f>O37*$P$19</f>
        <v>0</v>
      </c>
      <c r="Q37" s="127">
        <f>IF(D37="ATSI",$J$11*'BRA Load Pricing Results'!K56/'BRA Load Pricing Results'!$K$43,0)</f>
        <v>0</v>
      </c>
      <c r="R37" s="128">
        <f t="shared" si="4"/>
        <v>0</v>
      </c>
      <c r="S37" s="127">
        <f>IF(D37="COMED",$J$12*'BRA Load Pricing Results'!K56/'BRA Load Pricing Results'!$K$45,0)</f>
        <v>0</v>
      </c>
      <c r="T37" s="128">
        <f t="shared" si="5"/>
        <v>0</v>
      </c>
      <c r="U37" s="127">
        <f>IF(D37="BGE",$J$13*'BRA Load Pricing Results'!K56/'BRA Load Pricing Results'!$K$44,0)</f>
        <v>0</v>
      </c>
      <c r="V37" s="128">
        <f t="shared" si="12"/>
        <v>0</v>
      </c>
      <c r="W37" s="127">
        <f>IF(D37="PL",$J$14*'BRA Load Pricing Results'!K56/'BRA Load Pricing Results'!$K$57,0)</f>
        <v>0</v>
      </c>
      <c r="X37" s="128">
        <f t="shared" si="1"/>
        <v>0</v>
      </c>
      <c r="Y37" s="129">
        <f t="shared" si="6"/>
        <v>1692.205998483484</v>
      </c>
      <c r="Z37" s="29">
        <f t="shared" si="7"/>
        <v>0</v>
      </c>
      <c r="AA37" s="191">
        <f>Z37/'BRA Load Pricing Results'!K56</f>
        <v>0</v>
      </c>
      <c r="AB37" s="203">
        <f t="shared" si="13"/>
        <v>0</v>
      </c>
      <c r="AC37" s="30"/>
      <c r="AD37" s="22"/>
    </row>
    <row r="38" spans="1:30" ht="13.5">
      <c r="A38" s="49" t="s">
        <v>10</v>
      </c>
      <c r="B38" s="86" t="s">
        <v>29</v>
      </c>
      <c r="C38" s="86"/>
      <c r="D38" s="87" t="s">
        <v>10</v>
      </c>
      <c r="E38" s="127">
        <f>IF(B38="MAAC",$J$5*'BRA Load Pricing Results'!K57/'BRA Load Pricing Results'!$B$16,0)</f>
        <v>0</v>
      </c>
      <c r="F38" s="128">
        <f t="shared" si="14"/>
        <v>0</v>
      </c>
      <c r="G38" s="127">
        <f>IF(C38="EMAAC",$J$6*'BRA Load Pricing Results'!K57/'BRA Load Pricing Results'!$B$17,0)</f>
        <v>0</v>
      </c>
      <c r="H38" s="128">
        <f t="shared" si="11"/>
        <v>0</v>
      </c>
      <c r="I38" s="127">
        <f>IF(C38="SWMAAC",$J$7*'BRA Load Pricing Results'!K57/'BRA Load Pricing Results'!$B$18,0)</f>
        <v>0</v>
      </c>
      <c r="J38" s="128">
        <f t="shared" si="8"/>
        <v>0</v>
      </c>
      <c r="K38" s="127">
        <f>IF(D38="PS",$J$8*'BRA Load Pricing Results'!K57/'BRA Load Pricing Results'!$K$58,0)</f>
        <v>0</v>
      </c>
      <c r="L38" s="128">
        <f t="shared" si="9"/>
        <v>0</v>
      </c>
      <c r="M38" s="127">
        <f>IF(D38="DPL",$J$9*'BRA Load Pricing Results'!K57/'BRA Load Pricing Results'!$K$50,0)</f>
        <v>0</v>
      </c>
      <c r="N38" s="128">
        <f>M38*$N$19</f>
        <v>0</v>
      </c>
      <c r="O38" s="127">
        <f>IF(D38="PEPCO",$J$10*'BRA Load Pricing Results'!K57/'BRA Load Pricing Results'!$K$56,0)</f>
        <v>0</v>
      </c>
      <c r="P38" s="128">
        <f>O38*$P$19</f>
        <v>0</v>
      </c>
      <c r="Q38" s="127">
        <f>IF(D38="ATSI",$J$11*'BRA Load Pricing Results'!K57/'BRA Load Pricing Results'!$K$43,0)</f>
        <v>0</v>
      </c>
      <c r="R38" s="128">
        <f t="shared" si="4"/>
        <v>0</v>
      </c>
      <c r="S38" s="127">
        <f>IF(D38="COMED",$J$12*'BRA Load Pricing Results'!K57/'BRA Load Pricing Results'!$K$45,0)</f>
        <v>0</v>
      </c>
      <c r="T38" s="128">
        <f t="shared" si="5"/>
        <v>0</v>
      </c>
      <c r="U38" s="127">
        <f>IF(D38="BGE",$J$13*'BRA Load Pricing Results'!K57/'BRA Load Pricing Results'!$K$44,0)</f>
        <v>0</v>
      </c>
      <c r="V38" s="128">
        <f t="shared" si="12"/>
        <v>0</v>
      </c>
      <c r="W38" s="127">
        <f>IF(D38="PL",$J$14*'BRA Load Pricing Results'!K57/'BRA Load Pricing Results'!$K$57,0)</f>
        <v>0</v>
      </c>
      <c r="X38" s="128">
        <f>W38*$X$19</f>
        <v>0</v>
      </c>
      <c r="Y38" s="129">
        <f t="shared" si="6"/>
        <v>0</v>
      </c>
      <c r="Z38" s="29">
        <f t="shared" si="7"/>
        <v>0</v>
      </c>
      <c r="AA38" s="191">
        <f>Z38/'BRA Load Pricing Results'!K57</f>
        <v>0</v>
      </c>
      <c r="AB38" s="203">
        <f t="shared" si="13"/>
        <v>0</v>
      </c>
      <c r="AC38" s="30"/>
      <c r="AD38" s="22"/>
    </row>
    <row r="39" spans="1:30" ht="13.5">
      <c r="A39" s="49" t="s">
        <v>8</v>
      </c>
      <c r="B39" s="86" t="s">
        <v>29</v>
      </c>
      <c r="C39" s="86" t="s">
        <v>39</v>
      </c>
      <c r="D39" s="87" t="s">
        <v>8</v>
      </c>
      <c r="E39" s="127">
        <f>IF(B39="MAAC",$J$5*'BRA Load Pricing Results'!K58/'BRA Load Pricing Results'!$B$16,0)</f>
        <v>0</v>
      </c>
      <c r="F39" s="128">
        <f t="shared" si="14"/>
        <v>0</v>
      </c>
      <c r="G39" s="127">
        <f>IF(C39="EMAAC",$J$6*'BRA Load Pricing Results'!K58/'BRA Load Pricing Results'!$B$17,0)</f>
        <v>1084.0843226771065</v>
      </c>
      <c r="H39" s="128">
        <f>G39*$H$19</f>
        <v>0</v>
      </c>
      <c r="I39" s="127">
        <f>IF(C39="SWMAAC",$J$7*'BRA Load Pricing Results'!K58/'BRA Load Pricing Results'!$B$18,0)</f>
        <v>0</v>
      </c>
      <c r="J39" s="128">
        <f t="shared" si="8"/>
        <v>0</v>
      </c>
      <c r="K39" s="127">
        <f>IF(D39="PS",$J$8*'BRA Load Pricing Results'!K58/'BRA Load Pricing Results'!$K$58,0)</f>
        <v>4955.2511143425145</v>
      </c>
      <c r="L39" s="128">
        <f>K39*$L$19</f>
        <v>470748.85586253885</v>
      </c>
      <c r="M39" s="127">
        <f>IF(D39="DPL",$J$9*'BRA Load Pricing Results'!K58/'BRA Load Pricing Results'!$K$50,0)</f>
        <v>0</v>
      </c>
      <c r="N39" s="128">
        <f>M39*$N$19</f>
        <v>0</v>
      </c>
      <c r="O39" s="127">
        <f>IF(D39="PEPCO",$J$10*'BRA Load Pricing Results'!K58/'BRA Load Pricing Results'!$K$56,0)</f>
        <v>0</v>
      </c>
      <c r="P39" s="128">
        <f>O39*$P$19</f>
        <v>0</v>
      </c>
      <c r="Q39" s="127">
        <f>IF(D39="ATSI",$J$11*'BRA Load Pricing Results'!K58/'BRA Load Pricing Results'!$K$43,0)</f>
        <v>0</v>
      </c>
      <c r="R39" s="128">
        <f t="shared" si="4"/>
        <v>0</v>
      </c>
      <c r="S39" s="127">
        <f>IF(D39="COMED",$J$12*'BRA Load Pricing Results'!K58/'BRA Load Pricing Results'!$K$45,0)</f>
        <v>0</v>
      </c>
      <c r="T39" s="128">
        <f t="shared" si="5"/>
        <v>0</v>
      </c>
      <c r="U39" s="127">
        <f>IF(D39="BGE",$J$13*'BRA Load Pricing Results'!K58/'BRA Load Pricing Results'!$K$44,0)</f>
        <v>0</v>
      </c>
      <c r="V39" s="128">
        <f t="shared" si="12"/>
        <v>0</v>
      </c>
      <c r="W39" s="127">
        <f>IF(D39="PL",$J$14*'BRA Load Pricing Results'!K58/'BRA Load Pricing Results'!$K$57,0)</f>
        <v>0</v>
      </c>
      <c r="X39" s="128">
        <f>W39*$X$19</f>
        <v>0</v>
      </c>
      <c r="Y39" s="129">
        <f t="shared" si="6"/>
        <v>4955.2511143425145</v>
      </c>
      <c r="Z39" s="29">
        <f t="shared" si="7"/>
        <v>470748.85586253885</v>
      </c>
      <c r="AA39" s="191">
        <f>Z39/'BRA Load Pricing Results'!K58</f>
        <v>39.71532733003149</v>
      </c>
      <c r="AB39" s="203">
        <f t="shared" si="13"/>
        <v>95</v>
      </c>
      <c r="AC39" s="30"/>
      <c r="AD39" s="22"/>
    </row>
    <row r="40" spans="1:30" ht="14.25" thickBot="1">
      <c r="A40" s="132" t="s">
        <v>18</v>
      </c>
      <c r="B40" s="91" t="s">
        <v>29</v>
      </c>
      <c r="C40" s="91" t="s">
        <v>39</v>
      </c>
      <c r="D40" s="92"/>
      <c r="E40" s="133">
        <f>IF(B40="MAAC",$J$5*'BRA Load Pricing Results'!K59/'BRA Load Pricing Results'!$B$16,0)</f>
        <v>0</v>
      </c>
      <c r="F40" s="134">
        <f t="shared" si="14"/>
        <v>0</v>
      </c>
      <c r="G40" s="133">
        <f>IF(C40="EMAAC",$J$6*'BRA Load Pricing Results'!K59/'BRA Load Pricing Results'!$B$17,0)</f>
        <v>42.76282953826599</v>
      </c>
      <c r="H40" s="134">
        <f>G40*$H$19</f>
        <v>0</v>
      </c>
      <c r="I40" s="133">
        <f>IF(C40="SWMAAC",$J$7*'BRA Load Pricing Results'!K59/'BRA Load Pricing Results'!$B$18,0)</f>
        <v>0</v>
      </c>
      <c r="J40" s="134">
        <f t="shared" si="8"/>
        <v>0</v>
      </c>
      <c r="K40" s="133">
        <f>IF(D40="PS",$J$8*'BRA Load Pricing Results'!K59/'BRA Load Pricing Results'!$K$58,0)</f>
        <v>0</v>
      </c>
      <c r="L40" s="134">
        <f t="shared" si="9"/>
        <v>0</v>
      </c>
      <c r="M40" s="133">
        <f>IF(D40="DPL",$J$9*'BRA Load Pricing Results'!K59/'BRA Load Pricing Results'!$K$50,0)</f>
        <v>0</v>
      </c>
      <c r="N40" s="134">
        <f>M40*$N$19</f>
        <v>0</v>
      </c>
      <c r="O40" s="133">
        <f>IF(D40="PEPCO",$J$10*'BRA Load Pricing Results'!K59/'BRA Load Pricing Results'!$K$56,0)</f>
        <v>0</v>
      </c>
      <c r="P40" s="134">
        <f>O40*$P$19</f>
        <v>0</v>
      </c>
      <c r="Q40" s="133">
        <f>IF(D40="ATSI",$J$11*'BRA Load Pricing Results'!K59/'BRA Load Pricing Results'!$K$43,0)</f>
        <v>0</v>
      </c>
      <c r="R40" s="134">
        <f t="shared" si="4"/>
        <v>0</v>
      </c>
      <c r="S40" s="127">
        <f>IF(D40="COMED",$J$12*'BRA Load Pricing Results'!K59/'BRA Load Pricing Results'!$K$45,0)</f>
        <v>0</v>
      </c>
      <c r="T40" s="128">
        <f t="shared" si="5"/>
        <v>0</v>
      </c>
      <c r="U40" s="127">
        <f>IF(D40="BGE",$J$13*'BRA Load Pricing Results'!K59/'BRA Load Pricing Results'!$K$44,0)</f>
        <v>0</v>
      </c>
      <c r="V40" s="128">
        <f t="shared" si="12"/>
        <v>0</v>
      </c>
      <c r="W40" s="127">
        <f>IF(D40="PL",$J$14*'BRA Load Pricing Results'!K59/'BRA Load Pricing Results'!$K$57,0)</f>
        <v>0</v>
      </c>
      <c r="X40" s="128">
        <f>W40*$X$19</f>
        <v>0</v>
      </c>
      <c r="Y40" s="129">
        <f t="shared" si="6"/>
        <v>42.76282953826599</v>
      </c>
      <c r="Z40" s="29">
        <f>F40+H40+J40+L40+N40+P40+R40+T40+V40+X40</f>
        <v>0</v>
      </c>
      <c r="AA40" s="204">
        <f>Z40/'BRA Load Pricing Results'!K59</f>
        <v>0</v>
      </c>
      <c r="AB40" s="205">
        <f t="shared" si="13"/>
        <v>0</v>
      </c>
      <c r="AC40" s="30"/>
      <c r="AD40" s="22"/>
    </row>
    <row r="41" spans="1:29" ht="14.25" thickBot="1">
      <c r="A41" s="656" t="s">
        <v>81</v>
      </c>
      <c r="B41" s="657"/>
      <c r="C41" s="657"/>
      <c r="D41" s="658"/>
      <c r="E41" s="135">
        <f>SUM(E21:E40)</f>
        <v>0</v>
      </c>
      <c r="F41" s="136">
        <f>SUM(F21:F40)</f>
        <v>0</v>
      </c>
      <c r="G41" s="135">
        <f aca="true" t="shared" si="15" ref="G41:L41">SUM(G21:G40)</f>
        <v>3423.821995985089</v>
      </c>
      <c r="H41" s="136">
        <f t="shared" si="15"/>
        <v>0</v>
      </c>
      <c r="I41" s="135">
        <f t="shared" si="15"/>
        <v>3515.935809897101</v>
      </c>
      <c r="J41" s="136">
        <f t="shared" si="15"/>
        <v>0</v>
      </c>
      <c r="K41" s="135">
        <f>SUM(K21:K40)</f>
        <v>4955.2511143425145</v>
      </c>
      <c r="L41" s="136">
        <f t="shared" si="15"/>
        <v>470748.85586253885</v>
      </c>
      <c r="M41" s="135">
        <f aca="true" t="shared" si="16" ref="M41:R41">SUM(M21:M40)</f>
        <v>0</v>
      </c>
      <c r="N41" s="136">
        <f t="shared" si="16"/>
        <v>0</v>
      </c>
      <c r="O41" s="135">
        <f t="shared" si="16"/>
        <v>1496.4603293611042</v>
      </c>
      <c r="P41" s="136">
        <f t="shared" si="16"/>
        <v>0</v>
      </c>
      <c r="Q41" s="135">
        <f t="shared" si="16"/>
        <v>5476.9172520480515</v>
      </c>
      <c r="R41" s="136">
        <f t="shared" si="16"/>
        <v>0</v>
      </c>
      <c r="S41" s="135">
        <f aca="true" t="shared" si="17" ref="S41:X41">SUM(S21:S40)</f>
        <v>2935.2849336319573</v>
      </c>
      <c r="T41" s="136">
        <f>SUM(T21:T40)</f>
        <v>0</v>
      </c>
      <c r="U41" s="135">
        <f t="shared" si="17"/>
        <v>4478.775480535999</v>
      </c>
      <c r="V41" s="136">
        <f t="shared" si="17"/>
        <v>0</v>
      </c>
      <c r="W41" s="135">
        <f t="shared" si="17"/>
        <v>0</v>
      </c>
      <c r="X41" s="136">
        <f t="shared" si="17"/>
        <v>0</v>
      </c>
      <c r="Y41" s="137"/>
      <c r="Z41" s="138">
        <f>SUM(Z21:Z40)</f>
        <v>470748.85586253885</v>
      </c>
      <c r="AA41" s="139"/>
      <c r="AB41" s="140"/>
      <c r="AC41" s="13"/>
    </row>
    <row r="42" spans="1:28" ht="13.5">
      <c r="A42" s="22" t="s">
        <v>82</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ht="13.5">
      <c r="A43" s="22" t="s">
        <v>83</v>
      </c>
      <c r="B43" s="20"/>
      <c r="C43" s="20"/>
      <c r="D43" s="20"/>
      <c r="E43" s="20"/>
      <c r="F43" s="20"/>
      <c r="G43" s="20"/>
      <c r="H43" s="20"/>
      <c r="I43" s="20"/>
      <c r="J43" s="20"/>
      <c r="K43" s="48"/>
      <c r="L43" s="20"/>
      <c r="M43" s="20"/>
      <c r="N43" s="20"/>
      <c r="O43" s="20"/>
      <c r="P43" s="20"/>
      <c r="Q43" s="20"/>
      <c r="R43" s="20"/>
      <c r="S43" s="20"/>
      <c r="T43" s="20"/>
      <c r="U43" s="20"/>
      <c r="V43" s="20"/>
      <c r="W43" s="20"/>
      <c r="X43" s="20"/>
      <c r="Y43" s="20"/>
      <c r="Z43" s="20"/>
      <c r="AA43" s="20"/>
      <c r="AB43" s="20"/>
    </row>
    <row r="44" spans="1:28" ht="13.5">
      <c r="A44" s="22" t="s">
        <v>222</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ht="13.5">
      <c r="A45" s="22" t="s">
        <v>84</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ht="13.5">
      <c r="A46" s="22" t="s">
        <v>85</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ht="13.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ht="13.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sheetData>
  <sheetProtection/>
  <mergeCells count="12">
    <mergeCell ref="S18:T18"/>
    <mergeCell ref="U18:V18"/>
    <mergeCell ref="W18:X18"/>
    <mergeCell ref="Q18:R18"/>
    <mergeCell ref="O18:P18"/>
    <mergeCell ref="I18:J18"/>
    <mergeCell ref="A17:D19"/>
    <mergeCell ref="A41:D41"/>
    <mergeCell ref="E18:F18"/>
    <mergeCell ref="G18:H18"/>
    <mergeCell ref="K18:L18"/>
    <mergeCell ref="M18:N18"/>
  </mergeCells>
  <printOptions horizontalCentered="1" verticalCentered="1"/>
  <pageMargins left="0.45" right="0.45" top="0.5" bottom="0.5" header="0" footer="0"/>
  <pageSetup fitToHeight="1" fitToWidth="1" horizontalDpi="600" verticalDpi="600" orientation="landscape" scale="29" r:id="rId1"/>
</worksheet>
</file>

<file path=xl/worksheets/sheet7.xml><?xml version="1.0" encoding="utf-8"?>
<worksheet xmlns="http://schemas.openxmlformats.org/spreadsheetml/2006/main" xmlns:r="http://schemas.openxmlformats.org/officeDocument/2006/relationships">
  <sheetPr>
    <pageSetUpPr fitToPage="1"/>
  </sheetPr>
  <dimension ref="A1:X162"/>
  <sheetViews>
    <sheetView zoomScalePageLayoutView="0" workbookViewId="0" topLeftCell="A1">
      <selection activeCell="A1" sqref="A1"/>
    </sheetView>
  </sheetViews>
  <sheetFormatPr defaultColWidth="9.140625" defaultRowHeight="12.75"/>
  <cols>
    <col min="1" max="1" width="54.7109375" style="0" customWidth="1"/>
    <col min="2" max="20" width="15.7109375" style="0" customWidth="1"/>
    <col min="21" max="21" width="21.140625" style="0" bestFit="1" customWidth="1"/>
    <col min="23" max="23" width="21.140625" style="0" bestFit="1" customWidth="1"/>
  </cols>
  <sheetData>
    <row r="1" spans="1:2" ht="18">
      <c r="A1" s="370" t="s">
        <v>183</v>
      </c>
      <c r="B1" s="11" t="s">
        <v>24</v>
      </c>
    </row>
    <row r="2" spans="1:3" ht="18" thickBot="1">
      <c r="A2" s="3"/>
      <c r="C2" s="18"/>
    </row>
    <row r="3" spans="1:20" ht="14.25" thickBot="1">
      <c r="A3" s="674" t="s">
        <v>73</v>
      </c>
      <c r="B3" s="20"/>
      <c r="C3" s="143" t="s">
        <v>170</v>
      </c>
      <c r="D3" s="20"/>
      <c r="E3" s="20"/>
      <c r="F3" s="20"/>
      <c r="G3" s="20"/>
      <c r="H3" s="20"/>
      <c r="I3" s="143" t="s">
        <v>170</v>
      </c>
      <c r="J3" s="20"/>
      <c r="K3" s="20"/>
      <c r="L3" s="20"/>
      <c r="M3" s="20"/>
      <c r="N3" s="20"/>
      <c r="O3" s="20"/>
      <c r="P3" s="20"/>
      <c r="Q3" s="20"/>
      <c r="R3" s="20"/>
      <c r="S3" s="20"/>
      <c r="T3" s="20"/>
    </row>
    <row r="4" spans="1:20" ht="18.75" customHeight="1" thickBot="1">
      <c r="A4" s="675"/>
      <c r="B4" s="144" t="s">
        <v>29</v>
      </c>
      <c r="C4" s="144" t="s">
        <v>29</v>
      </c>
      <c r="D4" s="145" t="s">
        <v>39</v>
      </c>
      <c r="E4" s="145" t="s">
        <v>5</v>
      </c>
      <c r="F4" s="145" t="s">
        <v>8</v>
      </c>
      <c r="G4" s="145" t="s">
        <v>40</v>
      </c>
      <c r="H4" s="145" t="s">
        <v>41</v>
      </c>
      <c r="I4" s="145" t="s">
        <v>41</v>
      </c>
      <c r="J4" s="145" t="s">
        <v>15</v>
      </c>
      <c r="K4" s="145" t="s">
        <v>11</v>
      </c>
      <c r="L4" s="182"/>
      <c r="M4" s="182"/>
      <c r="N4" s="182"/>
      <c r="O4" s="182"/>
      <c r="P4" s="182"/>
      <c r="Q4" s="20"/>
      <c r="R4" s="20"/>
      <c r="S4" s="20"/>
      <c r="T4" s="20"/>
    </row>
    <row r="5" spans="1:20" ht="27">
      <c r="A5" s="183" t="s">
        <v>129</v>
      </c>
      <c r="B5" s="146" t="s">
        <v>142</v>
      </c>
      <c r="C5" s="146" t="s">
        <v>171</v>
      </c>
      <c r="D5" s="147" t="s">
        <v>184</v>
      </c>
      <c r="E5" s="147" t="s">
        <v>184</v>
      </c>
      <c r="F5" s="147" t="s">
        <v>184</v>
      </c>
      <c r="G5" s="147" t="s">
        <v>184</v>
      </c>
      <c r="H5" s="147" t="s">
        <v>142</v>
      </c>
      <c r="I5" s="147" t="s">
        <v>171</v>
      </c>
      <c r="J5" s="147" t="s">
        <v>184</v>
      </c>
      <c r="K5" s="147" t="s">
        <v>184</v>
      </c>
      <c r="L5" s="182"/>
      <c r="M5" s="182"/>
      <c r="N5" s="182"/>
      <c r="O5" s="182"/>
      <c r="P5" s="182"/>
      <c r="Q5" s="30"/>
      <c r="R5" s="20"/>
      <c r="S5" s="20"/>
      <c r="T5" s="20"/>
    </row>
    <row r="6" spans="1:20" ht="19.5" customHeight="1">
      <c r="A6" s="148" t="s">
        <v>130</v>
      </c>
      <c r="B6" s="149"/>
      <c r="C6" s="149"/>
      <c r="D6" s="150"/>
      <c r="E6" s="150"/>
      <c r="F6" s="150"/>
      <c r="G6" s="150"/>
      <c r="H6" s="150"/>
      <c r="I6" s="150"/>
      <c r="J6" s="150"/>
      <c r="K6" s="150"/>
      <c r="L6" s="182"/>
      <c r="M6" s="182"/>
      <c r="N6" s="182"/>
      <c r="O6" s="182"/>
      <c r="P6" s="182"/>
      <c r="Q6" s="30"/>
      <c r="R6" s="20"/>
      <c r="S6" s="20"/>
      <c r="T6" s="20"/>
    </row>
    <row r="7" spans="1:20" ht="19.5" customHeight="1">
      <c r="A7" s="151" t="s">
        <v>120</v>
      </c>
      <c r="B7" s="152">
        <v>160</v>
      </c>
      <c r="C7" s="153">
        <f>B7*'BRA CTRs'!$G$5/$B$25</f>
        <v>0</v>
      </c>
      <c r="D7" s="153">
        <v>0</v>
      </c>
      <c r="E7" s="153">
        <v>0</v>
      </c>
      <c r="F7" s="153">
        <v>0</v>
      </c>
      <c r="G7" s="153">
        <v>0</v>
      </c>
      <c r="H7" s="153">
        <v>0</v>
      </c>
      <c r="I7" s="153">
        <v>0</v>
      </c>
      <c r="J7" s="153">
        <v>0</v>
      </c>
      <c r="K7" s="153">
        <v>0</v>
      </c>
      <c r="L7" s="36"/>
      <c r="M7" s="36"/>
      <c r="N7" s="36"/>
      <c r="O7" s="36"/>
      <c r="P7" s="36"/>
      <c r="Q7" s="30"/>
      <c r="R7" s="20"/>
      <c r="S7" s="20"/>
      <c r="T7" s="20"/>
    </row>
    <row r="8" spans="1:20" ht="27">
      <c r="A8" s="151" t="s">
        <v>121</v>
      </c>
      <c r="B8" s="152">
        <v>106</v>
      </c>
      <c r="C8" s="153">
        <f>B8*'BRA CTRs'!$G$5/$B$25</f>
        <v>0</v>
      </c>
      <c r="D8" s="153">
        <v>0</v>
      </c>
      <c r="E8" s="153">
        <v>0</v>
      </c>
      <c r="F8" s="153">
        <v>0</v>
      </c>
      <c r="G8" s="153">
        <v>0</v>
      </c>
      <c r="H8" s="153">
        <v>0</v>
      </c>
      <c r="I8" s="153">
        <v>0</v>
      </c>
      <c r="J8" s="153">
        <v>0</v>
      </c>
      <c r="K8" s="153">
        <v>0</v>
      </c>
      <c r="L8" s="36"/>
      <c r="M8" s="36"/>
      <c r="N8" s="36"/>
      <c r="O8" s="36"/>
      <c r="P8" s="36"/>
      <c r="Q8" s="30"/>
      <c r="R8" s="20"/>
      <c r="S8" s="20"/>
      <c r="T8" s="20"/>
    </row>
    <row r="9" spans="1:20" ht="19.5" customHeight="1">
      <c r="A9" s="151" t="s">
        <v>125</v>
      </c>
      <c r="B9" s="152">
        <v>117</v>
      </c>
      <c r="C9" s="153">
        <f>B9*'BRA CTRs'!$G$5/$B$25</f>
        <v>0</v>
      </c>
      <c r="D9" s="153">
        <v>0</v>
      </c>
      <c r="E9" s="153">
        <v>0</v>
      </c>
      <c r="F9" s="153">
        <v>0</v>
      </c>
      <c r="G9" s="153">
        <v>0</v>
      </c>
      <c r="H9" s="153">
        <v>0</v>
      </c>
      <c r="I9" s="153">
        <v>0</v>
      </c>
      <c r="J9" s="153">
        <v>0</v>
      </c>
      <c r="K9" s="153">
        <v>0</v>
      </c>
      <c r="L9" s="36"/>
      <c r="M9" s="36"/>
      <c r="N9" s="36"/>
      <c r="O9" s="36"/>
      <c r="P9" s="36"/>
      <c r="Q9" s="30"/>
      <c r="R9" s="20"/>
      <c r="S9" s="20"/>
      <c r="T9" s="20"/>
    </row>
    <row r="10" spans="1:20" ht="27">
      <c r="A10" s="154" t="s">
        <v>126</v>
      </c>
      <c r="B10" s="152">
        <v>0</v>
      </c>
      <c r="C10" s="153">
        <f>B10*'BRA CTRs'!$G$5/$B$25</f>
        <v>0</v>
      </c>
      <c r="D10" s="153">
        <v>898</v>
      </c>
      <c r="E10" s="153">
        <v>0</v>
      </c>
      <c r="F10" s="153">
        <v>68.9</v>
      </c>
      <c r="G10" s="153">
        <v>105.5</v>
      </c>
      <c r="H10" s="153">
        <v>0</v>
      </c>
      <c r="I10" s="153">
        <v>0</v>
      </c>
      <c r="J10" s="153">
        <v>0</v>
      </c>
      <c r="K10" s="153">
        <v>0</v>
      </c>
      <c r="L10" s="36"/>
      <c r="M10" s="36"/>
      <c r="N10" s="36"/>
      <c r="O10" s="36"/>
      <c r="P10" s="36"/>
      <c r="Q10" s="30"/>
      <c r="R10" s="20"/>
      <c r="S10" s="20"/>
      <c r="T10" s="20"/>
    </row>
    <row r="11" spans="1:20" ht="27">
      <c r="A11" s="154" t="s">
        <v>162</v>
      </c>
      <c r="B11" s="152">
        <v>339</v>
      </c>
      <c r="C11" s="153">
        <f>B11*'BRA CTRs'!$G$5/$B$25</f>
        <v>0</v>
      </c>
      <c r="D11" s="153">
        <v>0</v>
      </c>
      <c r="E11" s="153">
        <v>0</v>
      </c>
      <c r="F11" s="153">
        <v>0</v>
      </c>
      <c r="G11" s="153">
        <v>0</v>
      </c>
      <c r="H11" s="153">
        <v>0</v>
      </c>
      <c r="I11" s="153">
        <v>0</v>
      </c>
      <c r="J11" s="153">
        <v>0</v>
      </c>
      <c r="K11" s="153">
        <v>0</v>
      </c>
      <c r="L11" s="36"/>
      <c r="M11" s="36"/>
      <c r="N11" s="36"/>
      <c r="O11" s="36"/>
      <c r="P11" s="36"/>
      <c r="Q11" s="30"/>
      <c r="R11" s="20"/>
      <c r="S11" s="20"/>
      <c r="T11" s="20"/>
    </row>
    <row r="12" spans="1:20" ht="27">
      <c r="A12" s="206" t="s">
        <v>131</v>
      </c>
      <c r="B12" s="207">
        <f aca="true" t="shared" si="0" ref="B12:J12">SUM(B7:B11)</f>
        <v>722</v>
      </c>
      <c r="C12" s="207">
        <f>SUM(C7:C11)</f>
        <v>0</v>
      </c>
      <c r="D12" s="208">
        <f t="shared" si="0"/>
        <v>898</v>
      </c>
      <c r="E12" s="208">
        <f t="shared" si="0"/>
        <v>0</v>
      </c>
      <c r="F12" s="208">
        <f>SUM(F7:F11)</f>
        <v>68.9</v>
      </c>
      <c r="G12" s="208">
        <f>SUM(G7:G11)</f>
        <v>105.5</v>
      </c>
      <c r="H12" s="208">
        <f t="shared" si="0"/>
        <v>0</v>
      </c>
      <c r="I12" s="208">
        <f>SUM(I7:I11)</f>
        <v>0</v>
      </c>
      <c r="J12" s="208">
        <f t="shared" si="0"/>
        <v>0</v>
      </c>
      <c r="K12" s="208">
        <f>SUM(K7:K11)</f>
        <v>0</v>
      </c>
      <c r="L12" s="36"/>
      <c r="M12" s="36"/>
      <c r="N12" s="36"/>
      <c r="O12" s="36"/>
      <c r="P12" s="36"/>
      <c r="Q12" s="30"/>
      <c r="R12" s="20"/>
      <c r="S12" s="20"/>
      <c r="T12" s="20"/>
    </row>
    <row r="13" spans="1:20" ht="19.5" customHeight="1">
      <c r="A13" s="148" t="s">
        <v>230</v>
      </c>
      <c r="B13" s="152" t="s">
        <v>24</v>
      </c>
      <c r="C13" s="152" t="s">
        <v>24</v>
      </c>
      <c r="D13" s="153"/>
      <c r="E13" s="153"/>
      <c r="F13" s="153"/>
      <c r="G13" s="153"/>
      <c r="H13" s="153"/>
      <c r="I13" s="153"/>
      <c r="J13" s="153"/>
      <c r="K13" s="153"/>
      <c r="L13" s="184"/>
      <c r="M13" s="56"/>
      <c r="N13" s="56"/>
      <c r="O13" s="56"/>
      <c r="P13" s="184"/>
      <c r="Q13" s="30"/>
      <c r="R13" s="20"/>
      <c r="S13" s="20"/>
      <c r="T13" s="20"/>
    </row>
    <row r="14" spans="1:20" ht="27">
      <c r="A14" s="154" t="s">
        <v>122</v>
      </c>
      <c r="B14" s="152">
        <v>16</v>
      </c>
      <c r="C14" s="153">
        <f>B14*'BRA CTRs'!$G$5/$B$25</f>
        <v>0</v>
      </c>
      <c r="D14" s="153">
        <v>0</v>
      </c>
      <c r="E14" s="153">
        <v>237</v>
      </c>
      <c r="F14" s="153">
        <v>0</v>
      </c>
      <c r="G14" s="153">
        <v>0</v>
      </c>
      <c r="H14" s="153">
        <v>0</v>
      </c>
      <c r="I14" s="153">
        <v>0</v>
      </c>
      <c r="J14" s="153">
        <v>0</v>
      </c>
      <c r="K14" s="153">
        <v>0</v>
      </c>
      <c r="L14" s="184"/>
      <c r="M14" s="56"/>
      <c r="N14" s="56"/>
      <c r="O14" s="56"/>
      <c r="P14" s="184"/>
      <c r="Q14" s="30"/>
      <c r="R14" s="20"/>
      <c r="S14" s="20"/>
      <c r="T14" s="20"/>
    </row>
    <row r="15" spans="1:20" ht="27">
      <c r="A15" s="154" t="s">
        <v>155</v>
      </c>
      <c r="B15" s="152">
        <v>0</v>
      </c>
      <c r="C15" s="153">
        <f>B15*'BRA CTRs'!$G$5/$B$25</f>
        <v>0</v>
      </c>
      <c r="D15" s="153">
        <v>0</v>
      </c>
      <c r="E15" s="153">
        <v>0</v>
      </c>
      <c r="F15" s="153">
        <v>340.2</v>
      </c>
      <c r="G15" s="153">
        <v>494.5</v>
      </c>
      <c r="H15" s="153">
        <v>0</v>
      </c>
      <c r="I15" s="153">
        <v>0</v>
      </c>
      <c r="J15" s="153">
        <v>0</v>
      </c>
      <c r="K15" s="153">
        <v>0</v>
      </c>
      <c r="L15" s="184"/>
      <c r="M15" s="56"/>
      <c r="N15" s="56"/>
      <c r="O15" s="56"/>
      <c r="P15" s="184"/>
      <c r="Q15" s="30"/>
      <c r="R15" s="20"/>
      <c r="S15" s="20"/>
      <c r="T15" s="20"/>
    </row>
    <row r="16" spans="1:20" ht="27">
      <c r="A16" s="154" t="s">
        <v>123</v>
      </c>
      <c r="B16" s="152">
        <v>0</v>
      </c>
      <c r="C16" s="153">
        <f>B16*'BRA CTRs'!$G$5/$B$25</f>
        <v>0</v>
      </c>
      <c r="D16" s="153">
        <v>0</v>
      </c>
      <c r="E16" s="153">
        <v>0</v>
      </c>
      <c r="F16" s="153">
        <v>90.3</v>
      </c>
      <c r="G16" s="153">
        <v>0</v>
      </c>
      <c r="H16" s="153">
        <v>0</v>
      </c>
      <c r="I16" s="153">
        <v>0</v>
      </c>
      <c r="J16" s="153">
        <v>0</v>
      </c>
      <c r="K16" s="153">
        <v>0</v>
      </c>
      <c r="L16" s="184"/>
      <c r="M16" s="56"/>
      <c r="N16" s="56"/>
      <c r="O16" s="56"/>
      <c r="P16" s="184"/>
      <c r="Q16" s="30"/>
      <c r="R16" s="20"/>
      <c r="S16" s="20"/>
      <c r="T16" s="20"/>
    </row>
    <row r="17" spans="1:20" ht="27">
      <c r="A17" s="154" t="s">
        <v>185</v>
      </c>
      <c r="B17" s="152">
        <v>0</v>
      </c>
      <c r="C17" s="153">
        <f>B17*'BRA CTRs'!$G$5/$B$25</f>
        <v>0</v>
      </c>
      <c r="D17" s="153">
        <v>0</v>
      </c>
      <c r="E17" s="153">
        <v>0</v>
      </c>
      <c r="F17" s="153">
        <v>0</v>
      </c>
      <c r="G17" s="153">
        <v>0</v>
      </c>
      <c r="H17" s="153">
        <v>0</v>
      </c>
      <c r="I17" s="153">
        <v>0</v>
      </c>
      <c r="J17" s="153">
        <v>0</v>
      </c>
      <c r="K17" s="153">
        <v>182</v>
      </c>
      <c r="L17" s="184"/>
      <c r="M17" s="56"/>
      <c r="N17" s="56"/>
      <c r="O17" s="56"/>
      <c r="P17" s="184"/>
      <c r="Q17" s="30"/>
      <c r="R17" s="20"/>
      <c r="S17" s="20"/>
      <c r="T17" s="20"/>
    </row>
    <row r="18" spans="1:20" ht="13.5">
      <c r="A18" s="206" t="s">
        <v>132</v>
      </c>
      <c r="B18" s="207">
        <f aca="true" t="shared" si="1" ref="B18:K18">SUM(B14:B17)</f>
        <v>16</v>
      </c>
      <c r="C18" s="207">
        <f>SUM(C14:C17)</f>
        <v>0</v>
      </c>
      <c r="D18" s="208">
        <f t="shared" si="1"/>
        <v>0</v>
      </c>
      <c r="E18" s="208">
        <f t="shared" si="1"/>
        <v>237</v>
      </c>
      <c r="F18" s="208">
        <f>SUM(F14:F17)</f>
        <v>430.5</v>
      </c>
      <c r="G18" s="208">
        <f>SUM(G14:G17)</f>
        <v>494.5</v>
      </c>
      <c r="H18" s="208">
        <f t="shared" si="1"/>
        <v>0</v>
      </c>
      <c r="I18" s="208">
        <f>SUM(I14:I17)</f>
        <v>0</v>
      </c>
      <c r="J18" s="208">
        <f t="shared" si="1"/>
        <v>0</v>
      </c>
      <c r="K18" s="208">
        <f t="shared" si="1"/>
        <v>182</v>
      </c>
      <c r="L18" s="184"/>
      <c r="M18" s="56"/>
      <c r="N18" s="56"/>
      <c r="O18" s="56"/>
      <c r="P18" s="184"/>
      <c r="Q18" s="30"/>
      <c r="R18" s="20"/>
      <c r="S18" s="20"/>
      <c r="T18" s="20"/>
    </row>
    <row r="19" spans="1:20" ht="13.5">
      <c r="A19" s="155" t="s">
        <v>89</v>
      </c>
      <c r="B19" s="156"/>
      <c r="C19" s="156"/>
      <c r="D19" s="157"/>
      <c r="E19" s="157"/>
      <c r="F19" s="157"/>
      <c r="G19" s="157"/>
      <c r="H19" s="157"/>
      <c r="I19" s="157"/>
      <c r="J19" s="157"/>
      <c r="K19" s="157"/>
      <c r="L19" s="184"/>
      <c r="M19" s="56"/>
      <c r="N19" s="56"/>
      <c r="O19" s="56"/>
      <c r="P19" s="184"/>
      <c r="Q19" s="30"/>
      <c r="R19" s="20"/>
      <c r="S19" s="20"/>
      <c r="T19" s="20"/>
    </row>
    <row r="20" spans="1:20" ht="30" customHeight="1">
      <c r="A20" s="154" t="s">
        <v>124</v>
      </c>
      <c r="B20" s="152">
        <v>159</v>
      </c>
      <c r="C20" s="153">
        <f>B20*'BRA CTRs'!$G$5/$B$25</f>
        <v>0</v>
      </c>
      <c r="D20" s="153">
        <v>0</v>
      </c>
      <c r="E20" s="153">
        <v>0</v>
      </c>
      <c r="F20" s="153">
        <v>0</v>
      </c>
      <c r="G20" s="153">
        <v>0</v>
      </c>
      <c r="H20" s="153">
        <v>0</v>
      </c>
      <c r="I20" s="153">
        <v>0</v>
      </c>
      <c r="J20" s="153">
        <v>0</v>
      </c>
      <c r="K20" s="153">
        <v>0</v>
      </c>
      <c r="L20" s="184"/>
      <c r="M20" s="56"/>
      <c r="N20" s="56"/>
      <c r="O20" s="56"/>
      <c r="P20" s="184"/>
      <c r="Q20" s="30"/>
      <c r="R20" s="20"/>
      <c r="S20" s="20"/>
      <c r="T20" s="20"/>
    </row>
    <row r="21" spans="1:20" ht="30" customHeight="1">
      <c r="A21" s="158" t="s">
        <v>161</v>
      </c>
      <c r="B21" s="152">
        <v>0</v>
      </c>
      <c r="C21" s="153">
        <f>B21*'BRA CTRs'!$G$5/$B$25</f>
        <v>0</v>
      </c>
      <c r="D21" s="153">
        <v>0</v>
      </c>
      <c r="E21" s="153">
        <v>0</v>
      </c>
      <c r="F21" s="153">
        <v>0</v>
      </c>
      <c r="G21" s="153">
        <v>0</v>
      </c>
      <c r="H21" s="153">
        <v>37</v>
      </c>
      <c r="I21" s="153">
        <f>H21*'BRA CTRs'!G9/('BRA ICTRs'!H18+'BRA ICTRs'!H23)</f>
        <v>0</v>
      </c>
      <c r="J21" s="153">
        <v>0</v>
      </c>
      <c r="K21" s="153">
        <v>0</v>
      </c>
      <c r="L21" s="184"/>
      <c r="M21" s="56"/>
      <c r="N21" s="56"/>
      <c r="O21" s="56"/>
      <c r="P21" s="184"/>
      <c r="Q21" s="30"/>
      <c r="R21" s="20"/>
      <c r="S21" s="20"/>
      <c r="T21" s="20"/>
    </row>
    <row r="22" spans="1:20" ht="30" customHeight="1">
      <c r="A22" s="158" t="s">
        <v>186</v>
      </c>
      <c r="B22" s="152">
        <v>0</v>
      </c>
      <c r="C22" s="153">
        <f>B22*'BRA CTRs'!$G$5/$B$25</f>
        <v>0</v>
      </c>
      <c r="D22" s="159">
        <v>0</v>
      </c>
      <c r="E22" s="159">
        <v>0</v>
      </c>
      <c r="F22" s="159">
        <v>0</v>
      </c>
      <c r="G22" s="159">
        <v>0</v>
      </c>
      <c r="H22" s="159">
        <v>35</v>
      </c>
      <c r="I22" s="153">
        <f>H22*'BRA CTRs'!G9/('BRA ICTRs'!H18+'BRA ICTRs'!H23)</f>
        <v>0</v>
      </c>
      <c r="J22" s="159">
        <v>0</v>
      </c>
      <c r="K22" s="153">
        <v>0</v>
      </c>
      <c r="L22" s="184"/>
      <c r="M22" s="56"/>
      <c r="N22" s="56"/>
      <c r="O22" s="56"/>
      <c r="P22" s="184"/>
      <c r="Q22" s="30"/>
      <c r="R22" s="20"/>
      <c r="S22" s="20"/>
      <c r="T22" s="20"/>
    </row>
    <row r="23" spans="1:20" ht="13.5">
      <c r="A23" s="206" t="s">
        <v>104</v>
      </c>
      <c r="B23" s="207">
        <f aca="true" t="shared" si="2" ref="B23:K23">SUM(B20:B22)</f>
        <v>159</v>
      </c>
      <c r="C23" s="207">
        <f t="shared" si="2"/>
        <v>0</v>
      </c>
      <c r="D23" s="207">
        <f t="shared" si="2"/>
        <v>0</v>
      </c>
      <c r="E23" s="207">
        <f t="shared" si="2"/>
        <v>0</v>
      </c>
      <c r="F23" s="207">
        <f t="shared" si="2"/>
        <v>0</v>
      </c>
      <c r="G23" s="207">
        <f t="shared" si="2"/>
        <v>0</v>
      </c>
      <c r="H23" s="207">
        <f t="shared" si="2"/>
        <v>72</v>
      </c>
      <c r="I23" s="207">
        <f t="shared" si="2"/>
        <v>0</v>
      </c>
      <c r="J23" s="207">
        <f t="shared" si="2"/>
        <v>0</v>
      </c>
      <c r="K23" s="209">
        <f t="shared" si="2"/>
        <v>0</v>
      </c>
      <c r="L23" s="184"/>
      <c r="M23" s="56"/>
      <c r="N23" s="56"/>
      <c r="O23" s="56"/>
      <c r="P23" s="184"/>
      <c r="Q23" s="30"/>
      <c r="R23" s="20"/>
      <c r="S23" s="20"/>
      <c r="T23" s="20"/>
    </row>
    <row r="24" spans="1:20" ht="13.5">
      <c r="A24" s="160"/>
      <c r="B24" s="152"/>
      <c r="C24" s="152"/>
      <c r="D24" s="150"/>
      <c r="E24" s="150"/>
      <c r="F24" s="150"/>
      <c r="G24" s="150"/>
      <c r="H24" s="150"/>
      <c r="I24" s="150"/>
      <c r="J24" s="150"/>
      <c r="K24" s="150"/>
      <c r="L24" s="184"/>
      <c r="M24" s="56"/>
      <c r="N24" s="56"/>
      <c r="O24" s="56"/>
      <c r="P24" s="184"/>
      <c r="Q24" s="30"/>
      <c r="R24" s="20"/>
      <c r="S24" s="20"/>
      <c r="T24" s="20"/>
    </row>
    <row r="25" spans="1:20" ht="14.25" thickBot="1">
      <c r="A25" s="210" t="s">
        <v>105</v>
      </c>
      <c r="B25" s="211">
        <f aca="true" t="shared" si="3" ref="B25:K25">B12+B18+B23</f>
        <v>897</v>
      </c>
      <c r="C25" s="211">
        <f t="shared" si="3"/>
        <v>0</v>
      </c>
      <c r="D25" s="212">
        <f t="shared" si="3"/>
        <v>898</v>
      </c>
      <c r="E25" s="213">
        <f t="shared" si="3"/>
        <v>237</v>
      </c>
      <c r="F25" s="213">
        <f t="shared" si="3"/>
        <v>499.4</v>
      </c>
      <c r="G25" s="213">
        <f t="shared" si="3"/>
        <v>600</v>
      </c>
      <c r="H25" s="213">
        <f t="shared" si="3"/>
        <v>72</v>
      </c>
      <c r="I25" s="213">
        <f t="shared" si="3"/>
        <v>0</v>
      </c>
      <c r="J25" s="213">
        <f t="shared" si="3"/>
        <v>0</v>
      </c>
      <c r="K25" s="213">
        <f t="shared" si="3"/>
        <v>182</v>
      </c>
      <c r="L25" s="36"/>
      <c r="M25" s="185"/>
      <c r="N25" s="185"/>
      <c r="O25" s="185"/>
      <c r="P25" s="36"/>
      <c r="Q25" s="30"/>
      <c r="R25" s="20"/>
      <c r="S25" s="20"/>
      <c r="T25" s="20"/>
    </row>
    <row r="26" spans="1:20" s="15" customFormat="1" ht="19.5" customHeight="1">
      <c r="A26" s="669" t="s">
        <v>145</v>
      </c>
      <c r="B26" s="670"/>
      <c r="C26" s="670"/>
      <c r="D26" s="670"/>
      <c r="E26" s="670"/>
      <c r="F26" s="670"/>
      <c r="G26" s="670"/>
      <c r="H26" s="670"/>
      <c r="I26" s="670"/>
      <c r="J26" s="670"/>
      <c r="K26" s="670"/>
      <c r="L26" s="186"/>
      <c r="M26" s="32"/>
      <c r="N26" s="30"/>
      <c r="O26" s="30"/>
      <c r="P26" s="30"/>
      <c r="Q26" s="30"/>
      <c r="R26" s="30"/>
      <c r="S26" s="30"/>
      <c r="T26" s="30"/>
    </row>
    <row r="27" spans="1:20" s="15" customFormat="1" ht="13.5">
      <c r="A27" s="22"/>
      <c r="B27" s="187"/>
      <c r="C27" s="187"/>
      <c r="D27" s="38"/>
      <c r="E27" s="186"/>
      <c r="F27" s="186"/>
      <c r="G27" s="186"/>
      <c r="H27" s="186"/>
      <c r="I27" s="32"/>
      <c r="J27" s="186"/>
      <c r="K27" s="186"/>
      <c r="L27" s="186"/>
      <c r="M27" s="32"/>
      <c r="N27" s="30"/>
      <c r="O27" s="30"/>
      <c r="P27" s="30"/>
      <c r="Q27" s="30"/>
      <c r="R27" s="30"/>
      <c r="S27" s="30"/>
      <c r="T27" s="30"/>
    </row>
    <row r="28" spans="1:20" s="15" customFormat="1" ht="14.25" thickBot="1">
      <c r="A28" s="188"/>
      <c r="B28" s="187"/>
      <c r="C28" s="187"/>
      <c r="D28" s="38"/>
      <c r="E28" s="186"/>
      <c r="F28" s="186"/>
      <c r="G28" s="186"/>
      <c r="H28" s="186"/>
      <c r="I28" s="32"/>
      <c r="J28" s="186"/>
      <c r="K28" s="186"/>
      <c r="L28" s="186"/>
      <c r="M28" s="32"/>
      <c r="N28" s="30"/>
      <c r="O28" s="30"/>
      <c r="P28" s="30"/>
      <c r="Q28" s="30"/>
      <c r="R28" s="30"/>
      <c r="S28" s="30"/>
      <c r="T28" s="30"/>
    </row>
    <row r="29" spans="1:20" ht="31.5" thickBot="1">
      <c r="A29" s="228" t="s">
        <v>133</v>
      </c>
      <c r="B29" s="189" t="s">
        <v>24</v>
      </c>
      <c r="C29" s="189" t="s">
        <v>24</v>
      </c>
      <c r="D29" s="58"/>
      <c r="E29" s="186"/>
      <c r="F29" s="186"/>
      <c r="G29" s="186"/>
      <c r="H29" s="186"/>
      <c r="I29" s="32"/>
      <c r="J29" s="186"/>
      <c r="K29" s="186"/>
      <c r="L29" s="186"/>
      <c r="M29" s="32"/>
      <c r="N29" s="20"/>
      <c r="O29" s="20"/>
      <c r="P29" s="20"/>
      <c r="Q29" s="20"/>
      <c r="R29" s="20"/>
      <c r="S29" s="20"/>
      <c r="T29" s="20"/>
    </row>
    <row r="30" spans="1:20" ht="54.75">
      <c r="A30" s="161" t="s">
        <v>71</v>
      </c>
      <c r="B30" s="239" t="s">
        <v>130</v>
      </c>
      <c r="C30" s="240" t="s">
        <v>134</v>
      </c>
      <c r="D30" s="240" t="s">
        <v>135</v>
      </c>
      <c r="E30" s="240" t="s">
        <v>136</v>
      </c>
      <c r="F30" s="241" t="s">
        <v>187</v>
      </c>
      <c r="G30" s="186"/>
      <c r="H30" s="186"/>
      <c r="I30" s="32"/>
      <c r="J30" s="186"/>
      <c r="K30" s="186"/>
      <c r="L30" s="186"/>
      <c r="M30" s="32"/>
      <c r="N30" s="20"/>
      <c r="O30" s="20"/>
      <c r="P30" s="20"/>
      <c r="Q30" s="20"/>
      <c r="R30" s="20"/>
      <c r="S30" s="20"/>
      <c r="T30" s="20"/>
    </row>
    <row r="31" spans="1:20" ht="13.5">
      <c r="A31" s="44" t="s">
        <v>16</v>
      </c>
      <c r="B31" s="163">
        <v>0.017</v>
      </c>
      <c r="C31" s="163">
        <v>0.0896</v>
      </c>
      <c r="D31" s="163">
        <v>0.0021</v>
      </c>
      <c r="E31" s="163">
        <v>0</v>
      </c>
      <c r="F31" s="62">
        <v>0</v>
      </c>
      <c r="G31" s="186"/>
      <c r="H31" s="30"/>
      <c r="I31" s="30"/>
      <c r="J31" s="186"/>
      <c r="K31" s="186"/>
      <c r="L31" s="186"/>
      <c r="M31" s="32"/>
      <c r="N31" s="20"/>
      <c r="O31" s="20"/>
      <c r="P31" s="20"/>
      <c r="Q31" s="20"/>
      <c r="R31" s="20"/>
      <c r="S31" s="20"/>
      <c r="T31" s="20"/>
    </row>
    <row r="32" spans="1:20" ht="13.5">
      <c r="A32" s="44" t="s">
        <v>31</v>
      </c>
      <c r="B32" s="163">
        <v>0.1422</v>
      </c>
      <c r="C32" s="163">
        <v>0</v>
      </c>
      <c r="D32" s="163">
        <v>0</v>
      </c>
      <c r="E32" s="163">
        <v>0</v>
      </c>
      <c r="F32" s="62">
        <v>0</v>
      </c>
      <c r="G32" s="186"/>
      <c r="H32" s="30"/>
      <c r="I32" s="30"/>
      <c r="J32" s="186"/>
      <c r="K32" s="186"/>
      <c r="L32" s="186"/>
      <c r="M32" s="32"/>
      <c r="N32" s="20"/>
      <c r="O32" s="20"/>
      <c r="P32" s="20"/>
      <c r="Q32" s="20"/>
      <c r="R32" s="20"/>
      <c r="S32" s="20"/>
      <c r="T32" s="20"/>
    </row>
    <row r="33" spans="1:20" ht="13.5">
      <c r="A33" s="44" t="s">
        <v>19</v>
      </c>
      <c r="B33" s="163">
        <v>0.054</v>
      </c>
      <c r="C33" s="163">
        <v>0</v>
      </c>
      <c r="D33" s="163">
        <v>0</v>
      </c>
      <c r="E33" s="163">
        <v>0</v>
      </c>
      <c r="F33" s="62">
        <v>0.0442</v>
      </c>
      <c r="G33" s="186"/>
      <c r="H33" s="30"/>
      <c r="I33" s="30"/>
      <c r="J33" s="186"/>
      <c r="K33" s="186"/>
      <c r="L33" s="186"/>
      <c r="M33" s="32"/>
      <c r="N33" s="20"/>
      <c r="O33" s="20"/>
      <c r="P33" s="20"/>
      <c r="Q33" s="20"/>
      <c r="R33" s="20"/>
      <c r="S33" s="20"/>
      <c r="T33" s="20"/>
    </row>
    <row r="34" spans="1:20" s="15" customFormat="1" ht="13.5">
      <c r="A34" s="44" t="s">
        <v>49</v>
      </c>
      <c r="B34" s="163">
        <v>0.0817</v>
      </c>
      <c r="C34" s="163">
        <v>0</v>
      </c>
      <c r="D34" s="163">
        <v>0</v>
      </c>
      <c r="E34" s="163">
        <v>0</v>
      </c>
      <c r="F34" s="62">
        <v>0</v>
      </c>
      <c r="G34" s="30"/>
      <c r="H34" s="30"/>
      <c r="I34" s="30"/>
      <c r="J34" s="30"/>
      <c r="K34" s="30"/>
      <c r="L34" s="30"/>
      <c r="M34" s="30"/>
      <c r="N34" s="30"/>
      <c r="O34" s="30"/>
      <c r="P34" s="30"/>
      <c r="Q34" s="30"/>
      <c r="R34" s="30"/>
      <c r="S34" s="30"/>
      <c r="T34" s="30"/>
    </row>
    <row r="35" spans="1:20" s="15" customFormat="1" ht="13.5">
      <c r="A35" s="44" t="s">
        <v>11</v>
      </c>
      <c r="B35" s="163">
        <v>0.0425</v>
      </c>
      <c r="C35" s="163">
        <v>0</v>
      </c>
      <c r="D35" s="163">
        <v>0.0088</v>
      </c>
      <c r="E35" s="163">
        <v>0</v>
      </c>
      <c r="F35" s="62">
        <v>0.6695</v>
      </c>
      <c r="G35" s="30"/>
      <c r="H35" s="30"/>
      <c r="I35" s="30"/>
      <c r="J35" s="30"/>
      <c r="K35" s="30"/>
      <c r="L35" s="30"/>
      <c r="M35" s="30"/>
      <c r="N35" s="30"/>
      <c r="O35" s="30"/>
      <c r="P35" s="30"/>
      <c r="Q35" s="30"/>
      <c r="R35" s="30"/>
      <c r="S35" s="30"/>
      <c r="T35" s="30"/>
    </row>
    <row r="36" spans="1:20" s="15" customFormat="1" ht="13.5">
      <c r="A36" s="44" t="s">
        <v>20</v>
      </c>
      <c r="B36" s="163">
        <v>0.1385</v>
      </c>
      <c r="C36" s="163">
        <v>0</v>
      </c>
      <c r="D36" s="163">
        <v>0.0211</v>
      </c>
      <c r="E36" s="163">
        <v>0</v>
      </c>
      <c r="F36" s="62">
        <v>0.0412</v>
      </c>
      <c r="G36" s="30"/>
      <c r="H36" s="30"/>
      <c r="I36" s="30"/>
      <c r="J36" s="30"/>
      <c r="K36" s="30"/>
      <c r="L36" s="30"/>
      <c r="M36" s="30"/>
      <c r="N36" s="30"/>
      <c r="O36" s="30"/>
      <c r="P36" s="30"/>
      <c r="Q36" s="30"/>
      <c r="R36" s="30"/>
      <c r="S36" s="30"/>
      <c r="T36" s="30"/>
    </row>
    <row r="37" spans="1:20" ht="13.5">
      <c r="A37" s="44" t="s">
        <v>21</v>
      </c>
      <c r="B37" s="163">
        <v>0.0211</v>
      </c>
      <c r="C37" s="163">
        <v>0</v>
      </c>
      <c r="D37" s="163">
        <v>0.0012</v>
      </c>
      <c r="E37" s="163">
        <v>0</v>
      </c>
      <c r="F37" s="62">
        <v>0.0049</v>
      </c>
      <c r="G37" s="30"/>
      <c r="H37" s="30"/>
      <c r="I37" s="30"/>
      <c r="J37" s="30"/>
      <c r="K37" s="30"/>
      <c r="L37" s="30"/>
      <c r="M37" s="30"/>
      <c r="N37" s="20"/>
      <c r="O37" s="20"/>
      <c r="P37" s="20"/>
      <c r="Q37" s="20"/>
      <c r="R37" s="20"/>
      <c r="S37" s="20"/>
      <c r="T37" s="20"/>
    </row>
    <row r="38" spans="1:20" ht="13.5">
      <c r="A38" s="44" t="s">
        <v>63</v>
      </c>
      <c r="B38" s="163">
        <v>0.032</v>
      </c>
      <c r="C38" s="163">
        <v>0</v>
      </c>
      <c r="D38" s="163">
        <v>0</v>
      </c>
      <c r="E38" s="163">
        <v>0</v>
      </c>
      <c r="F38" s="62">
        <v>0</v>
      </c>
      <c r="G38" s="30"/>
      <c r="H38" s="30"/>
      <c r="I38" s="30"/>
      <c r="J38" s="30"/>
      <c r="K38" s="30"/>
      <c r="L38" s="30"/>
      <c r="M38" s="30"/>
      <c r="N38" s="20"/>
      <c r="O38" s="20"/>
      <c r="P38" s="20"/>
      <c r="Q38" s="20"/>
      <c r="R38" s="20"/>
      <c r="S38" s="20"/>
      <c r="T38" s="20"/>
    </row>
    <row r="39" spans="1:20" ht="13.5">
      <c r="A39" s="44" t="s">
        <v>48</v>
      </c>
      <c r="B39" s="163">
        <v>0.0184</v>
      </c>
      <c r="C39" s="163">
        <v>0</v>
      </c>
      <c r="D39" s="163">
        <v>0</v>
      </c>
      <c r="E39" s="163">
        <v>0</v>
      </c>
      <c r="F39" s="62">
        <v>0</v>
      </c>
      <c r="G39" s="30"/>
      <c r="H39" s="30"/>
      <c r="I39" s="30"/>
      <c r="J39" s="30"/>
      <c r="K39" s="30"/>
      <c r="L39" s="30"/>
      <c r="M39" s="30"/>
      <c r="N39" s="20"/>
      <c r="O39" s="20"/>
      <c r="P39" s="20"/>
      <c r="Q39" s="20"/>
      <c r="R39" s="20"/>
      <c r="S39" s="20"/>
      <c r="T39" s="20"/>
    </row>
    <row r="40" spans="1:20" ht="13.5">
      <c r="A40" s="44" t="s">
        <v>32</v>
      </c>
      <c r="B40" s="163">
        <v>0.1167</v>
      </c>
      <c r="C40" s="163">
        <v>0</v>
      </c>
      <c r="D40" s="163">
        <v>0</v>
      </c>
      <c r="E40" s="163">
        <v>0</v>
      </c>
      <c r="F40" s="62">
        <v>0.1876</v>
      </c>
      <c r="G40" s="30"/>
      <c r="H40" s="30"/>
      <c r="I40" s="30"/>
      <c r="J40" s="30"/>
      <c r="K40" s="30"/>
      <c r="L40" s="30"/>
      <c r="M40" s="30"/>
      <c r="N40" s="20"/>
      <c r="O40" s="20"/>
      <c r="P40" s="20"/>
      <c r="Q40" s="20"/>
      <c r="R40" s="20"/>
      <c r="S40" s="20"/>
      <c r="T40" s="20"/>
    </row>
    <row r="41" spans="1:20" ht="13.5">
      <c r="A41" s="44" t="s">
        <v>17</v>
      </c>
      <c r="B41" s="163">
        <v>0.025</v>
      </c>
      <c r="C41" s="163">
        <v>0.1677</v>
      </c>
      <c r="D41" s="163">
        <v>0</v>
      </c>
      <c r="E41" s="163">
        <v>0</v>
      </c>
      <c r="F41" s="62">
        <v>0</v>
      </c>
      <c r="G41" s="30"/>
      <c r="H41" s="30"/>
      <c r="I41" s="30"/>
      <c r="J41" s="30"/>
      <c r="K41" s="30"/>
      <c r="L41" s="30"/>
      <c r="M41" s="30"/>
      <c r="N41" s="20"/>
      <c r="O41" s="20"/>
      <c r="P41" s="20"/>
      <c r="Q41" s="20"/>
      <c r="R41" s="20"/>
      <c r="S41" s="20"/>
      <c r="T41" s="20"/>
    </row>
    <row r="42" spans="1:20" ht="13.5">
      <c r="A42" s="44" t="s">
        <v>160</v>
      </c>
      <c r="B42" s="163">
        <v>0.0137</v>
      </c>
      <c r="C42" s="163">
        <v>0</v>
      </c>
      <c r="D42" s="163">
        <v>0</v>
      </c>
      <c r="E42" s="163">
        <v>0</v>
      </c>
      <c r="F42" s="62">
        <v>0</v>
      </c>
      <c r="G42" s="30"/>
      <c r="H42" s="30"/>
      <c r="I42" s="30"/>
      <c r="J42" s="30"/>
      <c r="K42" s="30"/>
      <c r="L42" s="30"/>
      <c r="M42" s="30"/>
      <c r="N42" s="20"/>
      <c r="O42" s="20"/>
      <c r="P42" s="20"/>
      <c r="Q42" s="20"/>
      <c r="R42" s="20"/>
      <c r="S42" s="20"/>
      <c r="T42" s="20"/>
    </row>
    <row r="43" spans="1:20" ht="13.5">
      <c r="A43" s="44" t="s">
        <v>12</v>
      </c>
      <c r="B43" s="163">
        <v>0.0397</v>
      </c>
      <c r="C43" s="163">
        <v>0.0959</v>
      </c>
      <c r="D43" s="163">
        <v>0.0106</v>
      </c>
      <c r="E43" s="163">
        <v>0.1282</v>
      </c>
      <c r="F43" s="62">
        <v>0</v>
      </c>
      <c r="G43" s="30"/>
      <c r="H43" s="30"/>
      <c r="I43" s="30"/>
      <c r="J43" s="30"/>
      <c r="K43" s="30"/>
      <c r="L43" s="30"/>
      <c r="M43" s="30"/>
      <c r="N43" s="20"/>
      <c r="O43" s="20"/>
      <c r="P43" s="20"/>
      <c r="Q43" s="20"/>
      <c r="R43" s="20"/>
      <c r="S43" s="20"/>
      <c r="T43" s="20"/>
    </row>
    <row r="44" spans="1:20" ht="13.5">
      <c r="A44" s="44" t="s">
        <v>13</v>
      </c>
      <c r="B44" s="163">
        <v>0.0187</v>
      </c>
      <c r="C44" s="163">
        <v>0.0147</v>
      </c>
      <c r="D44" s="163">
        <v>0</v>
      </c>
      <c r="E44" s="163">
        <v>0</v>
      </c>
      <c r="F44" s="62">
        <v>0</v>
      </c>
      <c r="G44" s="30"/>
      <c r="H44" s="30"/>
      <c r="I44" s="30"/>
      <c r="J44" s="30"/>
      <c r="K44" s="30"/>
      <c r="L44" s="30"/>
      <c r="M44" s="30"/>
      <c r="N44" s="20"/>
      <c r="O44" s="20"/>
      <c r="P44" s="20"/>
      <c r="Q44" s="20"/>
      <c r="R44" s="20"/>
      <c r="S44" s="20"/>
      <c r="T44" s="20"/>
    </row>
    <row r="45" spans="1:20" ht="13.5">
      <c r="A45" s="44" t="s">
        <v>9</v>
      </c>
      <c r="B45" s="163">
        <v>0.0536</v>
      </c>
      <c r="C45" s="163">
        <v>0.3064</v>
      </c>
      <c r="D45" s="163">
        <v>0</v>
      </c>
      <c r="E45" s="163">
        <v>0.5108</v>
      </c>
      <c r="F45" s="62">
        <v>0</v>
      </c>
      <c r="G45" s="30"/>
      <c r="H45" s="30"/>
      <c r="I45" s="30"/>
      <c r="J45" s="30"/>
      <c r="K45" s="30"/>
      <c r="L45" s="30"/>
      <c r="M45" s="30"/>
      <c r="N45" s="20"/>
      <c r="O45" s="20"/>
      <c r="P45" s="20"/>
      <c r="Q45" s="20"/>
      <c r="R45" s="20"/>
      <c r="S45" s="20"/>
      <c r="T45" s="20"/>
    </row>
    <row r="46" spans="1:20" ht="13.5">
      <c r="A46" s="44" t="s">
        <v>14</v>
      </c>
      <c r="B46" s="163">
        <v>0.0192</v>
      </c>
      <c r="C46" s="163">
        <v>0</v>
      </c>
      <c r="D46" s="163">
        <v>0.027</v>
      </c>
      <c r="E46" s="163">
        <v>0</v>
      </c>
      <c r="F46" s="62">
        <v>0.0005</v>
      </c>
      <c r="G46" s="30"/>
      <c r="H46" s="30"/>
      <c r="I46" s="30"/>
      <c r="J46" s="30"/>
      <c r="K46" s="30"/>
      <c r="L46" s="30"/>
      <c r="M46" s="30"/>
      <c r="N46" s="20"/>
      <c r="O46" s="20"/>
      <c r="P46" s="20"/>
      <c r="Q46" s="20"/>
      <c r="R46" s="20"/>
      <c r="S46" s="20"/>
      <c r="T46" s="20"/>
    </row>
    <row r="47" spans="1:20" ht="13.5">
      <c r="A47" s="44" t="s">
        <v>15</v>
      </c>
      <c r="B47" s="163">
        <v>0.0406</v>
      </c>
      <c r="C47" s="163">
        <v>0</v>
      </c>
      <c r="D47" s="163">
        <v>0.0095</v>
      </c>
      <c r="E47" s="163">
        <v>0.0057</v>
      </c>
      <c r="F47" s="62">
        <v>0.0521</v>
      </c>
      <c r="G47" s="30"/>
      <c r="H47" s="30"/>
      <c r="I47" s="30"/>
      <c r="J47" s="30"/>
      <c r="K47" s="30"/>
      <c r="L47" s="30"/>
      <c r="M47" s="30"/>
      <c r="N47" s="20"/>
      <c r="O47" s="20"/>
      <c r="P47" s="20"/>
      <c r="Q47" s="20"/>
      <c r="R47" s="20"/>
      <c r="S47" s="20"/>
      <c r="T47" s="20"/>
    </row>
    <row r="48" spans="1:20" ht="13.5">
      <c r="A48" s="44" t="s">
        <v>10</v>
      </c>
      <c r="B48" s="163">
        <v>0.046</v>
      </c>
      <c r="C48" s="163">
        <v>0.1633</v>
      </c>
      <c r="D48" s="163">
        <v>0</v>
      </c>
      <c r="E48" s="163">
        <v>0</v>
      </c>
      <c r="F48" s="62">
        <v>0</v>
      </c>
      <c r="G48" s="30"/>
      <c r="H48" s="30"/>
      <c r="I48" s="30"/>
      <c r="J48" s="30"/>
      <c r="K48" s="30"/>
      <c r="L48" s="30"/>
      <c r="M48" s="30"/>
      <c r="N48" s="20"/>
      <c r="O48" s="20"/>
      <c r="P48" s="20"/>
      <c r="Q48" s="20"/>
      <c r="R48" s="20"/>
      <c r="S48" s="20"/>
      <c r="T48" s="20"/>
    </row>
    <row r="49" spans="1:20" ht="13.5">
      <c r="A49" s="44" t="s">
        <v>8</v>
      </c>
      <c r="B49" s="163">
        <v>0.0648</v>
      </c>
      <c r="C49" s="163">
        <v>0.14</v>
      </c>
      <c r="D49" s="163">
        <v>0.6381</v>
      </c>
      <c r="E49" s="163">
        <v>0.3146</v>
      </c>
      <c r="F49" s="62">
        <v>0</v>
      </c>
      <c r="G49" s="30"/>
      <c r="H49" s="30"/>
      <c r="I49" s="30"/>
      <c r="J49" s="30"/>
      <c r="K49" s="30"/>
      <c r="L49" s="30"/>
      <c r="M49" s="30"/>
      <c r="N49" s="20"/>
      <c r="O49" s="20"/>
      <c r="P49" s="20"/>
      <c r="Q49" s="20"/>
      <c r="R49" s="20"/>
      <c r="S49" s="20"/>
      <c r="T49" s="20"/>
    </row>
    <row r="50" spans="1:20" ht="13.5">
      <c r="A50" s="44" t="s">
        <v>18</v>
      </c>
      <c r="B50" s="163">
        <v>0.0027</v>
      </c>
      <c r="C50" s="163">
        <v>0.0052</v>
      </c>
      <c r="D50" s="163">
        <v>0.0253</v>
      </c>
      <c r="E50" s="163">
        <v>0.0125</v>
      </c>
      <c r="F50" s="62">
        <v>0</v>
      </c>
      <c r="G50" s="30"/>
      <c r="H50" s="30"/>
      <c r="I50" s="30"/>
      <c r="J50" s="30"/>
      <c r="K50" s="30"/>
      <c r="L50" s="30"/>
      <c r="M50" s="30"/>
      <c r="N50" s="20"/>
      <c r="O50" s="20"/>
      <c r="P50" s="20"/>
      <c r="Q50" s="20"/>
      <c r="R50" s="20"/>
      <c r="S50" s="20"/>
      <c r="T50" s="20"/>
    </row>
    <row r="51" spans="1:20" s="15" customFormat="1" ht="13.5">
      <c r="A51" s="44" t="s">
        <v>146</v>
      </c>
      <c r="B51" s="163">
        <v>0.0056</v>
      </c>
      <c r="C51" s="163">
        <v>0.0049</v>
      </c>
      <c r="D51" s="163">
        <v>0.0905</v>
      </c>
      <c r="E51" s="163">
        <v>0</v>
      </c>
      <c r="F51" s="62">
        <v>0</v>
      </c>
      <c r="G51" s="30"/>
      <c r="H51" s="30"/>
      <c r="I51" s="30"/>
      <c r="J51" s="30"/>
      <c r="K51" s="30"/>
      <c r="L51" s="30"/>
      <c r="M51" s="30"/>
      <c r="N51" s="30"/>
      <c r="O51" s="30"/>
      <c r="P51" s="30"/>
      <c r="Q51" s="30"/>
      <c r="R51" s="30"/>
      <c r="S51" s="30"/>
      <c r="T51" s="30"/>
    </row>
    <row r="52" spans="1:20" ht="13.5">
      <c r="A52" s="44" t="s">
        <v>147</v>
      </c>
      <c r="B52" s="163">
        <v>0.0042</v>
      </c>
      <c r="C52" s="163">
        <v>0.0094</v>
      </c>
      <c r="D52" s="163">
        <v>0.0006</v>
      </c>
      <c r="E52" s="163">
        <v>0.0118</v>
      </c>
      <c r="F52" s="62">
        <v>0</v>
      </c>
      <c r="G52" s="20"/>
      <c r="H52" s="30"/>
      <c r="I52" s="30"/>
      <c r="J52" s="30"/>
      <c r="K52" s="20"/>
      <c r="L52" s="20"/>
      <c r="M52" s="20"/>
      <c r="N52" s="20"/>
      <c r="O52" s="20"/>
      <c r="P52" s="20"/>
      <c r="Q52" s="20"/>
      <c r="R52" s="20"/>
      <c r="S52" s="20"/>
      <c r="T52" s="20"/>
    </row>
    <row r="53" spans="1:20" ht="13.5">
      <c r="A53" s="44" t="s">
        <v>127</v>
      </c>
      <c r="B53" s="163">
        <v>0.002</v>
      </c>
      <c r="C53" s="163">
        <v>0.0029</v>
      </c>
      <c r="D53" s="163">
        <v>0.0192</v>
      </c>
      <c r="E53" s="163">
        <v>0.0085</v>
      </c>
      <c r="F53" s="62">
        <v>0</v>
      </c>
      <c r="G53" s="20"/>
      <c r="H53" s="30"/>
      <c r="I53" s="30"/>
      <c r="J53" s="30"/>
      <c r="K53" s="20"/>
      <c r="L53" s="20"/>
      <c r="M53" s="20"/>
      <c r="N53" s="20"/>
      <c r="O53" s="20"/>
      <c r="P53" s="20"/>
      <c r="Q53" s="20"/>
      <c r="R53" s="20"/>
      <c r="S53" s="20"/>
      <c r="T53" s="20"/>
    </row>
    <row r="54" spans="1:20" ht="13.5">
      <c r="A54" s="44" t="s">
        <v>128</v>
      </c>
      <c r="B54" s="163">
        <v>0.0001</v>
      </c>
      <c r="C54" s="163">
        <v>0</v>
      </c>
      <c r="D54" s="163">
        <v>0.146</v>
      </c>
      <c r="E54" s="163">
        <v>0.0079</v>
      </c>
      <c r="F54" s="62">
        <v>0</v>
      </c>
      <c r="G54" s="20"/>
      <c r="H54" s="30"/>
      <c r="I54" s="30"/>
      <c r="J54" s="30"/>
      <c r="K54" s="20"/>
      <c r="L54" s="20"/>
      <c r="M54" s="20"/>
      <c r="N54" s="20"/>
      <c r="O54" s="20"/>
      <c r="P54" s="20"/>
      <c r="Q54" s="20"/>
      <c r="R54" s="20"/>
      <c r="S54" s="20"/>
      <c r="T54" s="20"/>
    </row>
    <row r="55" spans="1:20" ht="14.25" thickBot="1">
      <c r="A55" s="242"/>
      <c r="B55" s="243">
        <f>SUM(B31:B54)</f>
        <v>1.0000000000000002</v>
      </c>
      <c r="C55" s="243">
        <f>SUM(C31:C54)</f>
        <v>0.9999999999999999</v>
      </c>
      <c r="D55" s="243">
        <f>SUM(D31:D54)</f>
        <v>1</v>
      </c>
      <c r="E55" s="243">
        <f>SUM(E31:E54)</f>
        <v>1</v>
      </c>
      <c r="F55" s="244">
        <f>SUM(F31:F54)</f>
        <v>1</v>
      </c>
      <c r="G55" s="20"/>
      <c r="H55" s="20"/>
      <c r="I55" s="20"/>
      <c r="J55" s="20"/>
      <c r="K55" s="20"/>
      <c r="L55" s="20"/>
      <c r="M55" s="20"/>
      <c r="N55" s="20"/>
      <c r="O55" s="20"/>
      <c r="P55" s="20"/>
      <c r="Q55" s="20"/>
      <c r="R55" s="20"/>
      <c r="S55" s="20"/>
      <c r="T55" s="20"/>
    </row>
    <row r="56" spans="1:20" ht="33.75" customHeight="1">
      <c r="A56" s="669" t="s">
        <v>226</v>
      </c>
      <c r="B56" s="670"/>
      <c r="C56" s="670"/>
      <c r="D56" s="670"/>
      <c r="E56" s="670"/>
      <c r="F56" s="670"/>
      <c r="G56" s="20"/>
      <c r="H56" s="20"/>
      <c r="I56" s="20"/>
      <c r="J56" s="20"/>
      <c r="K56" s="20"/>
      <c r="L56" s="20"/>
      <c r="M56" s="20"/>
      <c r="N56" s="20"/>
      <c r="O56" s="20"/>
      <c r="P56" s="20"/>
      <c r="Q56" s="20"/>
      <c r="R56" s="20"/>
      <c r="S56" s="20"/>
      <c r="T56" s="20"/>
    </row>
    <row r="57" spans="1:20" ht="13.5">
      <c r="A57" s="22"/>
      <c r="B57" s="164"/>
      <c r="C57" s="164"/>
      <c r="D57" s="164"/>
      <c r="E57" s="20"/>
      <c r="F57" s="20"/>
      <c r="G57" s="20"/>
      <c r="H57" s="20"/>
      <c r="I57" s="20"/>
      <c r="J57" s="20"/>
      <c r="K57" s="20"/>
      <c r="L57" s="20"/>
      <c r="M57" s="20"/>
      <c r="N57" s="20"/>
      <c r="O57" s="20"/>
      <c r="P57" s="20"/>
      <c r="Q57" s="20"/>
      <c r="R57" s="20"/>
      <c r="S57" s="20"/>
      <c r="T57" s="20"/>
    </row>
    <row r="58" spans="1:20" ht="14.25" thickBot="1">
      <c r="A58" s="22"/>
      <c r="B58" s="164"/>
      <c r="C58" s="164"/>
      <c r="D58" s="164"/>
      <c r="E58" s="20"/>
      <c r="F58" s="20"/>
      <c r="G58" s="20"/>
      <c r="H58" s="20"/>
      <c r="I58" s="20"/>
      <c r="J58" s="20"/>
      <c r="K58" s="20"/>
      <c r="L58" s="20"/>
      <c r="M58" s="20"/>
      <c r="N58" s="20"/>
      <c r="O58" s="20"/>
      <c r="P58" s="20"/>
      <c r="Q58" s="20"/>
      <c r="R58" s="20"/>
      <c r="S58" s="20"/>
      <c r="T58" s="20"/>
    </row>
    <row r="59" spans="1:20" ht="14.25" thickBot="1">
      <c r="A59" s="676" t="s">
        <v>229</v>
      </c>
      <c r="B59" s="187"/>
      <c r="C59" s="187"/>
      <c r="D59" s="38"/>
      <c r="E59" s="20"/>
      <c r="F59" s="104" t="s">
        <v>24</v>
      </c>
      <c r="G59" s="20"/>
      <c r="H59" s="20"/>
      <c r="I59" s="20"/>
      <c r="J59" s="20"/>
      <c r="K59" s="20"/>
      <c r="L59" s="20"/>
      <c r="M59" s="20"/>
      <c r="N59" s="20"/>
      <c r="O59" s="20"/>
      <c r="P59" s="20"/>
      <c r="Q59" s="20"/>
      <c r="R59" s="20"/>
      <c r="S59" s="20"/>
      <c r="T59" s="20"/>
    </row>
    <row r="60" spans="1:24" ht="14.25" thickBot="1">
      <c r="A60" s="677"/>
      <c r="B60" s="663" t="s">
        <v>29</v>
      </c>
      <c r="C60" s="665"/>
      <c r="D60" s="665"/>
      <c r="E60" s="664"/>
      <c r="F60" s="661" t="s">
        <v>39</v>
      </c>
      <c r="G60" s="662"/>
      <c r="H60" s="663" t="s">
        <v>5</v>
      </c>
      <c r="I60" s="664"/>
      <c r="J60" s="663" t="s">
        <v>8</v>
      </c>
      <c r="K60" s="665"/>
      <c r="L60" s="665"/>
      <c r="M60" s="665"/>
      <c r="N60" s="664"/>
      <c r="O60" s="663" t="s">
        <v>40</v>
      </c>
      <c r="P60" s="665"/>
      <c r="Q60" s="665"/>
      <c r="R60" s="664"/>
      <c r="S60" s="663" t="s">
        <v>11</v>
      </c>
      <c r="T60" s="664"/>
      <c r="U60" s="663" t="s">
        <v>41</v>
      </c>
      <c r="V60" s="664"/>
      <c r="W60" s="663" t="s">
        <v>15</v>
      </c>
      <c r="X60" s="664"/>
    </row>
    <row r="61" spans="1:24" ht="27.75" thickBot="1">
      <c r="A61" s="678"/>
      <c r="B61" s="666" t="s">
        <v>47</v>
      </c>
      <c r="C61" s="667"/>
      <c r="D61" s="668"/>
      <c r="E61" s="165">
        <f>'BRA Resource Clearing Results'!C6</f>
        <v>0</v>
      </c>
      <c r="F61" s="166" t="s">
        <v>47</v>
      </c>
      <c r="G61" s="165">
        <f>'BRA Resource Clearing Results'!C7</f>
        <v>0</v>
      </c>
      <c r="H61" s="166" t="s">
        <v>47</v>
      </c>
      <c r="I61" s="165">
        <f>'BRA Resource Clearing Results'!C8</f>
        <v>0</v>
      </c>
      <c r="J61" s="666" t="s">
        <v>47</v>
      </c>
      <c r="K61" s="667"/>
      <c r="L61" s="667"/>
      <c r="M61" s="668"/>
      <c r="N61" s="165">
        <f>'BRA Resource Clearing Results'!C9</f>
        <v>95</v>
      </c>
      <c r="O61" s="666" t="s">
        <v>47</v>
      </c>
      <c r="P61" s="667"/>
      <c r="Q61" s="668"/>
      <c r="R61" s="165">
        <f>'BRA Resource Clearing Results'!C10</f>
        <v>0</v>
      </c>
      <c r="S61" s="166" t="s">
        <v>47</v>
      </c>
      <c r="T61" s="165">
        <f>'BRA Resource Clearing Results'!C16</f>
        <v>0</v>
      </c>
      <c r="U61" s="214" t="s">
        <v>47</v>
      </c>
      <c r="V61" s="215">
        <f>'BRA Resource Clearing Results'!C11</f>
        <v>0</v>
      </c>
      <c r="W61" s="214" t="s">
        <v>47</v>
      </c>
      <c r="X61" s="215">
        <f>'BRA Resource Clearing Results'!C12</f>
        <v>0</v>
      </c>
    </row>
    <row r="62" spans="1:24" ht="69" thickBot="1">
      <c r="A62" s="167" t="s">
        <v>71</v>
      </c>
      <c r="B62" s="168" t="s">
        <v>137</v>
      </c>
      <c r="C62" s="162" t="s">
        <v>138</v>
      </c>
      <c r="D62" s="169" t="s">
        <v>72</v>
      </c>
      <c r="E62" s="170" t="s">
        <v>86</v>
      </c>
      <c r="F62" s="168" t="s">
        <v>137</v>
      </c>
      <c r="G62" s="170" t="s">
        <v>86</v>
      </c>
      <c r="H62" s="171" t="s">
        <v>138</v>
      </c>
      <c r="I62" s="170" t="s">
        <v>86</v>
      </c>
      <c r="J62" s="168" t="s">
        <v>137</v>
      </c>
      <c r="K62" s="162" t="s">
        <v>139</v>
      </c>
      <c r="L62" s="162" t="s">
        <v>140</v>
      </c>
      <c r="M62" s="169" t="s">
        <v>72</v>
      </c>
      <c r="N62" s="170" t="s">
        <v>86</v>
      </c>
      <c r="O62" s="168" t="s">
        <v>137</v>
      </c>
      <c r="P62" s="162" t="s">
        <v>139</v>
      </c>
      <c r="Q62" s="169" t="s">
        <v>72</v>
      </c>
      <c r="R62" s="170" t="s">
        <v>86</v>
      </c>
      <c r="S62" s="171" t="s">
        <v>188</v>
      </c>
      <c r="T62" s="170" t="s">
        <v>86</v>
      </c>
      <c r="U62" s="671" t="s">
        <v>172</v>
      </c>
      <c r="V62" s="672"/>
      <c r="W62" s="672"/>
      <c r="X62" s="673"/>
    </row>
    <row r="63" spans="1:24" ht="13.5">
      <c r="A63" s="44" t="s">
        <v>16</v>
      </c>
      <c r="B63" s="127">
        <f>B31*$C$12</f>
        <v>0</v>
      </c>
      <c r="C63" s="172">
        <f>C31*$C$14</f>
        <v>0</v>
      </c>
      <c r="D63" s="172">
        <f>B63+C63</f>
        <v>0</v>
      </c>
      <c r="E63" s="47">
        <f>D63*$E$61</f>
        <v>0</v>
      </c>
      <c r="F63" s="127">
        <f aca="true" t="shared" si="4" ref="F63:F71">B31*$D$12</f>
        <v>15.266000000000002</v>
      </c>
      <c r="G63" s="130">
        <f>F63*$G$61</f>
        <v>0</v>
      </c>
      <c r="H63" s="127">
        <f aca="true" t="shared" si="5" ref="H63:H73">C31*$E$14</f>
        <v>21.2352</v>
      </c>
      <c r="I63" s="130">
        <f>H63*$I$61</f>
        <v>0</v>
      </c>
      <c r="J63" s="127">
        <f aca="true" t="shared" si="6" ref="J63:J73">B31*$F$12</f>
        <v>1.1713000000000002</v>
      </c>
      <c r="K63" s="172">
        <f aca="true" t="shared" si="7" ref="K63:K73">D31*$F$15</f>
        <v>0.7144199999999999</v>
      </c>
      <c r="L63" s="172">
        <f aca="true" t="shared" si="8" ref="L63:L73">E31*$F$16</f>
        <v>0</v>
      </c>
      <c r="M63" s="172">
        <f>J63+K63+L63</f>
        <v>1.88572</v>
      </c>
      <c r="N63" s="47">
        <f>M63*$N$61</f>
        <v>179.1434</v>
      </c>
      <c r="O63" s="127">
        <f aca="true" t="shared" si="9" ref="O63:O73">B31*$G$12</f>
        <v>1.7935</v>
      </c>
      <c r="P63" s="172">
        <f aca="true" t="shared" si="10" ref="P63:P73">D31*$G$15</f>
        <v>1.0384499999999999</v>
      </c>
      <c r="Q63" s="172">
        <f aca="true" t="shared" si="11" ref="Q63:Q68">O63+P63</f>
        <v>2.83195</v>
      </c>
      <c r="R63" s="47">
        <f>Q63*$R$61</f>
        <v>0</v>
      </c>
      <c r="S63" s="127">
        <f aca="true" t="shared" si="12" ref="S63:S86">F31*$K$17</f>
        <v>0</v>
      </c>
      <c r="T63" s="130">
        <f>S63*$T$61</f>
        <v>0</v>
      </c>
      <c r="U63" s="4"/>
      <c r="V63" s="4"/>
      <c r="W63" s="4"/>
      <c r="X63" s="4"/>
    </row>
    <row r="64" spans="1:24" ht="13.5">
      <c r="A64" s="44" t="s">
        <v>31</v>
      </c>
      <c r="B64" s="127">
        <f aca="true" t="shared" si="13" ref="B64:B86">B32*$C$12</f>
        <v>0</v>
      </c>
      <c r="C64" s="172">
        <f aca="true" t="shared" si="14" ref="C64:C86">C32*$C$14</f>
        <v>0</v>
      </c>
      <c r="D64" s="172">
        <f>B64+C64</f>
        <v>0</v>
      </c>
      <c r="E64" s="47">
        <f>D64*$E$61</f>
        <v>0</v>
      </c>
      <c r="F64" s="127">
        <f t="shared" si="4"/>
        <v>127.6956</v>
      </c>
      <c r="G64" s="130">
        <f aca="true" t="shared" si="15" ref="G64:G86">F64*$G$61</f>
        <v>0</v>
      </c>
      <c r="H64" s="127">
        <f t="shared" si="5"/>
        <v>0</v>
      </c>
      <c r="I64" s="130">
        <f aca="true" t="shared" si="16" ref="I64:I86">H64*$I$61</f>
        <v>0</v>
      </c>
      <c r="J64" s="127">
        <f t="shared" si="6"/>
        <v>9.79758</v>
      </c>
      <c r="K64" s="172">
        <f t="shared" si="7"/>
        <v>0</v>
      </c>
      <c r="L64" s="172">
        <f t="shared" si="8"/>
        <v>0</v>
      </c>
      <c r="M64" s="172">
        <f aca="true" t="shared" si="17" ref="M64:M86">J64+K64+L64</f>
        <v>9.79758</v>
      </c>
      <c r="N64" s="47">
        <f aca="true" t="shared" si="18" ref="N64:N86">M64*$N$61</f>
        <v>930.7701</v>
      </c>
      <c r="O64" s="127">
        <f t="shared" si="9"/>
        <v>15.002099999999999</v>
      </c>
      <c r="P64" s="172">
        <f t="shared" si="10"/>
        <v>0</v>
      </c>
      <c r="Q64" s="172">
        <f t="shared" si="11"/>
        <v>15.002099999999999</v>
      </c>
      <c r="R64" s="47">
        <f aca="true" t="shared" si="19" ref="R64:R86">Q64*$R$61</f>
        <v>0</v>
      </c>
      <c r="S64" s="127">
        <f t="shared" si="12"/>
        <v>0</v>
      </c>
      <c r="T64" s="130">
        <f aca="true" t="shared" si="20" ref="T64:T86">S64*$T$61</f>
        <v>0</v>
      </c>
      <c r="U64" s="4"/>
      <c r="V64" s="4"/>
      <c r="W64" s="4"/>
      <c r="X64" s="4"/>
    </row>
    <row r="65" spans="1:24" ht="13.5">
      <c r="A65" s="44" t="s">
        <v>19</v>
      </c>
      <c r="B65" s="127">
        <f t="shared" si="13"/>
        <v>0</v>
      </c>
      <c r="C65" s="172">
        <f t="shared" si="14"/>
        <v>0</v>
      </c>
      <c r="D65" s="172">
        <f>B65+C65</f>
        <v>0</v>
      </c>
      <c r="E65" s="47">
        <f aca="true" t="shared" si="21" ref="E65:E85">D65*$E$61</f>
        <v>0</v>
      </c>
      <c r="F65" s="127">
        <f t="shared" si="4"/>
        <v>48.492</v>
      </c>
      <c r="G65" s="130">
        <f t="shared" si="15"/>
        <v>0</v>
      </c>
      <c r="H65" s="127">
        <f t="shared" si="5"/>
        <v>0</v>
      </c>
      <c r="I65" s="130">
        <f t="shared" si="16"/>
        <v>0</v>
      </c>
      <c r="J65" s="127">
        <f t="shared" si="6"/>
        <v>3.7206</v>
      </c>
      <c r="K65" s="172">
        <f t="shared" si="7"/>
        <v>0</v>
      </c>
      <c r="L65" s="172">
        <f t="shared" si="8"/>
        <v>0</v>
      </c>
      <c r="M65" s="172">
        <f t="shared" si="17"/>
        <v>3.7206</v>
      </c>
      <c r="N65" s="47">
        <f t="shared" si="18"/>
        <v>353.457</v>
      </c>
      <c r="O65" s="127">
        <f t="shared" si="9"/>
        <v>5.697</v>
      </c>
      <c r="P65" s="172">
        <f t="shared" si="10"/>
        <v>0</v>
      </c>
      <c r="Q65" s="172">
        <f t="shared" si="11"/>
        <v>5.697</v>
      </c>
      <c r="R65" s="47">
        <f t="shared" si="19"/>
        <v>0</v>
      </c>
      <c r="S65" s="127">
        <f t="shared" si="12"/>
        <v>8.044400000000001</v>
      </c>
      <c r="T65" s="130">
        <f t="shared" si="20"/>
        <v>0</v>
      </c>
      <c r="U65" s="4"/>
      <c r="V65" s="4"/>
      <c r="W65" s="4"/>
      <c r="X65" s="4"/>
    </row>
    <row r="66" spans="1:24" ht="13.5">
      <c r="A66" s="44" t="s">
        <v>49</v>
      </c>
      <c r="B66" s="127">
        <f t="shared" si="13"/>
        <v>0</v>
      </c>
      <c r="C66" s="172">
        <f t="shared" si="14"/>
        <v>0</v>
      </c>
      <c r="D66" s="172">
        <f aca="true" t="shared" si="22" ref="D66:D85">B66+C66</f>
        <v>0</v>
      </c>
      <c r="E66" s="47">
        <f t="shared" si="21"/>
        <v>0</v>
      </c>
      <c r="F66" s="127">
        <f t="shared" si="4"/>
        <v>73.36659999999999</v>
      </c>
      <c r="G66" s="130">
        <f t="shared" si="15"/>
        <v>0</v>
      </c>
      <c r="H66" s="127">
        <f t="shared" si="5"/>
        <v>0</v>
      </c>
      <c r="I66" s="130">
        <f t="shared" si="16"/>
        <v>0</v>
      </c>
      <c r="J66" s="127">
        <f t="shared" si="6"/>
        <v>5.62913</v>
      </c>
      <c r="K66" s="172">
        <f t="shared" si="7"/>
        <v>0</v>
      </c>
      <c r="L66" s="172">
        <f t="shared" si="8"/>
        <v>0</v>
      </c>
      <c r="M66" s="172">
        <f t="shared" si="17"/>
        <v>5.62913</v>
      </c>
      <c r="N66" s="47">
        <f t="shared" si="18"/>
        <v>534.76735</v>
      </c>
      <c r="O66" s="127">
        <f t="shared" si="9"/>
        <v>8.619349999999999</v>
      </c>
      <c r="P66" s="172">
        <f t="shared" si="10"/>
        <v>0</v>
      </c>
      <c r="Q66" s="172">
        <f t="shared" si="11"/>
        <v>8.619349999999999</v>
      </c>
      <c r="R66" s="47">
        <f t="shared" si="19"/>
        <v>0</v>
      </c>
      <c r="S66" s="127">
        <f t="shared" si="12"/>
        <v>0</v>
      </c>
      <c r="T66" s="130">
        <f t="shared" si="20"/>
        <v>0</v>
      </c>
      <c r="U66" s="4"/>
      <c r="V66" s="4"/>
      <c r="W66" s="4"/>
      <c r="X66" s="4"/>
    </row>
    <row r="67" spans="1:24" ht="13.5">
      <c r="A67" s="44" t="s">
        <v>11</v>
      </c>
      <c r="B67" s="127">
        <f t="shared" si="13"/>
        <v>0</v>
      </c>
      <c r="C67" s="172">
        <f t="shared" si="14"/>
        <v>0</v>
      </c>
      <c r="D67" s="172">
        <f t="shared" si="22"/>
        <v>0</v>
      </c>
      <c r="E67" s="47">
        <f t="shared" si="21"/>
        <v>0</v>
      </c>
      <c r="F67" s="127">
        <f t="shared" si="4"/>
        <v>38.165000000000006</v>
      </c>
      <c r="G67" s="130">
        <f t="shared" si="15"/>
        <v>0</v>
      </c>
      <c r="H67" s="127">
        <f t="shared" si="5"/>
        <v>0</v>
      </c>
      <c r="I67" s="130">
        <f t="shared" si="16"/>
        <v>0</v>
      </c>
      <c r="J67" s="127">
        <f t="shared" si="6"/>
        <v>2.9282500000000002</v>
      </c>
      <c r="K67" s="172">
        <f t="shared" si="7"/>
        <v>2.99376</v>
      </c>
      <c r="L67" s="172">
        <f t="shared" si="8"/>
        <v>0</v>
      </c>
      <c r="M67" s="172">
        <f t="shared" si="17"/>
        <v>5.92201</v>
      </c>
      <c r="N67" s="47">
        <f t="shared" si="18"/>
        <v>562.59095</v>
      </c>
      <c r="O67" s="127">
        <f t="shared" si="9"/>
        <v>4.483750000000001</v>
      </c>
      <c r="P67" s="172">
        <f t="shared" si="10"/>
        <v>4.3516</v>
      </c>
      <c r="Q67" s="172">
        <f t="shared" si="11"/>
        <v>8.835350000000002</v>
      </c>
      <c r="R67" s="47">
        <f t="shared" si="19"/>
        <v>0</v>
      </c>
      <c r="S67" s="127">
        <f t="shared" si="12"/>
        <v>121.849</v>
      </c>
      <c r="T67" s="130">
        <f t="shared" si="20"/>
        <v>0</v>
      </c>
      <c r="U67" s="4"/>
      <c r="V67" s="4"/>
      <c r="W67" s="4"/>
      <c r="X67" s="4"/>
    </row>
    <row r="68" spans="1:24" ht="13.5">
      <c r="A68" s="44" t="s">
        <v>20</v>
      </c>
      <c r="B68" s="127">
        <f t="shared" si="13"/>
        <v>0</v>
      </c>
      <c r="C68" s="172">
        <f t="shared" si="14"/>
        <v>0</v>
      </c>
      <c r="D68" s="172">
        <f t="shared" si="22"/>
        <v>0</v>
      </c>
      <c r="E68" s="47">
        <f t="shared" si="21"/>
        <v>0</v>
      </c>
      <c r="F68" s="127">
        <f t="shared" si="4"/>
        <v>124.373</v>
      </c>
      <c r="G68" s="130">
        <f t="shared" si="15"/>
        <v>0</v>
      </c>
      <c r="H68" s="127">
        <f t="shared" si="5"/>
        <v>0</v>
      </c>
      <c r="I68" s="130">
        <f t="shared" si="16"/>
        <v>0</v>
      </c>
      <c r="J68" s="127">
        <f t="shared" si="6"/>
        <v>9.542650000000002</v>
      </c>
      <c r="K68" s="172">
        <f t="shared" si="7"/>
        <v>7.17822</v>
      </c>
      <c r="L68" s="172">
        <f t="shared" si="8"/>
        <v>0</v>
      </c>
      <c r="M68" s="172">
        <f t="shared" si="17"/>
        <v>16.72087</v>
      </c>
      <c r="N68" s="47">
        <f t="shared" si="18"/>
        <v>1588.4826500000001</v>
      </c>
      <c r="O68" s="127">
        <f t="shared" si="9"/>
        <v>14.61175</v>
      </c>
      <c r="P68" s="172">
        <f t="shared" si="10"/>
        <v>10.433950000000001</v>
      </c>
      <c r="Q68" s="172">
        <f t="shared" si="11"/>
        <v>25.045700000000004</v>
      </c>
      <c r="R68" s="47">
        <f t="shared" si="19"/>
        <v>0</v>
      </c>
      <c r="S68" s="127">
        <f t="shared" si="12"/>
        <v>7.4984</v>
      </c>
      <c r="T68" s="130">
        <f t="shared" si="20"/>
        <v>0</v>
      </c>
      <c r="U68" s="4"/>
      <c r="V68" s="4"/>
      <c r="W68" s="4"/>
      <c r="X68" s="4"/>
    </row>
    <row r="69" spans="1:24" ht="13.5">
      <c r="A69" s="44" t="s">
        <v>21</v>
      </c>
      <c r="B69" s="127">
        <f t="shared" si="13"/>
        <v>0</v>
      </c>
      <c r="C69" s="172">
        <f t="shared" si="14"/>
        <v>0</v>
      </c>
      <c r="D69" s="172">
        <f t="shared" si="22"/>
        <v>0</v>
      </c>
      <c r="E69" s="47">
        <f t="shared" si="21"/>
        <v>0</v>
      </c>
      <c r="F69" s="127">
        <f t="shared" si="4"/>
        <v>18.9478</v>
      </c>
      <c r="G69" s="130">
        <f t="shared" si="15"/>
        <v>0</v>
      </c>
      <c r="H69" s="127">
        <f t="shared" si="5"/>
        <v>0</v>
      </c>
      <c r="I69" s="130">
        <f t="shared" si="16"/>
        <v>0</v>
      </c>
      <c r="J69" s="127">
        <f t="shared" si="6"/>
        <v>1.4537900000000001</v>
      </c>
      <c r="K69" s="172">
        <f t="shared" si="7"/>
        <v>0.40823999999999994</v>
      </c>
      <c r="L69" s="172">
        <f t="shared" si="8"/>
        <v>0</v>
      </c>
      <c r="M69" s="172">
        <f t="shared" si="17"/>
        <v>1.86203</v>
      </c>
      <c r="N69" s="47">
        <f t="shared" si="18"/>
        <v>176.89285</v>
      </c>
      <c r="O69" s="127">
        <f t="shared" si="9"/>
        <v>2.22605</v>
      </c>
      <c r="P69" s="172">
        <f t="shared" si="10"/>
        <v>0.5933999999999999</v>
      </c>
      <c r="Q69" s="172">
        <f aca="true" t="shared" si="23" ref="Q69:Q85">O69+P69</f>
        <v>2.81945</v>
      </c>
      <c r="R69" s="47">
        <f t="shared" si="19"/>
        <v>0</v>
      </c>
      <c r="S69" s="127">
        <f t="shared" si="12"/>
        <v>0.8917999999999999</v>
      </c>
      <c r="T69" s="130">
        <f t="shared" si="20"/>
        <v>0</v>
      </c>
      <c r="U69" s="4"/>
      <c r="V69" s="4"/>
      <c r="W69" s="4"/>
      <c r="X69" s="4"/>
    </row>
    <row r="70" spans="1:24" ht="13.5">
      <c r="A70" s="44" t="s">
        <v>63</v>
      </c>
      <c r="B70" s="127">
        <f t="shared" si="13"/>
        <v>0</v>
      </c>
      <c r="C70" s="172">
        <f t="shared" si="14"/>
        <v>0</v>
      </c>
      <c r="D70" s="172">
        <f t="shared" si="22"/>
        <v>0</v>
      </c>
      <c r="E70" s="47">
        <f t="shared" si="21"/>
        <v>0</v>
      </c>
      <c r="F70" s="127">
        <f t="shared" si="4"/>
        <v>28.736</v>
      </c>
      <c r="G70" s="130">
        <f t="shared" si="15"/>
        <v>0</v>
      </c>
      <c r="H70" s="127">
        <f t="shared" si="5"/>
        <v>0</v>
      </c>
      <c r="I70" s="130">
        <f t="shared" si="16"/>
        <v>0</v>
      </c>
      <c r="J70" s="127">
        <f t="shared" si="6"/>
        <v>2.2048</v>
      </c>
      <c r="K70" s="172">
        <f t="shared" si="7"/>
        <v>0</v>
      </c>
      <c r="L70" s="172">
        <f t="shared" si="8"/>
        <v>0</v>
      </c>
      <c r="M70" s="172">
        <f t="shared" si="17"/>
        <v>2.2048</v>
      </c>
      <c r="N70" s="47">
        <f t="shared" si="18"/>
        <v>209.45600000000002</v>
      </c>
      <c r="O70" s="127">
        <f t="shared" si="9"/>
        <v>3.376</v>
      </c>
      <c r="P70" s="172">
        <f t="shared" si="10"/>
        <v>0</v>
      </c>
      <c r="Q70" s="172">
        <f t="shared" si="23"/>
        <v>3.376</v>
      </c>
      <c r="R70" s="47">
        <f t="shared" si="19"/>
        <v>0</v>
      </c>
      <c r="S70" s="127">
        <f t="shared" si="12"/>
        <v>0</v>
      </c>
      <c r="T70" s="130">
        <f t="shared" si="20"/>
        <v>0</v>
      </c>
      <c r="U70" s="4"/>
      <c r="V70" s="4"/>
      <c r="W70" s="4"/>
      <c r="X70" s="4"/>
    </row>
    <row r="71" spans="1:24" ht="13.5">
      <c r="A71" s="44" t="s">
        <v>48</v>
      </c>
      <c r="B71" s="127">
        <f t="shared" si="13"/>
        <v>0</v>
      </c>
      <c r="C71" s="172">
        <f t="shared" si="14"/>
        <v>0</v>
      </c>
      <c r="D71" s="172">
        <f t="shared" si="22"/>
        <v>0</v>
      </c>
      <c r="E71" s="47">
        <f t="shared" si="21"/>
        <v>0</v>
      </c>
      <c r="F71" s="127">
        <f t="shared" si="4"/>
        <v>16.5232</v>
      </c>
      <c r="G71" s="130">
        <f t="shared" si="15"/>
        <v>0</v>
      </c>
      <c r="H71" s="127">
        <f t="shared" si="5"/>
        <v>0</v>
      </c>
      <c r="I71" s="130">
        <f t="shared" si="16"/>
        <v>0</v>
      </c>
      <c r="J71" s="127">
        <f t="shared" si="6"/>
        <v>1.26776</v>
      </c>
      <c r="K71" s="172">
        <f t="shared" si="7"/>
        <v>0</v>
      </c>
      <c r="L71" s="172">
        <f t="shared" si="8"/>
        <v>0</v>
      </c>
      <c r="M71" s="172">
        <f t="shared" si="17"/>
        <v>1.26776</v>
      </c>
      <c r="N71" s="47">
        <f t="shared" si="18"/>
        <v>120.4372</v>
      </c>
      <c r="O71" s="127">
        <f t="shared" si="9"/>
        <v>1.9412</v>
      </c>
      <c r="P71" s="172">
        <f t="shared" si="10"/>
        <v>0</v>
      </c>
      <c r="Q71" s="172">
        <f t="shared" si="23"/>
        <v>1.9412</v>
      </c>
      <c r="R71" s="47">
        <f t="shared" si="19"/>
        <v>0</v>
      </c>
      <c r="S71" s="127">
        <f t="shared" si="12"/>
        <v>0</v>
      </c>
      <c r="T71" s="130">
        <f t="shared" si="20"/>
        <v>0</v>
      </c>
      <c r="U71" s="4"/>
      <c r="V71" s="4"/>
      <c r="W71" s="4"/>
      <c r="X71" s="4"/>
    </row>
    <row r="72" spans="1:24" ht="13.5">
      <c r="A72" s="44" t="s">
        <v>32</v>
      </c>
      <c r="B72" s="127">
        <f t="shared" si="13"/>
        <v>0</v>
      </c>
      <c r="C72" s="172">
        <f t="shared" si="14"/>
        <v>0</v>
      </c>
      <c r="D72" s="172">
        <f t="shared" si="22"/>
        <v>0</v>
      </c>
      <c r="E72" s="47">
        <f t="shared" si="21"/>
        <v>0</v>
      </c>
      <c r="F72" s="127">
        <f aca="true" t="shared" si="24" ref="F72:F86">B40*$D$12</f>
        <v>104.7966</v>
      </c>
      <c r="G72" s="130">
        <f t="shared" si="15"/>
        <v>0</v>
      </c>
      <c r="H72" s="127">
        <f t="shared" si="5"/>
        <v>0</v>
      </c>
      <c r="I72" s="130">
        <f t="shared" si="16"/>
        <v>0</v>
      </c>
      <c r="J72" s="127">
        <f t="shared" si="6"/>
        <v>8.04063</v>
      </c>
      <c r="K72" s="172">
        <f t="shared" si="7"/>
        <v>0</v>
      </c>
      <c r="L72" s="172">
        <f t="shared" si="8"/>
        <v>0</v>
      </c>
      <c r="M72" s="172">
        <f t="shared" si="17"/>
        <v>8.04063</v>
      </c>
      <c r="N72" s="47">
        <f t="shared" si="18"/>
        <v>763.85985</v>
      </c>
      <c r="O72" s="127">
        <f t="shared" si="9"/>
        <v>12.31185</v>
      </c>
      <c r="P72" s="172">
        <f t="shared" si="10"/>
        <v>0</v>
      </c>
      <c r="Q72" s="172">
        <f t="shared" si="23"/>
        <v>12.31185</v>
      </c>
      <c r="R72" s="47">
        <f t="shared" si="19"/>
        <v>0</v>
      </c>
      <c r="S72" s="127">
        <f t="shared" si="12"/>
        <v>34.1432</v>
      </c>
      <c r="T72" s="130">
        <f t="shared" si="20"/>
        <v>0</v>
      </c>
      <c r="U72" s="4"/>
      <c r="V72" s="4"/>
      <c r="W72" s="4"/>
      <c r="X72" s="4"/>
    </row>
    <row r="73" spans="1:24" ht="13.5">
      <c r="A73" s="44" t="s">
        <v>17</v>
      </c>
      <c r="B73" s="127">
        <f t="shared" si="13"/>
        <v>0</v>
      </c>
      <c r="C73" s="172">
        <f t="shared" si="14"/>
        <v>0</v>
      </c>
      <c r="D73" s="172">
        <f t="shared" si="22"/>
        <v>0</v>
      </c>
      <c r="E73" s="47">
        <f t="shared" si="21"/>
        <v>0</v>
      </c>
      <c r="F73" s="127">
        <f t="shared" si="24"/>
        <v>22.450000000000003</v>
      </c>
      <c r="G73" s="130">
        <f t="shared" si="15"/>
        <v>0</v>
      </c>
      <c r="H73" s="127">
        <f t="shared" si="5"/>
        <v>39.744899999999994</v>
      </c>
      <c r="I73" s="130">
        <f t="shared" si="16"/>
        <v>0</v>
      </c>
      <c r="J73" s="127">
        <f t="shared" si="6"/>
        <v>1.7225000000000001</v>
      </c>
      <c r="K73" s="172">
        <f t="shared" si="7"/>
        <v>0</v>
      </c>
      <c r="L73" s="172">
        <f t="shared" si="8"/>
        <v>0</v>
      </c>
      <c r="M73" s="172">
        <f t="shared" si="17"/>
        <v>1.7225000000000001</v>
      </c>
      <c r="N73" s="47">
        <f t="shared" si="18"/>
        <v>163.63750000000002</v>
      </c>
      <c r="O73" s="127">
        <f t="shared" si="9"/>
        <v>2.6375</v>
      </c>
      <c r="P73" s="172">
        <f t="shared" si="10"/>
        <v>0</v>
      </c>
      <c r="Q73" s="172">
        <f t="shared" si="23"/>
        <v>2.6375</v>
      </c>
      <c r="R73" s="47">
        <f t="shared" si="19"/>
        <v>0</v>
      </c>
      <c r="S73" s="127">
        <f t="shared" si="12"/>
        <v>0</v>
      </c>
      <c r="T73" s="130">
        <f t="shared" si="20"/>
        <v>0</v>
      </c>
      <c r="U73" s="4"/>
      <c r="V73" s="4"/>
      <c r="W73" s="4"/>
      <c r="X73" s="4"/>
    </row>
    <row r="74" spans="1:24" ht="13.5">
      <c r="A74" s="44" t="s">
        <v>160</v>
      </c>
      <c r="B74" s="127">
        <f t="shared" si="13"/>
        <v>0</v>
      </c>
      <c r="C74" s="172">
        <f t="shared" si="14"/>
        <v>0</v>
      </c>
      <c r="D74" s="172">
        <f>B74+C74</f>
        <v>0</v>
      </c>
      <c r="E74" s="47">
        <f>D74*$E$61</f>
        <v>0</v>
      </c>
      <c r="F74" s="127">
        <f t="shared" si="24"/>
        <v>12.3026</v>
      </c>
      <c r="G74" s="130">
        <f>F74*$G$61</f>
        <v>0</v>
      </c>
      <c r="H74" s="127">
        <f aca="true" t="shared" si="25" ref="H74:H86">C42*$E$14</f>
        <v>0</v>
      </c>
      <c r="I74" s="130">
        <f>H74*$I$61</f>
        <v>0</v>
      </c>
      <c r="J74" s="127">
        <f aca="true" t="shared" si="26" ref="J74:J86">B42*$F$12</f>
        <v>0.9439300000000002</v>
      </c>
      <c r="K74" s="172">
        <f aca="true" t="shared" si="27" ref="K74:K86">D42*$F$15</f>
        <v>0</v>
      </c>
      <c r="L74" s="172">
        <f aca="true" t="shared" si="28" ref="L74:L86">E42*$F$16</f>
        <v>0</v>
      </c>
      <c r="M74" s="172">
        <f>J74+K74+L74</f>
        <v>0.9439300000000002</v>
      </c>
      <c r="N74" s="47">
        <f>M74*$N$61</f>
        <v>89.67335000000001</v>
      </c>
      <c r="O74" s="127">
        <f aca="true" t="shared" si="29" ref="O74:O86">B42*$G$12</f>
        <v>1.4453500000000001</v>
      </c>
      <c r="P74" s="172">
        <f aca="true" t="shared" si="30" ref="P74:P86">D42*$G$15</f>
        <v>0</v>
      </c>
      <c r="Q74" s="172">
        <f>O74+P74</f>
        <v>1.4453500000000001</v>
      </c>
      <c r="R74" s="47">
        <f>Q74*$R$61</f>
        <v>0</v>
      </c>
      <c r="S74" s="127">
        <f t="shared" si="12"/>
        <v>0</v>
      </c>
      <c r="T74" s="130">
        <f t="shared" si="20"/>
        <v>0</v>
      </c>
      <c r="U74" s="4"/>
      <c r="V74" s="4"/>
      <c r="W74" s="4"/>
      <c r="X74" s="4"/>
    </row>
    <row r="75" spans="1:24" ht="13.5">
      <c r="A75" s="44" t="s">
        <v>12</v>
      </c>
      <c r="B75" s="127">
        <f t="shared" si="13"/>
        <v>0</v>
      </c>
      <c r="C75" s="172">
        <f t="shared" si="14"/>
        <v>0</v>
      </c>
      <c r="D75" s="172">
        <f t="shared" si="22"/>
        <v>0</v>
      </c>
      <c r="E75" s="47">
        <f t="shared" si="21"/>
        <v>0</v>
      </c>
      <c r="F75" s="127">
        <f t="shared" si="24"/>
        <v>35.6506</v>
      </c>
      <c r="G75" s="130">
        <f t="shared" si="15"/>
        <v>0</v>
      </c>
      <c r="H75" s="127">
        <f t="shared" si="25"/>
        <v>22.7283</v>
      </c>
      <c r="I75" s="130">
        <f t="shared" si="16"/>
        <v>0</v>
      </c>
      <c r="J75" s="127">
        <f t="shared" si="26"/>
        <v>2.7353300000000003</v>
      </c>
      <c r="K75" s="172">
        <f t="shared" si="27"/>
        <v>3.6061199999999998</v>
      </c>
      <c r="L75" s="172">
        <f t="shared" si="28"/>
        <v>11.57646</v>
      </c>
      <c r="M75" s="172">
        <f t="shared" si="17"/>
        <v>17.91791</v>
      </c>
      <c r="N75" s="47">
        <f t="shared" si="18"/>
        <v>1702.20145</v>
      </c>
      <c r="O75" s="127">
        <f t="shared" si="29"/>
        <v>4.18835</v>
      </c>
      <c r="P75" s="172">
        <f t="shared" si="30"/>
        <v>5.2417</v>
      </c>
      <c r="Q75" s="172">
        <f t="shared" si="23"/>
        <v>9.43005</v>
      </c>
      <c r="R75" s="47">
        <f t="shared" si="19"/>
        <v>0</v>
      </c>
      <c r="S75" s="127">
        <f t="shared" si="12"/>
        <v>0</v>
      </c>
      <c r="T75" s="130">
        <f t="shared" si="20"/>
        <v>0</v>
      </c>
      <c r="U75" s="4"/>
      <c r="V75" s="4"/>
      <c r="W75" s="4"/>
      <c r="X75" s="4"/>
    </row>
    <row r="76" spans="1:24" ht="13.5">
      <c r="A76" s="44" t="s">
        <v>13</v>
      </c>
      <c r="B76" s="127">
        <f t="shared" si="13"/>
        <v>0</v>
      </c>
      <c r="C76" s="172">
        <f t="shared" si="14"/>
        <v>0</v>
      </c>
      <c r="D76" s="172">
        <f t="shared" si="22"/>
        <v>0</v>
      </c>
      <c r="E76" s="47">
        <f t="shared" si="21"/>
        <v>0</v>
      </c>
      <c r="F76" s="127">
        <f t="shared" si="24"/>
        <v>16.7926</v>
      </c>
      <c r="G76" s="130">
        <f t="shared" si="15"/>
        <v>0</v>
      </c>
      <c r="H76" s="127">
        <f t="shared" si="25"/>
        <v>3.4838999999999998</v>
      </c>
      <c r="I76" s="130">
        <f t="shared" si="16"/>
        <v>0</v>
      </c>
      <c r="J76" s="127">
        <f t="shared" si="26"/>
        <v>1.2884300000000002</v>
      </c>
      <c r="K76" s="172">
        <f t="shared" si="27"/>
        <v>0</v>
      </c>
      <c r="L76" s="172">
        <f t="shared" si="28"/>
        <v>0</v>
      </c>
      <c r="M76" s="172">
        <f t="shared" si="17"/>
        <v>1.2884300000000002</v>
      </c>
      <c r="N76" s="47">
        <f t="shared" si="18"/>
        <v>122.40085000000002</v>
      </c>
      <c r="O76" s="127">
        <f t="shared" si="29"/>
        <v>1.9728500000000002</v>
      </c>
      <c r="P76" s="172">
        <f t="shared" si="30"/>
        <v>0</v>
      </c>
      <c r="Q76" s="172">
        <f t="shared" si="23"/>
        <v>1.9728500000000002</v>
      </c>
      <c r="R76" s="47">
        <f t="shared" si="19"/>
        <v>0</v>
      </c>
      <c r="S76" s="127">
        <f t="shared" si="12"/>
        <v>0</v>
      </c>
      <c r="T76" s="130">
        <f t="shared" si="20"/>
        <v>0</v>
      </c>
      <c r="U76" s="4"/>
      <c r="V76" s="4"/>
      <c r="W76" s="4"/>
      <c r="X76" s="4"/>
    </row>
    <row r="77" spans="1:24" ht="13.5">
      <c r="A77" s="44" t="s">
        <v>9</v>
      </c>
      <c r="B77" s="127">
        <f t="shared" si="13"/>
        <v>0</v>
      </c>
      <c r="C77" s="172">
        <f t="shared" si="14"/>
        <v>0</v>
      </c>
      <c r="D77" s="172">
        <f t="shared" si="22"/>
        <v>0</v>
      </c>
      <c r="E77" s="47">
        <f t="shared" si="21"/>
        <v>0</v>
      </c>
      <c r="F77" s="127">
        <f t="shared" si="24"/>
        <v>48.1328</v>
      </c>
      <c r="G77" s="130">
        <f t="shared" si="15"/>
        <v>0</v>
      </c>
      <c r="H77" s="127">
        <f t="shared" si="25"/>
        <v>72.6168</v>
      </c>
      <c r="I77" s="130">
        <f t="shared" si="16"/>
        <v>0</v>
      </c>
      <c r="J77" s="127">
        <f t="shared" si="26"/>
        <v>3.6930400000000003</v>
      </c>
      <c r="K77" s="172">
        <f t="shared" si="27"/>
        <v>0</v>
      </c>
      <c r="L77" s="172">
        <f t="shared" si="28"/>
        <v>46.12524</v>
      </c>
      <c r="M77" s="172">
        <f t="shared" si="17"/>
        <v>49.81828</v>
      </c>
      <c r="N77" s="47">
        <f t="shared" si="18"/>
        <v>4732.7366</v>
      </c>
      <c r="O77" s="127">
        <f t="shared" si="29"/>
        <v>5.6548</v>
      </c>
      <c r="P77" s="172">
        <f t="shared" si="30"/>
        <v>0</v>
      </c>
      <c r="Q77" s="172">
        <f t="shared" si="23"/>
        <v>5.6548</v>
      </c>
      <c r="R77" s="47">
        <f t="shared" si="19"/>
        <v>0</v>
      </c>
      <c r="S77" s="127">
        <f t="shared" si="12"/>
        <v>0</v>
      </c>
      <c r="T77" s="130">
        <f t="shared" si="20"/>
        <v>0</v>
      </c>
      <c r="U77" s="4"/>
      <c r="V77" s="4"/>
      <c r="W77" s="4"/>
      <c r="X77" s="4"/>
    </row>
    <row r="78" spans="1:24" ht="13.5">
      <c r="A78" s="44" t="s">
        <v>14</v>
      </c>
      <c r="B78" s="127">
        <f t="shared" si="13"/>
        <v>0</v>
      </c>
      <c r="C78" s="172">
        <f t="shared" si="14"/>
        <v>0</v>
      </c>
      <c r="D78" s="172">
        <f t="shared" si="22"/>
        <v>0</v>
      </c>
      <c r="E78" s="47">
        <f t="shared" si="21"/>
        <v>0</v>
      </c>
      <c r="F78" s="127">
        <f t="shared" si="24"/>
        <v>17.2416</v>
      </c>
      <c r="G78" s="130">
        <f t="shared" si="15"/>
        <v>0</v>
      </c>
      <c r="H78" s="127">
        <f t="shared" si="25"/>
        <v>0</v>
      </c>
      <c r="I78" s="130">
        <f t="shared" si="16"/>
        <v>0</v>
      </c>
      <c r="J78" s="127">
        <f t="shared" si="26"/>
        <v>1.32288</v>
      </c>
      <c r="K78" s="172">
        <f t="shared" si="27"/>
        <v>9.1854</v>
      </c>
      <c r="L78" s="172">
        <f t="shared" si="28"/>
        <v>0</v>
      </c>
      <c r="M78" s="172">
        <f t="shared" si="17"/>
        <v>10.50828</v>
      </c>
      <c r="N78" s="47">
        <f t="shared" si="18"/>
        <v>998.2865999999999</v>
      </c>
      <c r="O78" s="127">
        <f t="shared" si="29"/>
        <v>2.0256</v>
      </c>
      <c r="P78" s="172">
        <f t="shared" si="30"/>
        <v>13.3515</v>
      </c>
      <c r="Q78" s="172">
        <f t="shared" si="23"/>
        <v>15.377099999999999</v>
      </c>
      <c r="R78" s="47">
        <f t="shared" si="19"/>
        <v>0</v>
      </c>
      <c r="S78" s="127">
        <f t="shared" si="12"/>
        <v>0.091</v>
      </c>
      <c r="T78" s="130">
        <f t="shared" si="20"/>
        <v>0</v>
      </c>
      <c r="U78" s="4"/>
      <c r="V78" s="4"/>
      <c r="W78" s="4"/>
      <c r="X78" s="4"/>
    </row>
    <row r="79" spans="1:24" ht="13.5">
      <c r="A79" s="44" t="s">
        <v>15</v>
      </c>
      <c r="B79" s="127">
        <f t="shared" si="13"/>
        <v>0</v>
      </c>
      <c r="C79" s="172">
        <f t="shared" si="14"/>
        <v>0</v>
      </c>
      <c r="D79" s="172">
        <f t="shared" si="22"/>
        <v>0</v>
      </c>
      <c r="E79" s="47">
        <f t="shared" si="21"/>
        <v>0</v>
      </c>
      <c r="F79" s="127">
        <f t="shared" si="24"/>
        <v>36.4588</v>
      </c>
      <c r="G79" s="130">
        <f t="shared" si="15"/>
        <v>0</v>
      </c>
      <c r="H79" s="127">
        <f t="shared" si="25"/>
        <v>0</v>
      </c>
      <c r="I79" s="130">
        <f t="shared" si="16"/>
        <v>0</v>
      </c>
      <c r="J79" s="127">
        <f t="shared" si="26"/>
        <v>2.79734</v>
      </c>
      <c r="K79" s="172">
        <f t="shared" si="27"/>
        <v>3.2319</v>
      </c>
      <c r="L79" s="172">
        <f t="shared" si="28"/>
        <v>0.51471</v>
      </c>
      <c r="M79" s="172">
        <f t="shared" si="17"/>
        <v>6.54395</v>
      </c>
      <c r="N79" s="47">
        <f t="shared" si="18"/>
        <v>621.67525</v>
      </c>
      <c r="O79" s="127">
        <f t="shared" si="29"/>
        <v>4.2833</v>
      </c>
      <c r="P79" s="172">
        <f t="shared" si="30"/>
        <v>4.69775</v>
      </c>
      <c r="Q79" s="172">
        <f t="shared" si="23"/>
        <v>8.98105</v>
      </c>
      <c r="R79" s="47">
        <f t="shared" si="19"/>
        <v>0</v>
      </c>
      <c r="S79" s="127">
        <f t="shared" si="12"/>
        <v>9.4822</v>
      </c>
      <c r="T79" s="130">
        <f t="shared" si="20"/>
        <v>0</v>
      </c>
      <c r="U79" s="4"/>
      <c r="V79" s="4"/>
      <c r="W79" s="4"/>
      <c r="X79" s="4"/>
    </row>
    <row r="80" spans="1:24" ht="13.5">
      <c r="A80" s="44" t="s">
        <v>10</v>
      </c>
      <c r="B80" s="127">
        <f t="shared" si="13"/>
        <v>0</v>
      </c>
      <c r="C80" s="172">
        <f t="shared" si="14"/>
        <v>0</v>
      </c>
      <c r="D80" s="172">
        <f t="shared" si="22"/>
        <v>0</v>
      </c>
      <c r="E80" s="47">
        <f t="shared" si="21"/>
        <v>0</v>
      </c>
      <c r="F80" s="127">
        <f t="shared" si="24"/>
        <v>41.308</v>
      </c>
      <c r="G80" s="130">
        <f t="shared" si="15"/>
        <v>0</v>
      </c>
      <c r="H80" s="127">
        <f t="shared" si="25"/>
        <v>38.7021</v>
      </c>
      <c r="I80" s="130">
        <f t="shared" si="16"/>
        <v>0</v>
      </c>
      <c r="J80" s="127">
        <f t="shared" si="26"/>
        <v>3.1694</v>
      </c>
      <c r="K80" s="172">
        <f t="shared" si="27"/>
        <v>0</v>
      </c>
      <c r="L80" s="172">
        <f t="shared" si="28"/>
        <v>0</v>
      </c>
      <c r="M80" s="172">
        <f t="shared" si="17"/>
        <v>3.1694</v>
      </c>
      <c r="N80" s="47">
        <f t="shared" si="18"/>
        <v>301.093</v>
      </c>
      <c r="O80" s="127">
        <f t="shared" si="29"/>
        <v>4.853</v>
      </c>
      <c r="P80" s="172">
        <f t="shared" si="30"/>
        <v>0</v>
      </c>
      <c r="Q80" s="172">
        <f t="shared" si="23"/>
        <v>4.853</v>
      </c>
      <c r="R80" s="47">
        <f t="shared" si="19"/>
        <v>0</v>
      </c>
      <c r="S80" s="127">
        <f t="shared" si="12"/>
        <v>0</v>
      </c>
      <c r="T80" s="130">
        <f t="shared" si="20"/>
        <v>0</v>
      </c>
      <c r="U80" s="4"/>
      <c r="V80" s="4"/>
      <c r="W80" s="4"/>
      <c r="X80" s="4"/>
    </row>
    <row r="81" spans="1:24" ht="13.5">
      <c r="A81" s="44" t="s">
        <v>8</v>
      </c>
      <c r="B81" s="127">
        <f t="shared" si="13"/>
        <v>0</v>
      </c>
      <c r="C81" s="172">
        <f t="shared" si="14"/>
        <v>0</v>
      </c>
      <c r="D81" s="172">
        <f t="shared" si="22"/>
        <v>0</v>
      </c>
      <c r="E81" s="47">
        <f t="shared" si="21"/>
        <v>0</v>
      </c>
      <c r="F81" s="127">
        <f t="shared" si="24"/>
        <v>58.1904</v>
      </c>
      <c r="G81" s="130">
        <f t="shared" si="15"/>
        <v>0</v>
      </c>
      <c r="H81" s="127">
        <f t="shared" si="25"/>
        <v>33.18</v>
      </c>
      <c r="I81" s="130">
        <f t="shared" si="16"/>
        <v>0</v>
      </c>
      <c r="J81" s="127">
        <f t="shared" si="26"/>
        <v>4.46472</v>
      </c>
      <c r="K81" s="172">
        <f t="shared" si="27"/>
        <v>217.08162</v>
      </c>
      <c r="L81" s="172">
        <f t="shared" si="28"/>
        <v>28.408379999999998</v>
      </c>
      <c r="M81" s="172">
        <f t="shared" si="17"/>
        <v>249.95471999999998</v>
      </c>
      <c r="N81" s="47">
        <f t="shared" si="18"/>
        <v>23745.698399999997</v>
      </c>
      <c r="O81" s="127">
        <f t="shared" si="29"/>
        <v>6.836399999999999</v>
      </c>
      <c r="P81" s="172">
        <f t="shared" si="30"/>
        <v>315.54045</v>
      </c>
      <c r="Q81" s="172">
        <f t="shared" si="23"/>
        <v>322.37685000000005</v>
      </c>
      <c r="R81" s="47">
        <f t="shared" si="19"/>
        <v>0</v>
      </c>
      <c r="S81" s="127">
        <f t="shared" si="12"/>
        <v>0</v>
      </c>
      <c r="T81" s="130">
        <f t="shared" si="20"/>
        <v>0</v>
      </c>
      <c r="U81" s="4"/>
      <c r="V81" s="4"/>
      <c r="W81" s="4"/>
      <c r="X81" s="4"/>
    </row>
    <row r="82" spans="1:24" ht="13.5">
      <c r="A82" s="44" t="s">
        <v>18</v>
      </c>
      <c r="B82" s="127">
        <f t="shared" si="13"/>
        <v>0</v>
      </c>
      <c r="C82" s="172">
        <f t="shared" si="14"/>
        <v>0</v>
      </c>
      <c r="D82" s="172">
        <f t="shared" si="22"/>
        <v>0</v>
      </c>
      <c r="E82" s="47">
        <f t="shared" si="21"/>
        <v>0</v>
      </c>
      <c r="F82" s="127">
        <f t="shared" si="24"/>
        <v>2.4246000000000003</v>
      </c>
      <c r="G82" s="130">
        <f t="shared" si="15"/>
        <v>0</v>
      </c>
      <c r="H82" s="127">
        <f t="shared" si="25"/>
        <v>1.2324</v>
      </c>
      <c r="I82" s="130">
        <f t="shared" si="16"/>
        <v>0</v>
      </c>
      <c r="J82" s="127">
        <f t="shared" si="26"/>
        <v>0.18603000000000003</v>
      </c>
      <c r="K82" s="172">
        <f t="shared" si="27"/>
        <v>8.607059999999999</v>
      </c>
      <c r="L82" s="172">
        <f t="shared" si="28"/>
        <v>1.12875</v>
      </c>
      <c r="M82" s="172">
        <f t="shared" si="17"/>
        <v>9.92184</v>
      </c>
      <c r="N82" s="47">
        <f t="shared" si="18"/>
        <v>942.5748</v>
      </c>
      <c r="O82" s="127">
        <f t="shared" si="29"/>
        <v>0.28485</v>
      </c>
      <c r="P82" s="172">
        <f t="shared" si="30"/>
        <v>12.51085</v>
      </c>
      <c r="Q82" s="172">
        <f t="shared" si="23"/>
        <v>12.7957</v>
      </c>
      <c r="R82" s="47">
        <f t="shared" si="19"/>
        <v>0</v>
      </c>
      <c r="S82" s="127">
        <f t="shared" si="12"/>
        <v>0</v>
      </c>
      <c r="T82" s="130">
        <f t="shared" si="20"/>
        <v>0</v>
      </c>
      <c r="U82" s="4"/>
      <c r="V82" s="4"/>
      <c r="W82" s="4"/>
      <c r="X82" s="4"/>
    </row>
    <row r="83" spans="1:24" ht="13.5">
      <c r="A83" s="44" t="s">
        <v>146</v>
      </c>
      <c r="B83" s="127">
        <f t="shared" si="13"/>
        <v>0</v>
      </c>
      <c r="C83" s="172">
        <f t="shared" si="14"/>
        <v>0</v>
      </c>
      <c r="D83" s="172">
        <f>B83+C83</f>
        <v>0</v>
      </c>
      <c r="E83" s="47">
        <f>D83*$E$61</f>
        <v>0</v>
      </c>
      <c r="F83" s="127">
        <f t="shared" si="24"/>
        <v>5.0288</v>
      </c>
      <c r="G83" s="130">
        <f>F83*$G$61</f>
        <v>0</v>
      </c>
      <c r="H83" s="127">
        <f t="shared" si="25"/>
        <v>1.1613</v>
      </c>
      <c r="I83" s="130">
        <f>H83*$I$61</f>
        <v>0</v>
      </c>
      <c r="J83" s="127">
        <f t="shared" si="26"/>
        <v>0.38584</v>
      </c>
      <c r="K83" s="172">
        <f t="shared" si="27"/>
        <v>30.788099999999996</v>
      </c>
      <c r="L83" s="172">
        <f t="shared" si="28"/>
        <v>0</v>
      </c>
      <c r="M83" s="172">
        <f>J83+K83+L83</f>
        <v>31.173939999999998</v>
      </c>
      <c r="N83" s="47">
        <f>M83*$N$61</f>
        <v>2961.5243</v>
      </c>
      <c r="O83" s="127">
        <f t="shared" si="29"/>
        <v>0.5908</v>
      </c>
      <c r="P83" s="172">
        <f t="shared" si="30"/>
        <v>44.75225</v>
      </c>
      <c r="Q83" s="172">
        <f>O83+P83</f>
        <v>45.34305</v>
      </c>
      <c r="R83" s="47">
        <f>Q83*$R$61</f>
        <v>0</v>
      </c>
      <c r="S83" s="127">
        <f t="shared" si="12"/>
        <v>0</v>
      </c>
      <c r="T83" s="130">
        <f t="shared" si="20"/>
        <v>0</v>
      </c>
      <c r="U83" s="4"/>
      <c r="V83" s="4"/>
      <c r="W83" s="4"/>
      <c r="X83" s="4"/>
    </row>
    <row r="84" spans="1:24" ht="13.5">
      <c r="A84" s="44" t="s">
        <v>147</v>
      </c>
      <c r="B84" s="127">
        <f t="shared" si="13"/>
        <v>0</v>
      </c>
      <c r="C84" s="172">
        <f t="shared" si="14"/>
        <v>0</v>
      </c>
      <c r="D84" s="172">
        <f t="shared" si="22"/>
        <v>0</v>
      </c>
      <c r="E84" s="47">
        <f t="shared" si="21"/>
        <v>0</v>
      </c>
      <c r="F84" s="127">
        <f t="shared" si="24"/>
        <v>3.7716</v>
      </c>
      <c r="G84" s="130">
        <f t="shared" si="15"/>
        <v>0</v>
      </c>
      <c r="H84" s="127">
        <f t="shared" si="25"/>
        <v>2.2278000000000002</v>
      </c>
      <c r="I84" s="130">
        <f t="shared" si="16"/>
        <v>0</v>
      </c>
      <c r="J84" s="127">
        <f t="shared" si="26"/>
        <v>0.28938</v>
      </c>
      <c r="K84" s="172">
        <f t="shared" si="27"/>
        <v>0.20411999999999997</v>
      </c>
      <c r="L84" s="172">
        <f t="shared" si="28"/>
        <v>1.06554</v>
      </c>
      <c r="M84" s="172">
        <f t="shared" si="17"/>
        <v>1.55904</v>
      </c>
      <c r="N84" s="47">
        <f t="shared" si="18"/>
        <v>148.1088</v>
      </c>
      <c r="O84" s="127">
        <f t="shared" si="29"/>
        <v>0.4431</v>
      </c>
      <c r="P84" s="172">
        <f t="shared" si="30"/>
        <v>0.29669999999999996</v>
      </c>
      <c r="Q84" s="172">
        <f t="shared" si="23"/>
        <v>0.7398</v>
      </c>
      <c r="R84" s="47">
        <f t="shared" si="19"/>
        <v>0</v>
      </c>
      <c r="S84" s="127">
        <f t="shared" si="12"/>
        <v>0</v>
      </c>
      <c r="T84" s="130">
        <f t="shared" si="20"/>
        <v>0</v>
      </c>
      <c r="U84" s="4"/>
      <c r="V84" s="4"/>
      <c r="W84" s="4"/>
      <c r="X84" s="4"/>
    </row>
    <row r="85" spans="1:24" ht="13.5">
      <c r="A85" s="44" t="s">
        <v>127</v>
      </c>
      <c r="B85" s="127">
        <f t="shared" si="13"/>
        <v>0</v>
      </c>
      <c r="C85" s="172">
        <f t="shared" si="14"/>
        <v>0</v>
      </c>
      <c r="D85" s="172">
        <f t="shared" si="22"/>
        <v>0</v>
      </c>
      <c r="E85" s="47">
        <f t="shared" si="21"/>
        <v>0</v>
      </c>
      <c r="F85" s="127">
        <f t="shared" si="24"/>
        <v>1.796</v>
      </c>
      <c r="G85" s="130">
        <f t="shared" si="15"/>
        <v>0</v>
      </c>
      <c r="H85" s="127">
        <f t="shared" si="25"/>
        <v>0.6872999999999999</v>
      </c>
      <c r="I85" s="130">
        <f t="shared" si="16"/>
        <v>0</v>
      </c>
      <c r="J85" s="127">
        <f t="shared" si="26"/>
        <v>0.1378</v>
      </c>
      <c r="K85" s="172">
        <f t="shared" si="27"/>
        <v>6.531839999999999</v>
      </c>
      <c r="L85" s="172">
        <f t="shared" si="28"/>
        <v>0.7675500000000001</v>
      </c>
      <c r="M85" s="172">
        <f t="shared" si="17"/>
        <v>7.437189999999999</v>
      </c>
      <c r="N85" s="47">
        <f t="shared" si="18"/>
        <v>706.5330499999999</v>
      </c>
      <c r="O85" s="127">
        <f t="shared" si="29"/>
        <v>0.211</v>
      </c>
      <c r="P85" s="172">
        <f t="shared" si="30"/>
        <v>9.494399999999999</v>
      </c>
      <c r="Q85" s="172">
        <f t="shared" si="23"/>
        <v>9.7054</v>
      </c>
      <c r="R85" s="47">
        <f t="shared" si="19"/>
        <v>0</v>
      </c>
      <c r="S85" s="127">
        <f t="shared" si="12"/>
        <v>0</v>
      </c>
      <c r="T85" s="130">
        <f t="shared" si="20"/>
        <v>0</v>
      </c>
      <c r="U85" s="4"/>
      <c r="V85" s="4"/>
      <c r="W85" s="4"/>
      <c r="X85" s="4"/>
    </row>
    <row r="86" spans="1:24" ht="14.25" thickBot="1">
      <c r="A86" s="44" t="s">
        <v>128</v>
      </c>
      <c r="B86" s="127">
        <f t="shared" si="13"/>
        <v>0</v>
      </c>
      <c r="C86" s="172">
        <f t="shared" si="14"/>
        <v>0</v>
      </c>
      <c r="D86" s="172">
        <f>B86+C86</f>
        <v>0</v>
      </c>
      <c r="E86" s="47">
        <f>D86*$E$61</f>
        <v>0</v>
      </c>
      <c r="F86" s="127">
        <f t="shared" si="24"/>
        <v>0.0898</v>
      </c>
      <c r="G86" s="130">
        <f t="shared" si="15"/>
        <v>0</v>
      </c>
      <c r="H86" s="127">
        <f t="shared" si="25"/>
        <v>0</v>
      </c>
      <c r="I86" s="130">
        <f t="shared" si="16"/>
        <v>0</v>
      </c>
      <c r="J86" s="127">
        <f t="shared" si="26"/>
        <v>0.006890000000000001</v>
      </c>
      <c r="K86" s="172">
        <f t="shared" si="27"/>
        <v>49.6692</v>
      </c>
      <c r="L86" s="172">
        <f t="shared" si="28"/>
        <v>0.7133700000000001</v>
      </c>
      <c r="M86" s="172">
        <f t="shared" si="17"/>
        <v>50.38945999999999</v>
      </c>
      <c r="N86" s="47">
        <f t="shared" si="18"/>
        <v>4786.998699999999</v>
      </c>
      <c r="O86" s="127">
        <f t="shared" si="29"/>
        <v>0.01055</v>
      </c>
      <c r="P86" s="172">
        <f t="shared" si="30"/>
        <v>72.19699999999999</v>
      </c>
      <c r="Q86" s="172">
        <f>O86+P86</f>
        <v>72.20754999999998</v>
      </c>
      <c r="R86" s="47">
        <f t="shared" si="19"/>
        <v>0</v>
      </c>
      <c r="S86" s="127">
        <f t="shared" si="12"/>
        <v>0</v>
      </c>
      <c r="T86" s="130">
        <f t="shared" si="20"/>
        <v>0</v>
      </c>
      <c r="U86" s="4"/>
      <c r="V86" s="4"/>
      <c r="W86" s="4"/>
      <c r="X86" s="4"/>
    </row>
    <row r="87" spans="1:24" ht="14.25" thickBot="1">
      <c r="A87" s="143" t="s">
        <v>54</v>
      </c>
      <c r="B87" s="173">
        <f>SUM(B63:B86)</f>
        <v>0</v>
      </c>
      <c r="C87" s="174">
        <f aca="true" t="shared" si="31" ref="C87:R87">SUM(C63:C86)</f>
        <v>0</v>
      </c>
      <c r="D87" s="174">
        <f t="shared" si="31"/>
        <v>0</v>
      </c>
      <c r="E87" s="175">
        <f t="shared" si="31"/>
        <v>0</v>
      </c>
      <c r="F87" s="173">
        <f t="shared" si="31"/>
        <v>898.0000000000001</v>
      </c>
      <c r="G87" s="175">
        <f t="shared" si="31"/>
        <v>0</v>
      </c>
      <c r="H87" s="173">
        <f t="shared" si="31"/>
        <v>237.00000000000003</v>
      </c>
      <c r="I87" s="175">
        <f t="shared" si="31"/>
        <v>0</v>
      </c>
      <c r="J87" s="173">
        <f t="shared" si="31"/>
        <v>68.89999999999999</v>
      </c>
      <c r="K87" s="174">
        <f t="shared" si="31"/>
        <v>340.19999999999993</v>
      </c>
      <c r="L87" s="174">
        <f t="shared" si="31"/>
        <v>90.3</v>
      </c>
      <c r="M87" s="174">
        <f t="shared" si="31"/>
        <v>499.4</v>
      </c>
      <c r="N87" s="175">
        <f t="shared" si="31"/>
        <v>47442.99999999999</v>
      </c>
      <c r="O87" s="173">
        <f t="shared" si="31"/>
        <v>105.49999999999999</v>
      </c>
      <c r="P87" s="174">
        <f t="shared" si="31"/>
        <v>494.5</v>
      </c>
      <c r="Q87" s="174">
        <f t="shared" si="31"/>
        <v>600</v>
      </c>
      <c r="R87" s="175">
        <f t="shared" si="31"/>
        <v>0</v>
      </c>
      <c r="S87" s="173">
        <f>SUM(S63:S86)</f>
        <v>182.00000000000003</v>
      </c>
      <c r="T87" s="175">
        <f>SUM(T63:T86)</f>
        <v>0</v>
      </c>
      <c r="U87" s="4"/>
      <c r="V87" s="4"/>
      <c r="W87" s="4"/>
      <c r="X87" s="4"/>
    </row>
    <row r="88" spans="1:24" ht="13.5">
      <c r="A88" s="176" t="s">
        <v>82</v>
      </c>
      <c r="B88" s="37"/>
      <c r="C88" s="37"/>
      <c r="D88" s="37"/>
      <c r="E88" s="34"/>
      <c r="F88" s="37"/>
      <c r="G88" s="34"/>
      <c r="H88" s="20"/>
      <c r="I88" s="20"/>
      <c r="J88" s="20"/>
      <c r="K88" s="20"/>
      <c r="L88" s="20"/>
      <c r="M88" s="20"/>
      <c r="N88" s="20"/>
      <c r="O88" s="20"/>
      <c r="P88" s="20"/>
      <c r="Q88" s="20"/>
      <c r="R88" s="20"/>
      <c r="S88" s="20"/>
      <c r="T88" s="20"/>
      <c r="U88" s="4"/>
      <c r="V88" s="4"/>
      <c r="W88" s="4"/>
      <c r="X88" s="4"/>
    </row>
    <row r="89" spans="1:24" ht="13.5">
      <c r="A89" s="125" t="s">
        <v>87</v>
      </c>
      <c r="B89" s="187"/>
      <c r="C89" s="187"/>
      <c r="D89" s="38"/>
      <c r="E89" s="20"/>
      <c r="F89" s="20"/>
      <c r="G89" s="20"/>
      <c r="H89" s="20"/>
      <c r="I89" s="20"/>
      <c r="J89" s="20"/>
      <c r="K89" s="20"/>
      <c r="L89" s="20"/>
      <c r="M89" s="20"/>
      <c r="N89" s="20"/>
      <c r="O89" s="20"/>
      <c r="P89" s="20"/>
      <c r="Q89" s="20"/>
      <c r="R89" s="20"/>
      <c r="S89" s="20"/>
      <c r="T89" s="20"/>
      <c r="U89" s="4"/>
      <c r="V89" s="4"/>
      <c r="W89" s="4"/>
      <c r="X89" s="4"/>
    </row>
    <row r="90" spans="1:24" ht="13.5">
      <c r="A90" s="125" t="s">
        <v>90</v>
      </c>
      <c r="B90" s="187"/>
      <c r="C90" s="187"/>
      <c r="D90" s="38"/>
      <c r="E90" s="20"/>
      <c r="F90" s="20"/>
      <c r="G90" s="20"/>
      <c r="H90" s="20"/>
      <c r="I90" s="20"/>
      <c r="J90" s="20"/>
      <c r="K90" s="20"/>
      <c r="L90" s="20"/>
      <c r="M90" s="20"/>
      <c r="N90" s="20"/>
      <c r="O90" s="20"/>
      <c r="P90" s="20"/>
      <c r="Q90" s="20"/>
      <c r="R90" s="20"/>
      <c r="S90" s="20"/>
      <c r="T90" s="20"/>
      <c r="U90" s="4"/>
      <c r="V90" s="4"/>
      <c r="W90" s="4"/>
      <c r="X90" s="4"/>
    </row>
    <row r="91" spans="1:20" ht="14.25" thickBot="1">
      <c r="A91" s="20"/>
      <c r="B91" s="20"/>
      <c r="C91" s="20"/>
      <c r="D91" s="20"/>
      <c r="E91" s="20"/>
      <c r="F91" s="20"/>
      <c r="G91" s="20"/>
      <c r="H91" s="20"/>
      <c r="I91" s="20"/>
      <c r="J91" s="20"/>
      <c r="K91" s="20"/>
      <c r="L91" s="20"/>
      <c r="M91" s="20"/>
      <c r="N91" s="20"/>
      <c r="O91" s="20"/>
      <c r="P91" s="20"/>
      <c r="Q91" s="20"/>
      <c r="R91" s="20"/>
      <c r="S91" s="20"/>
      <c r="T91" s="20"/>
    </row>
    <row r="92" spans="1:20" ht="15.75" thickBot="1">
      <c r="A92" s="216" t="s">
        <v>74</v>
      </c>
      <c r="B92" s="20"/>
      <c r="C92" s="20"/>
      <c r="D92" s="20"/>
      <c r="E92" s="20"/>
      <c r="F92" s="20"/>
      <c r="G92" s="20"/>
      <c r="H92" s="20"/>
      <c r="I92" s="20"/>
      <c r="J92" s="20"/>
      <c r="K92" s="20"/>
      <c r="L92" s="20"/>
      <c r="M92" s="20"/>
      <c r="N92" s="20"/>
      <c r="O92" s="20"/>
      <c r="P92" s="20"/>
      <c r="Q92" s="20"/>
      <c r="R92" s="20"/>
      <c r="S92" s="20"/>
      <c r="T92" s="20"/>
    </row>
    <row r="93" spans="1:20" ht="96">
      <c r="A93" s="177" t="s">
        <v>3</v>
      </c>
      <c r="B93" s="108" t="s">
        <v>91</v>
      </c>
      <c r="C93" s="110" t="s">
        <v>141</v>
      </c>
      <c r="D93" s="27"/>
      <c r="E93" s="20"/>
      <c r="F93" s="20"/>
      <c r="G93" s="20"/>
      <c r="H93" s="20"/>
      <c r="I93" s="20"/>
      <c r="J93" s="20"/>
      <c r="K93" s="20"/>
      <c r="L93" s="20"/>
      <c r="M93" s="20"/>
      <c r="N93" s="20"/>
      <c r="O93" s="20"/>
      <c r="P93" s="20"/>
      <c r="Q93" s="20"/>
      <c r="R93" s="20"/>
      <c r="S93" s="20"/>
      <c r="T93" s="20"/>
    </row>
    <row r="94" spans="1:20" ht="13.5">
      <c r="A94" s="44" t="s">
        <v>29</v>
      </c>
      <c r="B94" s="46">
        <f>C23*E61</f>
        <v>0</v>
      </c>
      <c r="C94" s="47">
        <f>(C12+C18)*E61</f>
        <v>0</v>
      </c>
      <c r="D94" s="20"/>
      <c r="E94" s="20"/>
      <c r="F94" s="20"/>
      <c r="G94" s="20"/>
      <c r="H94" s="20"/>
      <c r="I94" s="20"/>
      <c r="J94" s="20"/>
      <c r="K94" s="20"/>
      <c r="L94" s="20"/>
      <c r="M94" s="20"/>
      <c r="N94" s="20"/>
      <c r="O94" s="20"/>
      <c r="P94" s="20"/>
      <c r="Q94" s="20"/>
      <c r="R94" s="20"/>
      <c r="S94" s="20"/>
      <c r="T94" s="20"/>
    </row>
    <row r="95" spans="1:20" ht="13.5">
      <c r="A95" s="44" t="s">
        <v>39</v>
      </c>
      <c r="B95" s="46">
        <f>D23*G61</f>
        <v>0</v>
      </c>
      <c r="C95" s="47">
        <f>(D12+D18)*G61</f>
        <v>0</v>
      </c>
      <c r="D95" s="20"/>
      <c r="E95" s="20"/>
      <c r="F95" s="20"/>
      <c r="G95" s="20"/>
      <c r="H95" s="20"/>
      <c r="I95" s="20"/>
      <c r="J95" s="20"/>
      <c r="K95" s="20"/>
      <c r="L95" s="20"/>
      <c r="M95" s="20"/>
      <c r="N95" s="20"/>
      <c r="O95" s="20"/>
      <c r="P95" s="20"/>
      <c r="Q95" s="20"/>
      <c r="R95" s="20"/>
      <c r="S95" s="20"/>
      <c r="T95" s="20"/>
    </row>
    <row r="96" spans="1:20" ht="13.5">
      <c r="A96" s="44" t="s">
        <v>5</v>
      </c>
      <c r="B96" s="46">
        <f>E23*I61</f>
        <v>0</v>
      </c>
      <c r="C96" s="47">
        <f>(E12+E18)*I61</f>
        <v>0</v>
      </c>
      <c r="D96" s="20"/>
      <c r="E96" s="20"/>
      <c r="F96" s="20"/>
      <c r="G96" s="20"/>
      <c r="H96" s="20"/>
      <c r="I96" s="20"/>
      <c r="J96" s="20"/>
      <c r="K96" s="20"/>
      <c r="L96" s="20"/>
      <c r="M96" s="20"/>
      <c r="N96" s="20"/>
      <c r="O96" s="20"/>
      <c r="P96" s="20"/>
      <c r="Q96" s="20"/>
      <c r="R96" s="20"/>
      <c r="S96" s="20"/>
      <c r="T96" s="20"/>
    </row>
    <row r="97" spans="1:20" ht="13.5">
      <c r="A97" s="178" t="s">
        <v>8</v>
      </c>
      <c r="B97" s="46">
        <f>F23*N61</f>
        <v>0</v>
      </c>
      <c r="C97" s="47">
        <f>(F12+F18)*N61</f>
        <v>47443</v>
      </c>
      <c r="D97" s="20"/>
      <c r="E97" s="20"/>
      <c r="F97" s="20"/>
      <c r="G97" s="20"/>
      <c r="H97" s="20"/>
      <c r="I97" s="20"/>
      <c r="J97" s="20"/>
      <c r="K97" s="20"/>
      <c r="L97" s="20"/>
      <c r="M97" s="20"/>
      <c r="N97" s="20"/>
      <c r="O97" s="20"/>
      <c r="P97" s="20"/>
      <c r="Q97" s="20"/>
      <c r="R97" s="20"/>
      <c r="S97" s="20"/>
      <c r="T97" s="20"/>
    </row>
    <row r="98" spans="1:20" ht="13.5">
      <c r="A98" s="178" t="s">
        <v>40</v>
      </c>
      <c r="B98" s="46">
        <f>G23*R61</f>
        <v>0</v>
      </c>
      <c r="C98" s="47">
        <f>(G12+G18)*R61</f>
        <v>0</v>
      </c>
      <c r="D98" s="20"/>
      <c r="E98" s="20"/>
      <c r="F98" s="20"/>
      <c r="G98" s="20"/>
      <c r="H98" s="20"/>
      <c r="I98" s="20"/>
      <c r="J98" s="20"/>
      <c r="K98" s="20"/>
      <c r="L98" s="20"/>
      <c r="M98" s="20"/>
      <c r="N98" s="20"/>
      <c r="O98" s="20"/>
      <c r="P98" s="20"/>
      <c r="Q98" s="20"/>
      <c r="R98" s="20"/>
      <c r="S98" s="20"/>
      <c r="T98" s="20"/>
    </row>
    <row r="99" spans="1:20" ht="13.5">
      <c r="A99" s="178" t="s">
        <v>41</v>
      </c>
      <c r="B99" s="179">
        <f>I23*V61</f>
        <v>0</v>
      </c>
      <c r="C99" s="47">
        <f>(I12+I18)*V61</f>
        <v>0</v>
      </c>
      <c r="D99" s="20"/>
      <c r="E99" s="20"/>
      <c r="F99" s="20"/>
      <c r="G99" s="20"/>
      <c r="H99" s="20"/>
      <c r="I99" s="20"/>
      <c r="J99" s="20"/>
      <c r="K99" s="20"/>
      <c r="L99" s="20"/>
      <c r="M99" s="20"/>
      <c r="N99" s="20"/>
      <c r="O99" s="20"/>
      <c r="P99" s="20"/>
      <c r="Q99" s="20"/>
      <c r="R99" s="20"/>
      <c r="S99" s="20"/>
      <c r="T99" s="20"/>
    </row>
    <row r="100" spans="1:20" ht="13.5">
      <c r="A100" s="178" t="s">
        <v>15</v>
      </c>
      <c r="B100" s="179">
        <f>J23*X61</f>
        <v>0</v>
      </c>
      <c r="C100" s="47">
        <f>(J12+J18)*X61</f>
        <v>0</v>
      </c>
      <c r="D100" s="20"/>
      <c r="E100" s="20"/>
      <c r="F100" s="20"/>
      <c r="G100" s="20"/>
      <c r="H100" s="20"/>
      <c r="I100" s="20"/>
      <c r="J100" s="20"/>
      <c r="K100" s="20"/>
      <c r="L100" s="20"/>
      <c r="M100" s="20"/>
      <c r="N100" s="20"/>
      <c r="O100" s="20"/>
      <c r="P100" s="20"/>
      <c r="Q100" s="20"/>
      <c r="R100" s="20"/>
      <c r="S100" s="20"/>
      <c r="T100" s="20"/>
    </row>
    <row r="101" spans="1:20" ht="13.5">
      <c r="A101" s="178" t="s">
        <v>11</v>
      </c>
      <c r="B101" s="179">
        <f>K23*T61</f>
        <v>0</v>
      </c>
      <c r="C101" s="180">
        <f>(K12+K18)*T61</f>
        <v>0</v>
      </c>
      <c r="D101" s="20"/>
      <c r="E101" s="20"/>
      <c r="F101" s="20"/>
      <c r="G101" s="20"/>
      <c r="H101" s="20"/>
      <c r="I101" s="20"/>
      <c r="J101" s="20"/>
      <c r="K101" s="20"/>
      <c r="L101" s="20"/>
      <c r="M101" s="20"/>
      <c r="N101" s="20"/>
      <c r="O101" s="20"/>
      <c r="P101" s="20"/>
      <c r="Q101" s="20"/>
      <c r="R101" s="20"/>
      <c r="S101" s="20"/>
      <c r="T101" s="20"/>
    </row>
    <row r="102" spans="1:20" ht="14.25" thickBot="1">
      <c r="A102" s="132" t="s">
        <v>54</v>
      </c>
      <c r="B102" s="181">
        <f>SUM(B94:B101)</f>
        <v>0</v>
      </c>
      <c r="C102" s="53">
        <f>SUM(C94:C101)</f>
        <v>47443</v>
      </c>
      <c r="D102" s="20"/>
      <c r="E102" s="20"/>
      <c r="F102" s="20"/>
      <c r="G102" s="20"/>
      <c r="H102" s="20"/>
      <c r="I102" s="20"/>
      <c r="J102" s="20"/>
      <c r="K102" s="20"/>
      <c r="L102" s="20"/>
      <c r="M102" s="20"/>
      <c r="N102" s="20"/>
      <c r="O102" s="20"/>
      <c r="P102" s="20"/>
      <c r="Q102" s="20"/>
      <c r="R102" s="20"/>
      <c r="S102" s="20"/>
      <c r="T102" s="20"/>
    </row>
    <row r="103" spans="1:20" ht="13.5">
      <c r="A103" s="20"/>
      <c r="B103" s="20"/>
      <c r="C103" s="20"/>
      <c r="D103" s="20"/>
      <c r="E103" s="20"/>
      <c r="F103" s="20"/>
      <c r="G103" s="20"/>
      <c r="H103" s="20"/>
      <c r="I103" s="20"/>
      <c r="J103" s="20"/>
      <c r="K103" s="20"/>
      <c r="L103" s="20"/>
      <c r="M103" s="20"/>
      <c r="N103" s="20"/>
      <c r="O103" s="20"/>
      <c r="P103" s="20"/>
      <c r="Q103" s="20"/>
      <c r="R103" s="20"/>
      <c r="S103" s="20"/>
      <c r="T103" s="20"/>
    </row>
    <row r="104" spans="1:20" ht="13.5">
      <c r="A104" s="20"/>
      <c r="B104" s="20"/>
      <c r="C104" s="20"/>
      <c r="D104" s="20"/>
      <c r="E104" s="20"/>
      <c r="F104" s="20"/>
      <c r="G104" s="20"/>
      <c r="H104" s="20"/>
      <c r="I104" s="20"/>
      <c r="J104" s="20"/>
      <c r="K104" s="20"/>
      <c r="L104" s="20"/>
      <c r="M104" s="20"/>
      <c r="N104" s="20"/>
      <c r="O104" s="20"/>
      <c r="P104" s="20"/>
      <c r="Q104" s="20"/>
      <c r="R104" s="20"/>
      <c r="S104" s="20"/>
      <c r="T104" s="20"/>
    </row>
    <row r="105" spans="1:20" ht="13.5">
      <c r="A105" s="20"/>
      <c r="B105" s="20"/>
      <c r="C105" s="20"/>
      <c r="D105" s="20"/>
      <c r="E105" s="20"/>
      <c r="F105" s="20"/>
      <c r="G105" s="20"/>
      <c r="H105" s="20"/>
      <c r="I105" s="20"/>
      <c r="J105" s="20"/>
      <c r="K105" s="20"/>
      <c r="L105" s="20"/>
      <c r="M105" s="20"/>
      <c r="N105" s="20"/>
      <c r="O105" s="20"/>
      <c r="P105" s="20"/>
      <c r="Q105" s="20"/>
      <c r="R105" s="20"/>
      <c r="S105" s="20"/>
      <c r="T105" s="20"/>
    </row>
    <row r="106" spans="1:20" ht="13.5">
      <c r="A106" s="20"/>
      <c r="B106" s="20"/>
      <c r="C106" s="20"/>
      <c r="D106" s="20"/>
      <c r="E106" s="20"/>
      <c r="F106" s="20"/>
      <c r="G106" s="20"/>
      <c r="H106" s="20"/>
      <c r="I106" s="20"/>
      <c r="J106" s="20"/>
      <c r="K106" s="20"/>
      <c r="L106" s="20"/>
      <c r="M106" s="20"/>
      <c r="N106" s="20"/>
      <c r="O106" s="20"/>
      <c r="P106" s="20"/>
      <c r="Q106" s="20"/>
      <c r="R106" s="20"/>
      <c r="S106" s="20"/>
      <c r="T106" s="20"/>
    </row>
    <row r="107" spans="1:20" ht="13.5">
      <c r="A107" s="20"/>
      <c r="B107" s="20"/>
      <c r="C107" s="20"/>
      <c r="D107" s="20"/>
      <c r="E107" s="20"/>
      <c r="F107" s="20"/>
      <c r="G107" s="20"/>
      <c r="H107" s="20"/>
      <c r="I107" s="20"/>
      <c r="J107" s="20"/>
      <c r="K107" s="20"/>
      <c r="L107" s="20"/>
      <c r="M107" s="20"/>
      <c r="N107" s="20"/>
      <c r="O107" s="20"/>
      <c r="P107" s="20"/>
      <c r="Q107" s="20"/>
      <c r="R107" s="20"/>
      <c r="S107" s="20"/>
      <c r="T107" s="20"/>
    </row>
    <row r="108" spans="1:20" ht="13.5">
      <c r="A108" s="20"/>
      <c r="B108" s="20"/>
      <c r="C108" s="20"/>
      <c r="D108" s="20"/>
      <c r="E108" s="20"/>
      <c r="F108" s="20"/>
      <c r="G108" s="20"/>
      <c r="H108" s="20"/>
      <c r="I108" s="20"/>
      <c r="J108" s="20"/>
      <c r="K108" s="20"/>
      <c r="L108" s="20"/>
      <c r="M108" s="20"/>
      <c r="N108" s="20"/>
      <c r="O108" s="20"/>
      <c r="P108" s="20"/>
      <c r="Q108" s="20"/>
      <c r="R108" s="20"/>
      <c r="S108" s="20"/>
      <c r="T108" s="20"/>
    </row>
    <row r="109" spans="1:20" ht="13.5">
      <c r="A109" s="20"/>
      <c r="B109" s="20"/>
      <c r="C109" s="20"/>
      <c r="D109" s="20"/>
      <c r="E109" s="20"/>
      <c r="F109" s="20"/>
      <c r="G109" s="20"/>
      <c r="H109" s="20"/>
      <c r="I109" s="20"/>
      <c r="J109" s="20"/>
      <c r="K109" s="20"/>
      <c r="L109" s="20"/>
      <c r="M109" s="20"/>
      <c r="N109" s="20"/>
      <c r="O109" s="20"/>
      <c r="P109" s="20"/>
      <c r="Q109" s="20"/>
      <c r="R109" s="20"/>
      <c r="S109" s="20"/>
      <c r="T109" s="20"/>
    </row>
    <row r="110" spans="1:20" ht="13.5">
      <c r="A110" s="20"/>
      <c r="B110" s="20"/>
      <c r="C110" s="20"/>
      <c r="D110" s="20"/>
      <c r="E110" s="20"/>
      <c r="F110" s="20"/>
      <c r="G110" s="20"/>
      <c r="H110" s="20"/>
      <c r="I110" s="20"/>
      <c r="J110" s="20"/>
      <c r="K110" s="20"/>
      <c r="L110" s="20"/>
      <c r="M110" s="20"/>
      <c r="N110" s="20"/>
      <c r="O110" s="20"/>
      <c r="P110" s="20"/>
      <c r="Q110" s="20"/>
      <c r="R110" s="20"/>
      <c r="S110" s="20"/>
      <c r="T110" s="20"/>
    </row>
    <row r="111" spans="1:20" ht="13.5">
      <c r="A111" s="20"/>
      <c r="B111" s="20"/>
      <c r="C111" s="20"/>
      <c r="D111" s="20"/>
      <c r="E111" s="20"/>
      <c r="F111" s="20"/>
      <c r="G111" s="20"/>
      <c r="H111" s="20"/>
      <c r="I111" s="20"/>
      <c r="J111" s="20"/>
      <c r="K111" s="20"/>
      <c r="L111" s="20"/>
      <c r="M111" s="20"/>
      <c r="N111" s="20"/>
      <c r="O111" s="20"/>
      <c r="P111" s="20"/>
      <c r="Q111" s="20"/>
      <c r="R111" s="20"/>
      <c r="S111" s="20"/>
      <c r="T111" s="20"/>
    </row>
    <row r="112" spans="1:20" ht="13.5">
      <c r="A112" s="20"/>
      <c r="B112" s="20"/>
      <c r="C112" s="20"/>
      <c r="D112" s="20"/>
      <c r="E112" s="20"/>
      <c r="F112" s="20"/>
      <c r="G112" s="20"/>
      <c r="H112" s="20"/>
      <c r="I112" s="20"/>
      <c r="J112" s="20"/>
      <c r="K112" s="20"/>
      <c r="L112" s="20"/>
      <c r="M112" s="20"/>
      <c r="N112" s="20"/>
      <c r="O112" s="20"/>
      <c r="P112" s="20"/>
      <c r="Q112" s="20"/>
      <c r="R112" s="20"/>
      <c r="S112" s="20"/>
      <c r="T112" s="20"/>
    </row>
    <row r="113" spans="1:20" ht="13.5">
      <c r="A113" s="20"/>
      <c r="B113" s="20"/>
      <c r="C113" s="20"/>
      <c r="D113" s="20"/>
      <c r="E113" s="20"/>
      <c r="F113" s="20"/>
      <c r="G113" s="20"/>
      <c r="H113" s="20"/>
      <c r="I113" s="20"/>
      <c r="J113" s="20"/>
      <c r="K113" s="20"/>
      <c r="L113" s="20"/>
      <c r="M113" s="20"/>
      <c r="N113" s="20"/>
      <c r="O113" s="20"/>
      <c r="P113" s="20"/>
      <c r="Q113" s="20"/>
      <c r="R113" s="20"/>
      <c r="S113" s="20"/>
      <c r="T113" s="20"/>
    </row>
    <row r="114" spans="1:20" ht="13.5">
      <c r="A114" s="20"/>
      <c r="B114" s="20"/>
      <c r="C114" s="20"/>
      <c r="D114" s="20"/>
      <c r="E114" s="20"/>
      <c r="F114" s="20"/>
      <c r="G114" s="20"/>
      <c r="H114" s="20"/>
      <c r="I114" s="20"/>
      <c r="J114" s="20"/>
      <c r="K114" s="20"/>
      <c r="L114" s="20"/>
      <c r="M114" s="20"/>
      <c r="N114" s="20"/>
      <c r="O114" s="20"/>
      <c r="P114" s="20"/>
      <c r="Q114" s="20"/>
      <c r="R114" s="20"/>
      <c r="S114" s="20"/>
      <c r="T114" s="20"/>
    </row>
    <row r="115" spans="1:20" ht="13.5">
      <c r="A115" s="20"/>
      <c r="B115" s="20"/>
      <c r="C115" s="20"/>
      <c r="D115" s="20"/>
      <c r="E115" s="20"/>
      <c r="F115" s="20"/>
      <c r="G115" s="20"/>
      <c r="H115" s="20"/>
      <c r="I115" s="20"/>
      <c r="J115" s="20"/>
      <c r="K115" s="20"/>
      <c r="L115" s="20"/>
      <c r="M115" s="20"/>
      <c r="N115" s="20"/>
      <c r="O115" s="20"/>
      <c r="P115" s="20"/>
      <c r="Q115" s="20"/>
      <c r="R115" s="20"/>
      <c r="S115" s="20"/>
      <c r="T115" s="20"/>
    </row>
    <row r="116" spans="1:20" ht="13.5">
      <c r="A116" s="20"/>
      <c r="B116" s="20"/>
      <c r="C116" s="20"/>
      <c r="D116" s="20"/>
      <c r="E116" s="20"/>
      <c r="F116" s="20"/>
      <c r="G116" s="20"/>
      <c r="H116" s="20"/>
      <c r="I116" s="20"/>
      <c r="J116" s="20"/>
      <c r="K116" s="20"/>
      <c r="L116" s="20"/>
      <c r="M116" s="20"/>
      <c r="N116" s="20"/>
      <c r="O116" s="20"/>
      <c r="P116" s="20"/>
      <c r="Q116" s="20"/>
      <c r="R116" s="20"/>
      <c r="S116" s="20"/>
      <c r="T116" s="20"/>
    </row>
    <row r="117" spans="1:20" ht="13.5">
      <c r="A117" s="20"/>
      <c r="B117" s="20"/>
      <c r="C117" s="20"/>
      <c r="D117" s="20"/>
      <c r="E117" s="20"/>
      <c r="F117" s="20"/>
      <c r="G117" s="20"/>
      <c r="H117" s="20"/>
      <c r="I117" s="20"/>
      <c r="J117" s="20"/>
      <c r="K117" s="20"/>
      <c r="L117" s="20"/>
      <c r="M117" s="20"/>
      <c r="N117" s="20"/>
      <c r="O117" s="20"/>
      <c r="P117" s="20"/>
      <c r="Q117" s="20"/>
      <c r="R117" s="20"/>
      <c r="S117" s="20"/>
      <c r="T117" s="20"/>
    </row>
    <row r="118" spans="1:20" ht="13.5">
      <c r="A118" s="20"/>
      <c r="B118" s="20"/>
      <c r="C118" s="20"/>
      <c r="D118" s="20"/>
      <c r="E118" s="20"/>
      <c r="F118" s="20"/>
      <c r="G118" s="20"/>
      <c r="H118" s="20"/>
      <c r="I118" s="20"/>
      <c r="J118" s="20"/>
      <c r="K118" s="20"/>
      <c r="L118" s="20"/>
      <c r="M118" s="20"/>
      <c r="N118" s="20"/>
      <c r="O118" s="20"/>
      <c r="P118" s="20"/>
      <c r="Q118" s="20"/>
      <c r="R118" s="20"/>
      <c r="S118" s="20"/>
      <c r="T118" s="20"/>
    </row>
    <row r="119" spans="1:20" ht="13.5">
      <c r="A119" s="20"/>
      <c r="B119" s="20"/>
      <c r="C119" s="20"/>
      <c r="D119" s="20"/>
      <c r="E119" s="20"/>
      <c r="F119" s="20"/>
      <c r="G119" s="20"/>
      <c r="H119" s="20"/>
      <c r="I119" s="20"/>
      <c r="J119" s="20"/>
      <c r="K119" s="20"/>
      <c r="L119" s="20"/>
      <c r="M119" s="20"/>
      <c r="N119" s="20"/>
      <c r="O119" s="20"/>
      <c r="P119" s="20"/>
      <c r="Q119" s="20"/>
      <c r="R119" s="20"/>
      <c r="S119" s="20"/>
      <c r="T119" s="20"/>
    </row>
    <row r="120" spans="1:20" ht="13.5">
      <c r="A120" s="20"/>
      <c r="B120" s="20"/>
      <c r="C120" s="20"/>
      <c r="D120" s="20"/>
      <c r="E120" s="20"/>
      <c r="F120" s="20"/>
      <c r="G120" s="20"/>
      <c r="H120" s="20"/>
      <c r="I120" s="20"/>
      <c r="J120" s="20"/>
      <c r="K120" s="20"/>
      <c r="L120" s="20"/>
      <c r="M120" s="20"/>
      <c r="N120" s="20"/>
      <c r="O120" s="20"/>
      <c r="P120" s="20"/>
      <c r="Q120" s="20"/>
      <c r="R120" s="20"/>
      <c r="S120" s="20"/>
      <c r="T120" s="20"/>
    </row>
    <row r="121" spans="1:20" ht="13.5">
      <c r="A121" s="20"/>
      <c r="B121" s="20"/>
      <c r="C121" s="20"/>
      <c r="D121" s="20"/>
      <c r="E121" s="20"/>
      <c r="F121" s="20"/>
      <c r="G121" s="20"/>
      <c r="H121" s="20"/>
      <c r="I121" s="20"/>
      <c r="J121" s="20"/>
      <c r="K121" s="20"/>
      <c r="L121" s="20"/>
      <c r="M121" s="20"/>
      <c r="N121" s="20"/>
      <c r="O121" s="20"/>
      <c r="P121" s="20"/>
      <c r="Q121" s="20"/>
      <c r="R121" s="20"/>
      <c r="S121" s="20"/>
      <c r="T121" s="20"/>
    </row>
    <row r="122" spans="1:20" ht="13.5">
      <c r="A122" s="20"/>
      <c r="B122" s="20"/>
      <c r="C122" s="20"/>
      <c r="D122" s="20"/>
      <c r="E122" s="20"/>
      <c r="F122" s="20"/>
      <c r="G122" s="20"/>
      <c r="H122" s="20"/>
      <c r="I122" s="20"/>
      <c r="J122" s="20"/>
      <c r="K122" s="20"/>
      <c r="L122" s="20"/>
      <c r="M122" s="20"/>
      <c r="N122" s="20"/>
      <c r="O122" s="20"/>
      <c r="P122" s="20"/>
      <c r="Q122" s="20"/>
      <c r="R122" s="20"/>
      <c r="S122" s="20"/>
      <c r="T122" s="20"/>
    </row>
    <row r="123" spans="1:20" ht="13.5">
      <c r="A123" s="20"/>
      <c r="B123" s="20"/>
      <c r="C123" s="20"/>
      <c r="D123" s="20"/>
      <c r="E123" s="20"/>
      <c r="F123" s="20"/>
      <c r="G123" s="20"/>
      <c r="H123" s="20"/>
      <c r="I123" s="20"/>
      <c r="J123" s="20"/>
      <c r="K123" s="20"/>
      <c r="L123" s="20"/>
      <c r="M123" s="20"/>
      <c r="N123" s="20"/>
      <c r="O123" s="20"/>
      <c r="P123" s="20"/>
      <c r="Q123" s="20"/>
      <c r="R123" s="20"/>
      <c r="S123" s="20"/>
      <c r="T123" s="20"/>
    </row>
    <row r="124" spans="1:20" ht="13.5">
      <c r="A124" s="20"/>
      <c r="B124" s="20"/>
      <c r="C124" s="20"/>
      <c r="D124" s="20"/>
      <c r="E124" s="20"/>
      <c r="F124" s="20"/>
      <c r="G124" s="20"/>
      <c r="H124" s="20"/>
      <c r="I124" s="20"/>
      <c r="J124" s="20"/>
      <c r="K124" s="20"/>
      <c r="L124" s="20"/>
      <c r="M124" s="20"/>
      <c r="N124" s="20"/>
      <c r="O124" s="20"/>
      <c r="P124" s="20"/>
      <c r="Q124" s="20"/>
      <c r="R124" s="20"/>
      <c r="S124" s="20"/>
      <c r="T124" s="20"/>
    </row>
    <row r="125" spans="1:20" ht="13.5">
      <c r="A125" s="20"/>
      <c r="B125" s="20"/>
      <c r="C125" s="20"/>
      <c r="D125" s="20"/>
      <c r="E125" s="20"/>
      <c r="F125" s="20"/>
      <c r="G125" s="20"/>
      <c r="H125" s="20"/>
      <c r="I125" s="20"/>
      <c r="J125" s="20"/>
      <c r="K125" s="20"/>
      <c r="L125" s="20"/>
      <c r="M125" s="20"/>
      <c r="N125" s="20"/>
      <c r="O125" s="20"/>
      <c r="P125" s="20"/>
      <c r="Q125" s="20"/>
      <c r="R125" s="20"/>
      <c r="S125" s="20"/>
      <c r="T125" s="20"/>
    </row>
    <row r="126" spans="1:20" ht="13.5">
      <c r="A126" s="20"/>
      <c r="B126" s="20"/>
      <c r="C126" s="20"/>
      <c r="D126" s="20"/>
      <c r="E126" s="20"/>
      <c r="F126" s="20"/>
      <c r="G126" s="20"/>
      <c r="H126" s="20"/>
      <c r="I126" s="20"/>
      <c r="J126" s="20"/>
      <c r="K126" s="20"/>
      <c r="L126" s="20"/>
      <c r="M126" s="20"/>
      <c r="N126" s="20"/>
      <c r="O126" s="20"/>
      <c r="P126" s="20"/>
      <c r="Q126" s="20"/>
      <c r="R126" s="20"/>
      <c r="S126" s="20"/>
      <c r="T126" s="20"/>
    </row>
    <row r="127" spans="1:20" ht="13.5">
      <c r="A127" s="20"/>
      <c r="B127" s="20"/>
      <c r="C127" s="20"/>
      <c r="D127" s="20"/>
      <c r="E127" s="20"/>
      <c r="F127" s="20"/>
      <c r="G127" s="20"/>
      <c r="H127" s="20"/>
      <c r="I127" s="20"/>
      <c r="J127" s="20"/>
      <c r="K127" s="20"/>
      <c r="L127" s="20"/>
      <c r="M127" s="20"/>
      <c r="N127" s="20"/>
      <c r="O127" s="20"/>
      <c r="P127" s="20"/>
      <c r="Q127" s="20"/>
      <c r="R127" s="20"/>
      <c r="S127" s="20"/>
      <c r="T127" s="20"/>
    </row>
    <row r="128" spans="1:20" ht="13.5">
      <c r="A128" s="20"/>
      <c r="B128" s="20"/>
      <c r="C128" s="20"/>
      <c r="D128" s="20"/>
      <c r="E128" s="20"/>
      <c r="F128" s="20"/>
      <c r="G128" s="20"/>
      <c r="H128" s="20"/>
      <c r="I128" s="20"/>
      <c r="J128" s="20"/>
      <c r="K128" s="20"/>
      <c r="L128" s="20"/>
      <c r="M128" s="20"/>
      <c r="N128" s="20"/>
      <c r="O128" s="20"/>
      <c r="P128" s="20"/>
      <c r="Q128" s="20"/>
      <c r="R128" s="20"/>
      <c r="S128" s="20"/>
      <c r="T128" s="20"/>
    </row>
    <row r="129" spans="1:20" ht="13.5">
      <c r="A129" s="20"/>
      <c r="B129" s="20"/>
      <c r="C129" s="20"/>
      <c r="D129" s="20"/>
      <c r="E129" s="20"/>
      <c r="F129" s="20"/>
      <c r="G129" s="20"/>
      <c r="H129" s="20"/>
      <c r="I129" s="20"/>
      <c r="J129" s="20"/>
      <c r="K129" s="20"/>
      <c r="L129" s="20"/>
      <c r="M129" s="20"/>
      <c r="N129" s="20"/>
      <c r="O129" s="20"/>
      <c r="P129" s="20"/>
      <c r="Q129" s="20"/>
      <c r="R129" s="20"/>
      <c r="S129" s="20"/>
      <c r="T129" s="20"/>
    </row>
    <row r="130" spans="1:20" ht="13.5">
      <c r="A130" s="20"/>
      <c r="B130" s="20"/>
      <c r="C130" s="20"/>
      <c r="D130" s="20"/>
      <c r="E130" s="20"/>
      <c r="F130" s="20"/>
      <c r="G130" s="20"/>
      <c r="H130" s="20"/>
      <c r="I130" s="20"/>
      <c r="J130" s="20"/>
      <c r="K130" s="20"/>
      <c r="L130" s="20"/>
      <c r="M130" s="20"/>
      <c r="N130" s="20"/>
      <c r="O130" s="20"/>
      <c r="P130" s="20"/>
      <c r="Q130" s="20"/>
      <c r="R130" s="20"/>
      <c r="S130" s="20"/>
      <c r="T130" s="20"/>
    </row>
    <row r="131" spans="1:20" ht="13.5">
      <c r="A131" s="20"/>
      <c r="B131" s="20"/>
      <c r="C131" s="20"/>
      <c r="D131" s="20"/>
      <c r="E131" s="20"/>
      <c r="F131" s="20"/>
      <c r="G131" s="20"/>
      <c r="H131" s="20"/>
      <c r="I131" s="20"/>
      <c r="J131" s="20"/>
      <c r="K131" s="20"/>
      <c r="L131" s="20"/>
      <c r="M131" s="20"/>
      <c r="N131" s="20"/>
      <c r="O131" s="20"/>
      <c r="P131" s="20"/>
      <c r="Q131" s="20"/>
      <c r="R131" s="20"/>
      <c r="S131" s="20"/>
      <c r="T131" s="20"/>
    </row>
    <row r="132" spans="1:20" ht="13.5">
      <c r="A132" s="20"/>
      <c r="B132" s="20"/>
      <c r="C132" s="20"/>
      <c r="D132" s="20"/>
      <c r="E132" s="20"/>
      <c r="F132" s="20"/>
      <c r="G132" s="20"/>
      <c r="H132" s="20"/>
      <c r="I132" s="20"/>
      <c r="J132" s="20"/>
      <c r="K132" s="20"/>
      <c r="L132" s="20"/>
      <c r="M132" s="20"/>
      <c r="N132" s="20"/>
      <c r="O132" s="20"/>
      <c r="P132" s="20"/>
      <c r="Q132" s="20"/>
      <c r="R132" s="20"/>
      <c r="S132" s="20"/>
      <c r="T132" s="20"/>
    </row>
    <row r="133" spans="1:20" ht="13.5">
      <c r="A133" s="20"/>
      <c r="B133" s="20"/>
      <c r="C133" s="20"/>
      <c r="D133" s="20"/>
      <c r="E133" s="20"/>
      <c r="F133" s="20"/>
      <c r="G133" s="20"/>
      <c r="H133" s="20"/>
      <c r="I133" s="20"/>
      <c r="J133" s="20"/>
      <c r="K133" s="20"/>
      <c r="L133" s="20"/>
      <c r="M133" s="20"/>
      <c r="N133" s="20"/>
      <c r="O133" s="20"/>
      <c r="P133" s="20"/>
      <c r="Q133" s="20"/>
      <c r="R133" s="20"/>
      <c r="S133" s="20"/>
      <c r="T133" s="20"/>
    </row>
    <row r="134" spans="1:20" ht="13.5">
      <c r="A134" s="20"/>
      <c r="B134" s="20"/>
      <c r="C134" s="20"/>
      <c r="D134" s="20"/>
      <c r="E134" s="20"/>
      <c r="F134" s="20"/>
      <c r="G134" s="20"/>
      <c r="H134" s="20"/>
      <c r="I134" s="20"/>
      <c r="J134" s="20"/>
      <c r="K134" s="20"/>
      <c r="L134" s="20"/>
      <c r="M134" s="20"/>
      <c r="N134" s="20"/>
      <c r="O134" s="20"/>
      <c r="P134" s="20"/>
      <c r="Q134" s="20"/>
      <c r="R134" s="20"/>
      <c r="S134" s="20"/>
      <c r="T134" s="20"/>
    </row>
    <row r="135" spans="1:20" ht="13.5">
      <c r="A135" s="20"/>
      <c r="B135" s="20"/>
      <c r="C135" s="20"/>
      <c r="D135" s="20"/>
      <c r="E135" s="20"/>
      <c r="F135" s="20"/>
      <c r="G135" s="20"/>
      <c r="H135" s="20"/>
      <c r="I135" s="20"/>
      <c r="J135" s="20"/>
      <c r="K135" s="20"/>
      <c r="L135" s="20"/>
      <c r="M135" s="20"/>
      <c r="N135" s="20"/>
      <c r="O135" s="20"/>
      <c r="P135" s="20"/>
      <c r="Q135" s="20"/>
      <c r="R135" s="20"/>
      <c r="S135" s="20"/>
      <c r="T135" s="20"/>
    </row>
    <row r="136" spans="1:20" ht="13.5">
      <c r="A136" s="20"/>
      <c r="B136" s="20"/>
      <c r="C136" s="20"/>
      <c r="D136" s="20"/>
      <c r="E136" s="20"/>
      <c r="F136" s="20"/>
      <c r="G136" s="20"/>
      <c r="H136" s="20"/>
      <c r="I136" s="20"/>
      <c r="J136" s="20"/>
      <c r="K136" s="20"/>
      <c r="L136" s="20"/>
      <c r="M136" s="20"/>
      <c r="N136" s="20"/>
      <c r="O136" s="20"/>
      <c r="P136" s="20"/>
      <c r="Q136" s="20"/>
      <c r="R136" s="20"/>
      <c r="S136" s="20"/>
      <c r="T136" s="20"/>
    </row>
    <row r="137" spans="1:20" ht="13.5">
      <c r="A137" s="20"/>
      <c r="B137" s="20"/>
      <c r="C137" s="20"/>
      <c r="D137" s="20"/>
      <c r="E137" s="20"/>
      <c r="F137" s="20"/>
      <c r="G137" s="20"/>
      <c r="H137" s="20"/>
      <c r="I137" s="20"/>
      <c r="J137" s="20"/>
      <c r="K137" s="20"/>
      <c r="L137" s="20"/>
      <c r="M137" s="20"/>
      <c r="N137" s="20"/>
      <c r="O137" s="20"/>
      <c r="P137" s="20"/>
      <c r="Q137" s="20"/>
      <c r="R137" s="20"/>
      <c r="S137" s="20"/>
      <c r="T137" s="20"/>
    </row>
    <row r="138" spans="1:20" ht="13.5">
      <c r="A138" s="20"/>
      <c r="B138" s="20"/>
      <c r="C138" s="20"/>
      <c r="D138" s="20"/>
      <c r="E138" s="20"/>
      <c r="F138" s="20"/>
      <c r="G138" s="20"/>
      <c r="H138" s="20"/>
      <c r="I138" s="20"/>
      <c r="J138" s="20"/>
      <c r="K138" s="20"/>
      <c r="L138" s="20"/>
      <c r="M138" s="20"/>
      <c r="N138" s="20"/>
      <c r="O138" s="20"/>
      <c r="P138" s="20"/>
      <c r="Q138" s="20"/>
      <c r="R138" s="20"/>
      <c r="S138" s="20"/>
      <c r="T138" s="20"/>
    </row>
    <row r="139" spans="1:20" ht="13.5">
      <c r="A139" s="20"/>
      <c r="B139" s="20"/>
      <c r="C139" s="20"/>
      <c r="D139" s="20"/>
      <c r="E139" s="20"/>
      <c r="F139" s="20"/>
      <c r="G139" s="20"/>
      <c r="H139" s="20"/>
      <c r="I139" s="20"/>
      <c r="J139" s="20"/>
      <c r="K139" s="20"/>
      <c r="L139" s="20"/>
      <c r="M139" s="20"/>
      <c r="N139" s="20"/>
      <c r="O139" s="20"/>
      <c r="P139" s="20"/>
      <c r="Q139" s="20"/>
      <c r="R139" s="20"/>
      <c r="S139" s="20"/>
      <c r="T139" s="20"/>
    </row>
    <row r="140" spans="1:20" ht="13.5">
      <c r="A140" s="20"/>
      <c r="B140" s="20"/>
      <c r="C140" s="20"/>
      <c r="D140" s="20"/>
      <c r="E140" s="20"/>
      <c r="F140" s="20"/>
      <c r="G140" s="20"/>
      <c r="H140" s="20"/>
      <c r="I140" s="20"/>
      <c r="J140" s="20"/>
      <c r="K140" s="20"/>
      <c r="L140" s="20"/>
      <c r="M140" s="20"/>
      <c r="N140" s="20"/>
      <c r="O140" s="20"/>
      <c r="P140" s="20"/>
      <c r="Q140" s="20"/>
      <c r="R140" s="20"/>
      <c r="S140" s="20"/>
      <c r="T140" s="20"/>
    </row>
    <row r="141" spans="1:20" ht="13.5">
      <c r="A141" s="20"/>
      <c r="B141" s="20"/>
      <c r="C141" s="20"/>
      <c r="D141" s="20"/>
      <c r="E141" s="20"/>
      <c r="F141" s="20"/>
      <c r="G141" s="20"/>
      <c r="H141" s="20"/>
      <c r="I141" s="20"/>
      <c r="J141" s="20"/>
      <c r="K141" s="20"/>
      <c r="L141" s="20"/>
      <c r="M141" s="20"/>
      <c r="N141" s="20"/>
      <c r="O141" s="20"/>
      <c r="P141" s="20"/>
      <c r="Q141" s="20"/>
      <c r="R141" s="20"/>
      <c r="S141" s="20"/>
      <c r="T141" s="20"/>
    </row>
    <row r="142" spans="1:20" ht="13.5">
      <c r="A142" s="20"/>
      <c r="B142" s="20"/>
      <c r="C142" s="20"/>
      <c r="D142" s="20"/>
      <c r="E142" s="20"/>
      <c r="F142" s="20"/>
      <c r="G142" s="20"/>
      <c r="H142" s="20"/>
      <c r="I142" s="20"/>
      <c r="J142" s="20"/>
      <c r="K142" s="20"/>
      <c r="L142" s="20"/>
      <c r="M142" s="20"/>
      <c r="N142" s="20"/>
      <c r="O142" s="20"/>
      <c r="P142" s="20"/>
      <c r="Q142" s="20"/>
      <c r="R142" s="20"/>
      <c r="S142" s="20"/>
      <c r="T142" s="20"/>
    </row>
    <row r="143" spans="1:20" ht="13.5">
      <c r="A143" s="20"/>
      <c r="B143" s="20"/>
      <c r="C143" s="20"/>
      <c r="D143" s="20"/>
      <c r="E143" s="20"/>
      <c r="F143" s="20"/>
      <c r="G143" s="20"/>
      <c r="H143" s="20"/>
      <c r="I143" s="20"/>
      <c r="J143" s="20"/>
      <c r="K143" s="20"/>
      <c r="L143" s="20"/>
      <c r="M143" s="20"/>
      <c r="N143" s="20"/>
      <c r="O143" s="20"/>
      <c r="P143" s="20"/>
      <c r="Q143" s="20"/>
      <c r="R143" s="20"/>
      <c r="S143" s="20"/>
      <c r="T143" s="20"/>
    </row>
    <row r="144" spans="1:20" ht="13.5">
      <c r="A144" s="20"/>
      <c r="B144" s="20"/>
      <c r="C144" s="20"/>
      <c r="D144" s="20"/>
      <c r="E144" s="20"/>
      <c r="F144" s="20"/>
      <c r="G144" s="20"/>
      <c r="H144" s="20"/>
      <c r="I144" s="20"/>
      <c r="J144" s="20"/>
      <c r="K144" s="20"/>
      <c r="L144" s="20"/>
      <c r="M144" s="20"/>
      <c r="N144" s="20"/>
      <c r="O144" s="20"/>
      <c r="P144" s="20"/>
      <c r="Q144" s="20"/>
      <c r="R144" s="20"/>
      <c r="S144" s="20"/>
      <c r="T144" s="20"/>
    </row>
    <row r="145" spans="1:20" ht="13.5">
      <c r="A145" s="20"/>
      <c r="B145" s="20"/>
      <c r="C145" s="20"/>
      <c r="D145" s="20"/>
      <c r="E145" s="20"/>
      <c r="F145" s="20"/>
      <c r="G145" s="20"/>
      <c r="H145" s="20"/>
      <c r="I145" s="20"/>
      <c r="J145" s="20"/>
      <c r="K145" s="20"/>
      <c r="L145" s="20"/>
      <c r="M145" s="20"/>
      <c r="N145" s="20"/>
      <c r="O145" s="20"/>
      <c r="P145" s="20"/>
      <c r="Q145" s="20"/>
      <c r="R145" s="20"/>
      <c r="S145" s="20"/>
      <c r="T145" s="20"/>
    </row>
    <row r="146" spans="1:20" ht="13.5">
      <c r="A146" s="20"/>
      <c r="B146" s="20"/>
      <c r="C146" s="20"/>
      <c r="D146" s="20"/>
      <c r="E146" s="20"/>
      <c r="F146" s="20"/>
      <c r="G146" s="20"/>
      <c r="H146" s="20"/>
      <c r="I146" s="20"/>
      <c r="J146" s="20"/>
      <c r="K146" s="20"/>
      <c r="L146" s="20"/>
      <c r="M146" s="20"/>
      <c r="N146" s="20"/>
      <c r="O146" s="20"/>
      <c r="P146" s="20"/>
      <c r="Q146" s="20"/>
      <c r="R146" s="20"/>
      <c r="S146" s="20"/>
      <c r="T146" s="20"/>
    </row>
    <row r="147" spans="1:20" ht="13.5">
      <c r="A147" s="20"/>
      <c r="B147" s="20"/>
      <c r="C147" s="20"/>
      <c r="D147" s="20"/>
      <c r="E147" s="20"/>
      <c r="F147" s="20"/>
      <c r="G147" s="20"/>
      <c r="H147" s="20"/>
      <c r="I147" s="20"/>
      <c r="J147" s="20"/>
      <c r="K147" s="20"/>
      <c r="L147" s="20"/>
      <c r="M147" s="20"/>
      <c r="N147" s="20"/>
      <c r="O147" s="20"/>
      <c r="P147" s="20"/>
      <c r="Q147" s="20"/>
      <c r="R147" s="20"/>
      <c r="S147" s="20"/>
      <c r="T147" s="20"/>
    </row>
    <row r="148" spans="1:20" ht="13.5">
      <c r="A148" s="20"/>
      <c r="B148" s="20"/>
      <c r="C148" s="20"/>
      <c r="D148" s="20"/>
      <c r="E148" s="20"/>
      <c r="F148" s="20"/>
      <c r="G148" s="20"/>
      <c r="H148" s="20"/>
      <c r="I148" s="20"/>
      <c r="J148" s="20"/>
      <c r="K148" s="20"/>
      <c r="L148" s="20"/>
      <c r="M148" s="20"/>
      <c r="N148" s="20"/>
      <c r="O148" s="20"/>
      <c r="P148" s="20"/>
      <c r="Q148" s="20"/>
      <c r="R148" s="20"/>
      <c r="S148" s="20"/>
      <c r="T148" s="20"/>
    </row>
    <row r="149" spans="1:20" ht="13.5">
      <c r="A149" s="20"/>
      <c r="B149" s="20"/>
      <c r="C149" s="20"/>
      <c r="D149" s="20"/>
      <c r="E149" s="20"/>
      <c r="F149" s="20"/>
      <c r="G149" s="20"/>
      <c r="H149" s="20"/>
      <c r="I149" s="20"/>
      <c r="J149" s="20"/>
      <c r="K149" s="20"/>
      <c r="L149" s="20"/>
      <c r="M149" s="20"/>
      <c r="N149" s="20"/>
      <c r="O149" s="20"/>
      <c r="P149" s="20"/>
      <c r="Q149" s="20"/>
      <c r="R149" s="20"/>
      <c r="S149" s="20"/>
      <c r="T149" s="20"/>
    </row>
    <row r="150" spans="1:20" ht="13.5">
      <c r="A150" s="20"/>
      <c r="B150" s="20"/>
      <c r="C150" s="20"/>
      <c r="D150" s="20"/>
      <c r="E150" s="20"/>
      <c r="F150" s="20"/>
      <c r="G150" s="20"/>
      <c r="H150" s="20"/>
      <c r="I150" s="20"/>
      <c r="J150" s="20"/>
      <c r="K150" s="20"/>
      <c r="L150" s="20"/>
      <c r="M150" s="20"/>
      <c r="N150" s="20"/>
      <c r="O150" s="20"/>
      <c r="P150" s="20"/>
      <c r="Q150" s="20"/>
      <c r="R150" s="20"/>
      <c r="S150" s="20"/>
      <c r="T150" s="20"/>
    </row>
    <row r="151" spans="1:20" ht="13.5">
      <c r="A151" s="20"/>
      <c r="B151" s="20"/>
      <c r="C151" s="20"/>
      <c r="D151" s="20"/>
      <c r="E151" s="20"/>
      <c r="F151" s="20"/>
      <c r="G151" s="20"/>
      <c r="H151" s="20"/>
      <c r="I151" s="20"/>
      <c r="J151" s="20"/>
      <c r="K151" s="20"/>
      <c r="L151" s="20"/>
      <c r="M151" s="20"/>
      <c r="N151" s="20"/>
      <c r="O151" s="20"/>
      <c r="P151" s="20"/>
      <c r="Q151" s="20"/>
      <c r="R151" s="20"/>
      <c r="S151" s="20"/>
      <c r="T151" s="20"/>
    </row>
    <row r="152" spans="1:20" ht="13.5">
      <c r="A152" s="20"/>
      <c r="B152" s="20"/>
      <c r="C152" s="20"/>
      <c r="D152" s="20"/>
      <c r="E152" s="20"/>
      <c r="F152" s="20"/>
      <c r="G152" s="20"/>
      <c r="H152" s="20"/>
      <c r="I152" s="20"/>
      <c r="J152" s="20"/>
      <c r="K152" s="20"/>
      <c r="L152" s="20"/>
      <c r="M152" s="20"/>
      <c r="N152" s="20"/>
      <c r="O152" s="20"/>
      <c r="P152" s="20"/>
      <c r="Q152" s="20"/>
      <c r="R152" s="20"/>
      <c r="S152" s="20"/>
      <c r="T152" s="20"/>
    </row>
    <row r="153" spans="1:20" ht="13.5">
      <c r="A153" s="20"/>
      <c r="B153" s="20"/>
      <c r="C153" s="20"/>
      <c r="D153" s="20"/>
      <c r="E153" s="20"/>
      <c r="F153" s="20"/>
      <c r="G153" s="20"/>
      <c r="H153" s="20"/>
      <c r="I153" s="20"/>
      <c r="J153" s="20"/>
      <c r="K153" s="20"/>
      <c r="L153" s="20"/>
      <c r="M153" s="20"/>
      <c r="N153" s="20"/>
      <c r="O153" s="20"/>
      <c r="P153" s="20"/>
      <c r="Q153" s="20"/>
      <c r="R153" s="20"/>
      <c r="S153" s="20"/>
      <c r="T153" s="20"/>
    </row>
    <row r="154" spans="1:20" ht="13.5">
      <c r="A154" s="20"/>
      <c r="B154" s="20"/>
      <c r="C154" s="20"/>
      <c r="D154" s="20"/>
      <c r="E154" s="20"/>
      <c r="F154" s="20"/>
      <c r="G154" s="20"/>
      <c r="H154" s="20"/>
      <c r="I154" s="20"/>
      <c r="J154" s="20"/>
      <c r="K154" s="20"/>
      <c r="L154" s="20"/>
      <c r="M154" s="20"/>
      <c r="N154" s="20"/>
      <c r="O154" s="20"/>
      <c r="P154" s="20"/>
      <c r="Q154" s="20"/>
      <c r="R154" s="20"/>
      <c r="S154" s="20"/>
      <c r="T154" s="20"/>
    </row>
    <row r="155" spans="1:20" ht="13.5">
      <c r="A155" s="20"/>
      <c r="B155" s="20"/>
      <c r="C155" s="20"/>
      <c r="D155" s="20"/>
      <c r="E155" s="20"/>
      <c r="F155" s="20"/>
      <c r="G155" s="20"/>
      <c r="H155" s="20"/>
      <c r="I155" s="20"/>
      <c r="J155" s="20"/>
      <c r="K155" s="20"/>
      <c r="L155" s="20"/>
      <c r="M155" s="20"/>
      <c r="N155" s="20"/>
      <c r="O155" s="20"/>
      <c r="P155" s="20"/>
      <c r="Q155" s="20"/>
      <c r="R155" s="20"/>
      <c r="S155" s="20"/>
      <c r="T155" s="20"/>
    </row>
    <row r="156" spans="1:20" ht="13.5">
      <c r="A156" s="20"/>
      <c r="B156" s="20"/>
      <c r="C156" s="20"/>
      <c r="D156" s="20"/>
      <c r="E156" s="20"/>
      <c r="F156" s="20"/>
      <c r="G156" s="20"/>
      <c r="H156" s="20"/>
      <c r="I156" s="20"/>
      <c r="J156" s="20"/>
      <c r="K156" s="20"/>
      <c r="L156" s="20"/>
      <c r="M156" s="20"/>
      <c r="N156" s="20"/>
      <c r="O156" s="20"/>
      <c r="P156" s="20"/>
      <c r="Q156" s="20"/>
      <c r="R156" s="20"/>
      <c r="S156" s="20"/>
      <c r="T156" s="20"/>
    </row>
    <row r="157" spans="1:20" ht="13.5">
      <c r="A157" s="20"/>
      <c r="B157" s="20"/>
      <c r="C157" s="20"/>
      <c r="D157" s="20"/>
      <c r="E157" s="20"/>
      <c r="F157" s="20"/>
      <c r="G157" s="20"/>
      <c r="H157" s="20"/>
      <c r="I157" s="20"/>
      <c r="J157" s="20"/>
      <c r="K157" s="20"/>
      <c r="L157" s="20"/>
      <c r="M157" s="20"/>
      <c r="N157" s="20"/>
      <c r="O157" s="20"/>
      <c r="P157" s="20"/>
      <c r="Q157" s="20"/>
      <c r="R157" s="20"/>
      <c r="S157" s="20"/>
      <c r="T157" s="20"/>
    </row>
    <row r="158" spans="1:20" ht="13.5">
      <c r="A158" s="20"/>
      <c r="B158" s="20"/>
      <c r="C158" s="20"/>
      <c r="D158" s="20"/>
      <c r="E158" s="20"/>
      <c r="F158" s="20"/>
      <c r="G158" s="20"/>
      <c r="H158" s="20"/>
      <c r="I158" s="20"/>
      <c r="J158" s="20"/>
      <c r="K158" s="20"/>
      <c r="L158" s="20"/>
      <c r="M158" s="20"/>
      <c r="N158" s="20"/>
      <c r="O158" s="20"/>
      <c r="P158" s="20"/>
      <c r="Q158" s="20"/>
      <c r="R158" s="20"/>
      <c r="S158" s="20"/>
      <c r="T158" s="20"/>
    </row>
    <row r="159" spans="1:20" ht="13.5">
      <c r="A159" s="20"/>
      <c r="B159" s="20"/>
      <c r="C159" s="20"/>
      <c r="D159" s="20"/>
      <c r="E159" s="20"/>
      <c r="F159" s="20"/>
      <c r="G159" s="20"/>
      <c r="H159" s="20"/>
      <c r="I159" s="20"/>
      <c r="J159" s="20"/>
      <c r="K159" s="20"/>
      <c r="L159" s="20"/>
      <c r="M159" s="20"/>
      <c r="N159" s="20"/>
      <c r="O159" s="20"/>
      <c r="P159" s="20"/>
      <c r="Q159" s="20"/>
      <c r="R159" s="20"/>
      <c r="S159" s="20"/>
      <c r="T159" s="20"/>
    </row>
    <row r="160" spans="1:20" ht="13.5">
      <c r="A160" s="20"/>
      <c r="B160" s="20"/>
      <c r="C160" s="20"/>
      <c r="D160" s="20"/>
      <c r="E160" s="20"/>
      <c r="F160" s="20"/>
      <c r="G160" s="20"/>
      <c r="H160" s="20"/>
      <c r="I160" s="20"/>
      <c r="J160" s="20"/>
      <c r="K160" s="20"/>
      <c r="L160" s="20"/>
      <c r="M160" s="20"/>
      <c r="N160" s="20"/>
      <c r="O160" s="20"/>
      <c r="P160" s="20"/>
      <c r="Q160" s="20"/>
      <c r="R160" s="20"/>
      <c r="S160" s="20"/>
      <c r="T160" s="20"/>
    </row>
    <row r="161" spans="1:20" ht="13.5">
      <c r="A161" s="20"/>
      <c r="B161" s="20"/>
      <c r="C161" s="20"/>
      <c r="D161" s="20"/>
      <c r="E161" s="20"/>
      <c r="F161" s="20"/>
      <c r="G161" s="20"/>
      <c r="H161" s="20"/>
      <c r="I161" s="20"/>
      <c r="J161" s="20"/>
      <c r="K161" s="20"/>
      <c r="L161" s="20"/>
      <c r="M161" s="20"/>
      <c r="N161" s="20"/>
      <c r="O161" s="20"/>
      <c r="P161" s="20"/>
      <c r="Q161" s="20"/>
      <c r="R161" s="20"/>
      <c r="S161" s="20"/>
      <c r="T161" s="20"/>
    </row>
    <row r="162" spans="1:20" ht="13.5">
      <c r="A162" s="20"/>
      <c r="B162" s="20"/>
      <c r="C162" s="20"/>
      <c r="D162" s="20"/>
      <c r="E162" s="20"/>
      <c r="F162" s="20"/>
      <c r="G162" s="20"/>
      <c r="H162" s="20"/>
      <c r="I162" s="20"/>
      <c r="J162" s="20"/>
      <c r="K162" s="20"/>
      <c r="L162" s="20"/>
      <c r="M162" s="20"/>
      <c r="N162" s="20"/>
      <c r="O162" s="20"/>
      <c r="P162" s="20"/>
      <c r="Q162" s="20"/>
      <c r="R162" s="20"/>
      <c r="S162" s="20"/>
      <c r="T162" s="20"/>
    </row>
  </sheetData>
  <sheetProtection/>
  <mergeCells count="16">
    <mergeCell ref="U62:X62"/>
    <mergeCell ref="U60:V60"/>
    <mergeCell ref="W60:X60"/>
    <mergeCell ref="A3:A4"/>
    <mergeCell ref="B60:E60"/>
    <mergeCell ref="H60:I60"/>
    <mergeCell ref="O60:R60"/>
    <mergeCell ref="O61:Q61"/>
    <mergeCell ref="B61:D61"/>
    <mergeCell ref="A59:A61"/>
    <mergeCell ref="F60:G60"/>
    <mergeCell ref="S60:T60"/>
    <mergeCell ref="J60:N60"/>
    <mergeCell ref="J61:M61"/>
    <mergeCell ref="A26:K26"/>
    <mergeCell ref="A56:F56"/>
  </mergeCells>
  <printOptions/>
  <pageMargins left="0.45" right="0.45" top="0.5" bottom="0.5" header="0" footer="0"/>
  <pageSetup fitToHeight="1" fitToWidth="1" horizontalDpi="600" verticalDpi="600" orientation="landscape" paperSize="17" scale="42" r:id="rId1"/>
  <rowBreaks count="1" manualBreakCount="1">
    <brk id="58" max="19" man="1"/>
  </rowBreaks>
</worksheet>
</file>

<file path=xl/worksheets/sheet8.xml><?xml version="1.0" encoding="utf-8"?>
<worksheet xmlns="http://schemas.openxmlformats.org/spreadsheetml/2006/main" xmlns:r="http://schemas.openxmlformats.org/officeDocument/2006/relationships">
  <sheetPr>
    <pageSetUpPr fitToPage="1"/>
  </sheetPr>
  <dimension ref="A1:Z98"/>
  <sheetViews>
    <sheetView zoomScalePageLayoutView="0" workbookViewId="0" topLeftCell="A1">
      <selection activeCell="A1" sqref="A1"/>
    </sheetView>
  </sheetViews>
  <sheetFormatPr defaultColWidth="9.140625" defaultRowHeight="12.75"/>
  <cols>
    <col min="1" max="25" width="16.7109375" style="0" customWidth="1"/>
  </cols>
  <sheetData>
    <row r="1" spans="1:26" ht="18">
      <c r="A1" s="316" t="s">
        <v>323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row>
    <row r="2" spans="1:26" ht="18">
      <c r="A2" s="317"/>
      <c r="B2" s="318"/>
      <c r="C2" s="255"/>
      <c r="D2" s="255"/>
      <c r="E2" s="319"/>
      <c r="F2" s="320"/>
      <c r="G2" s="321"/>
      <c r="H2" s="255"/>
      <c r="I2" s="255"/>
      <c r="J2" s="255"/>
      <c r="K2" s="255"/>
      <c r="L2" s="255"/>
      <c r="M2" s="255"/>
      <c r="N2" s="255"/>
      <c r="O2" s="255"/>
      <c r="P2" s="255"/>
      <c r="Q2" s="255"/>
      <c r="R2" s="255"/>
      <c r="S2" s="255"/>
      <c r="T2" s="255"/>
      <c r="U2" s="255"/>
      <c r="V2" s="255"/>
      <c r="W2" s="255"/>
      <c r="X2" s="255"/>
      <c r="Y2" s="255"/>
      <c r="Z2" s="255"/>
    </row>
    <row r="3" spans="1:26" ht="15">
      <c r="A3" s="684" t="s">
        <v>66</v>
      </c>
      <c r="B3" s="684"/>
      <c r="C3" s="322"/>
      <c r="D3" s="322"/>
      <c r="E3" s="322"/>
      <c r="F3" s="322"/>
      <c r="G3" s="322"/>
      <c r="H3" s="322"/>
      <c r="I3" s="372" t="s">
        <v>24</v>
      </c>
      <c r="J3" s="372"/>
      <c r="K3" s="255"/>
      <c r="L3" s="255"/>
      <c r="M3" s="255"/>
      <c r="N3" s="255"/>
      <c r="O3" s="255"/>
      <c r="P3" s="255"/>
      <c r="Q3" s="255"/>
      <c r="R3" s="255"/>
      <c r="S3" s="255"/>
      <c r="T3" s="255"/>
      <c r="U3" s="255"/>
      <c r="V3" s="255"/>
      <c r="W3" s="255"/>
      <c r="X3" s="255"/>
      <c r="Y3" s="255"/>
      <c r="Z3" s="255"/>
    </row>
    <row r="4" spans="1:26" ht="60" customHeight="1">
      <c r="A4" s="373" t="s">
        <v>191</v>
      </c>
      <c r="B4" s="374" t="s">
        <v>196</v>
      </c>
      <c r="C4" s="374" t="s">
        <v>202</v>
      </c>
      <c r="D4" s="572" t="s">
        <v>57</v>
      </c>
      <c r="E4" s="374" t="s">
        <v>200</v>
      </c>
      <c r="F4" s="572" t="s">
        <v>197</v>
      </c>
      <c r="G4" s="374" t="s">
        <v>201</v>
      </c>
      <c r="H4" s="572" t="s">
        <v>59</v>
      </c>
      <c r="I4" s="326"/>
      <c r="J4" s="326"/>
      <c r="K4" s="255"/>
      <c r="L4" s="255"/>
      <c r="M4" s="255"/>
      <c r="N4" s="255"/>
      <c r="O4" s="255"/>
      <c r="P4" s="255"/>
      <c r="Q4" s="255"/>
      <c r="R4" s="255"/>
      <c r="S4" s="255"/>
      <c r="T4" s="255"/>
      <c r="U4" s="255"/>
      <c r="V4" s="255"/>
      <c r="W4" s="255"/>
      <c r="X4" s="255"/>
      <c r="Y4" s="255"/>
      <c r="Z4" s="255"/>
    </row>
    <row r="5" spans="1:26" ht="13.5">
      <c r="A5" s="327" t="s">
        <v>6</v>
      </c>
      <c r="B5" s="328">
        <v>84</v>
      </c>
      <c r="C5" s="328">
        <v>0</v>
      </c>
      <c r="D5" s="573">
        <f>B5+C5</f>
        <v>84</v>
      </c>
      <c r="E5" s="328">
        <v>0</v>
      </c>
      <c r="F5" s="573">
        <f>D5+E5</f>
        <v>84</v>
      </c>
      <c r="G5" s="330">
        <v>0</v>
      </c>
      <c r="H5" s="573">
        <f>F5+G5</f>
        <v>84</v>
      </c>
      <c r="I5" s="318"/>
      <c r="J5" s="318" t="s">
        <v>24</v>
      </c>
      <c r="K5" s="255"/>
      <c r="L5" s="255"/>
      <c r="M5" s="255"/>
      <c r="N5" s="255"/>
      <c r="O5" s="255"/>
      <c r="P5" s="255"/>
      <c r="Q5" s="255"/>
      <c r="R5" s="255"/>
      <c r="S5" s="255"/>
      <c r="T5" s="255"/>
      <c r="U5" s="255"/>
      <c r="V5" s="255"/>
      <c r="W5" s="255"/>
      <c r="X5" s="255"/>
      <c r="Y5" s="255"/>
      <c r="Z5" s="255"/>
    </row>
    <row r="6" spans="1:26" ht="13.5">
      <c r="A6" s="327" t="s">
        <v>29</v>
      </c>
      <c r="B6" s="328">
        <f>$B$5</f>
        <v>84</v>
      </c>
      <c r="C6" s="328">
        <v>0</v>
      </c>
      <c r="D6" s="573">
        <f>B6+C6</f>
        <v>84</v>
      </c>
      <c r="E6" s="328">
        <v>0</v>
      </c>
      <c r="F6" s="573">
        <f aca="true" t="shared" si="0" ref="F6:F17">D6+E6</f>
        <v>84</v>
      </c>
      <c r="G6" s="330">
        <v>0</v>
      </c>
      <c r="H6" s="573">
        <f aca="true" t="shared" si="1" ref="H6:H17">F6+G6</f>
        <v>84</v>
      </c>
      <c r="I6" s="318"/>
      <c r="J6" s="318" t="s">
        <v>24</v>
      </c>
      <c r="K6" s="255" t="s">
        <v>24</v>
      </c>
      <c r="L6" s="255"/>
      <c r="M6" s="255"/>
      <c r="N6" s="255"/>
      <c r="O6" s="255"/>
      <c r="P6" s="255"/>
      <c r="Q6" s="255"/>
      <c r="R6" s="255"/>
      <c r="S6" s="255"/>
      <c r="T6" s="255"/>
      <c r="U6" s="255"/>
      <c r="V6" s="255"/>
      <c r="W6" s="255"/>
      <c r="X6" s="255"/>
      <c r="Y6" s="255"/>
      <c r="Z6" s="255"/>
    </row>
    <row r="7" spans="1:26" ht="13.5">
      <c r="A7" s="327" t="s">
        <v>39</v>
      </c>
      <c r="B7" s="328">
        <f aca="true" t="shared" si="2" ref="B7:B17">$B$5</f>
        <v>84</v>
      </c>
      <c r="C7" s="328">
        <v>0</v>
      </c>
      <c r="D7" s="573">
        <f>B7+C6+C7</f>
        <v>84</v>
      </c>
      <c r="E7" s="328">
        <v>0</v>
      </c>
      <c r="F7" s="573">
        <f t="shared" si="0"/>
        <v>84</v>
      </c>
      <c r="G7" s="330">
        <v>0</v>
      </c>
      <c r="H7" s="573">
        <f t="shared" si="1"/>
        <v>84</v>
      </c>
      <c r="I7" s="318"/>
      <c r="J7" s="318"/>
      <c r="K7" s="255"/>
      <c r="L7" s="255"/>
      <c r="M7" s="255"/>
      <c r="N7" s="255"/>
      <c r="O7" s="255"/>
      <c r="P7" s="255"/>
      <c r="Q7" s="255"/>
      <c r="R7" s="255"/>
      <c r="S7" s="255"/>
      <c r="T7" s="255"/>
      <c r="U7" s="255"/>
      <c r="V7" s="255"/>
      <c r="W7" s="255"/>
      <c r="X7" s="255"/>
      <c r="Y7" s="255"/>
      <c r="Z7" s="255"/>
    </row>
    <row r="8" spans="1:26" ht="13.5">
      <c r="A8" s="327" t="s">
        <v>5</v>
      </c>
      <c r="B8" s="328">
        <f t="shared" si="2"/>
        <v>84</v>
      </c>
      <c r="C8" s="328">
        <v>0</v>
      </c>
      <c r="D8" s="573">
        <f>B8+C6+C8</f>
        <v>84</v>
      </c>
      <c r="E8" s="328">
        <v>0</v>
      </c>
      <c r="F8" s="573">
        <f t="shared" si="0"/>
        <v>84</v>
      </c>
      <c r="G8" s="330">
        <v>0</v>
      </c>
      <c r="H8" s="573">
        <f t="shared" si="1"/>
        <v>84</v>
      </c>
      <c r="I8" s="318" t="s">
        <v>24</v>
      </c>
      <c r="J8" s="318" t="s">
        <v>24</v>
      </c>
      <c r="K8" s="255"/>
      <c r="L8" s="255"/>
      <c r="M8" s="255"/>
      <c r="N8" s="255"/>
      <c r="O8" s="255"/>
      <c r="P8" s="255"/>
      <c r="Q8" s="255"/>
      <c r="R8" s="255"/>
      <c r="S8" s="255"/>
      <c r="T8" s="255"/>
      <c r="U8" s="255"/>
      <c r="V8" s="255"/>
      <c r="W8" s="255"/>
      <c r="X8" s="255"/>
      <c r="Y8" s="255"/>
      <c r="Z8" s="255"/>
    </row>
    <row r="9" spans="1:26" ht="13.5">
      <c r="A9" s="327" t="s">
        <v>8</v>
      </c>
      <c r="B9" s="328">
        <f t="shared" si="2"/>
        <v>84</v>
      </c>
      <c r="C9" s="328">
        <v>59.08</v>
      </c>
      <c r="D9" s="573">
        <f>B9+C6+C7+C9</f>
        <v>143.07999999999998</v>
      </c>
      <c r="E9" s="328">
        <v>0</v>
      </c>
      <c r="F9" s="573">
        <f t="shared" si="0"/>
        <v>143.07999999999998</v>
      </c>
      <c r="G9" s="330">
        <v>0</v>
      </c>
      <c r="H9" s="573">
        <f t="shared" si="1"/>
        <v>143.07999999999998</v>
      </c>
      <c r="I9" s="318"/>
      <c r="J9" s="318"/>
      <c r="K9" s="255"/>
      <c r="L9" s="255"/>
      <c r="M9" s="255"/>
      <c r="N9" s="255"/>
      <c r="O9" s="255"/>
      <c r="P9" s="255"/>
      <c r="Q9" s="255"/>
      <c r="R9" s="255"/>
      <c r="S9" s="255"/>
      <c r="T9" s="255"/>
      <c r="U9" s="255"/>
      <c r="V9" s="255"/>
      <c r="W9" s="255"/>
      <c r="X9" s="255"/>
      <c r="Y9" s="255"/>
      <c r="Z9" s="255"/>
    </row>
    <row r="10" spans="1:26" ht="13.5">
      <c r="A10" s="327" t="s">
        <v>40</v>
      </c>
      <c r="B10" s="328">
        <f t="shared" si="2"/>
        <v>84</v>
      </c>
      <c r="C10" s="328">
        <v>0</v>
      </c>
      <c r="D10" s="573">
        <f>B10+C6+C7+C9+C10</f>
        <v>143.07999999999998</v>
      </c>
      <c r="E10" s="328">
        <v>0</v>
      </c>
      <c r="F10" s="573">
        <f t="shared" si="0"/>
        <v>143.07999999999998</v>
      </c>
      <c r="G10" s="330">
        <v>0</v>
      </c>
      <c r="H10" s="573">
        <f t="shared" si="1"/>
        <v>143.07999999999998</v>
      </c>
      <c r="I10" s="318"/>
      <c r="J10" s="318" t="s">
        <v>24</v>
      </c>
      <c r="K10" s="255"/>
      <c r="L10" s="255"/>
      <c r="M10" s="255"/>
      <c r="N10" s="255"/>
      <c r="O10" s="255"/>
      <c r="P10" s="255"/>
      <c r="Q10" s="255"/>
      <c r="R10" s="255"/>
      <c r="S10" s="255"/>
      <c r="T10" s="255"/>
      <c r="U10" s="255"/>
      <c r="V10" s="255"/>
      <c r="W10" s="255"/>
      <c r="X10" s="255"/>
      <c r="Y10" s="255"/>
      <c r="Z10" s="255"/>
    </row>
    <row r="11" spans="1:26" ht="13.5">
      <c r="A11" s="327" t="s">
        <v>41</v>
      </c>
      <c r="B11" s="328">
        <f t="shared" si="2"/>
        <v>84</v>
      </c>
      <c r="C11" s="328">
        <v>0</v>
      </c>
      <c r="D11" s="573">
        <f>B11+C6+C7+C11</f>
        <v>84</v>
      </c>
      <c r="E11" s="328">
        <v>0</v>
      </c>
      <c r="F11" s="573">
        <f t="shared" si="0"/>
        <v>84</v>
      </c>
      <c r="G11" s="330">
        <v>0</v>
      </c>
      <c r="H11" s="573">
        <f t="shared" si="1"/>
        <v>84</v>
      </c>
      <c r="I11" s="318"/>
      <c r="J11" s="318"/>
      <c r="K11" s="255"/>
      <c r="L11" s="255"/>
      <c r="M11" s="255"/>
      <c r="N11" s="255"/>
      <c r="O11" s="255"/>
      <c r="P11" s="255"/>
      <c r="Q11" s="255"/>
      <c r="R11" s="255"/>
      <c r="S11" s="255"/>
      <c r="T11" s="255"/>
      <c r="U11" s="255"/>
      <c r="V11" s="255"/>
      <c r="W11" s="255"/>
      <c r="X11" s="255"/>
      <c r="Y11" s="255"/>
      <c r="Z11" s="255"/>
    </row>
    <row r="12" spans="1:26" ht="13.5">
      <c r="A12" s="333" t="s">
        <v>15</v>
      </c>
      <c r="B12" s="328">
        <f t="shared" si="2"/>
        <v>84</v>
      </c>
      <c r="C12" s="334">
        <v>0</v>
      </c>
      <c r="D12" s="573">
        <f>B12+C6+C8+C12</f>
        <v>84</v>
      </c>
      <c r="E12" s="328">
        <v>0</v>
      </c>
      <c r="F12" s="573">
        <f t="shared" si="0"/>
        <v>84</v>
      </c>
      <c r="G12" s="330">
        <v>0</v>
      </c>
      <c r="H12" s="573">
        <f t="shared" si="1"/>
        <v>84</v>
      </c>
      <c r="I12" s="318"/>
      <c r="J12" s="318"/>
      <c r="K12" s="255"/>
      <c r="L12" s="255"/>
      <c r="M12" s="255"/>
      <c r="N12" s="255"/>
      <c r="O12" s="255"/>
      <c r="P12" s="255"/>
      <c r="Q12" s="255"/>
      <c r="R12" s="255"/>
      <c r="S12" s="255"/>
      <c r="T12" s="255"/>
      <c r="U12" s="255"/>
      <c r="V12" s="255"/>
      <c r="W12" s="255"/>
      <c r="X12" s="255"/>
      <c r="Y12" s="255"/>
      <c r="Z12" s="255"/>
    </row>
    <row r="13" spans="1:26" ht="13.5">
      <c r="A13" s="333" t="s">
        <v>49</v>
      </c>
      <c r="B13" s="328">
        <f t="shared" si="2"/>
        <v>84</v>
      </c>
      <c r="C13" s="334">
        <v>0</v>
      </c>
      <c r="D13" s="573">
        <f>B13+C13</f>
        <v>84</v>
      </c>
      <c r="E13" s="328">
        <v>0</v>
      </c>
      <c r="F13" s="573">
        <f t="shared" si="0"/>
        <v>84</v>
      </c>
      <c r="G13" s="330">
        <v>0</v>
      </c>
      <c r="H13" s="573">
        <f>F13+G13</f>
        <v>84</v>
      </c>
      <c r="I13" s="318"/>
      <c r="J13" s="318" t="s">
        <v>24</v>
      </c>
      <c r="K13" s="255" t="s">
        <v>24</v>
      </c>
      <c r="L13" s="255"/>
      <c r="M13" s="255"/>
      <c r="N13" s="255"/>
      <c r="O13" s="255"/>
      <c r="P13" s="255"/>
      <c r="Q13" s="255"/>
      <c r="R13" s="255"/>
      <c r="S13" s="255"/>
      <c r="T13" s="255"/>
      <c r="U13" s="255"/>
      <c r="V13" s="255"/>
      <c r="W13" s="255"/>
      <c r="X13" s="255"/>
      <c r="Y13" s="255"/>
      <c r="Z13" s="255"/>
    </row>
    <row r="14" spans="1:26" ht="13.5">
      <c r="A14" s="333" t="s">
        <v>156</v>
      </c>
      <c r="B14" s="328">
        <f t="shared" si="2"/>
        <v>84</v>
      </c>
      <c r="C14" s="334">
        <v>0</v>
      </c>
      <c r="D14" s="573">
        <f>B14+C13+C14</f>
        <v>84</v>
      </c>
      <c r="E14" s="328">
        <v>0</v>
      </c>
      <c r="F14" s="573">
        <f t="shared" si="0"/>
        <v>84</v>
      </c>
      <c r="G14" s="330">
        <v>0</v>
      </c>
      <c r="H14" s="573">
        <f t="shared" si="1"/>
        <v>84</v>
      </c>
      <c r="I14" s="335"/>
      <c r="J14" s="318"/>
      <c r="K14" s="255"/>
      <c r="L14" s="255"/>
      <c r="M14" s="255"/>
      <c r="N14" s="255"/>
      <c r="O14" s="255"/>
      <c r="P14" s="255"/>
      <c r="Q14" s="255"/>
      <c r="R14" s="255"/>
      <c r="S14" s="255"/>
      <c r="T14" s="255"/>
      <c r="U14" s="255"/>
      <c r="V14" s="255"/>
      <c r="W14" s="255"/>
      <c r="X14" s="255"/>
      <c r="Y14" s="255"/>
      <c r="Z14" s="255"/>
    </row>
    <row r="15" spans="1:26" ht="13.5">
      <c r="A15" s="333" t="s">
        <v>20</v>
      </c>
      <c r="B15" s="328">
        <f t="shared" si="2"/>
        <v>84</v>
      </c>
      <c r="C15" s="334">
        <v>0</v>
      </c>
      <c r="D15" s="573">
        <f>B15+C15</f>
        <v>84</v>
      </c>
      <c r="E15" s="328">
        <v>0</v>
      </c>
      <c r="F15" s="573">
        <f t="shared" si="0"/>
        <v>84</v>
      </c>
      <c r="G15" s="330">
        <v>0</v>
      </c>
      <c r="H15" s="573">
        <f t="shared" si="1"/>
        <v>84</v>
      </c>
      <c r="I15" s="340" t="s">
        <v>24</v>
      </c>
      <c r="J15" s="340"/>
      <c r="K15" s="255"/>
      <c r="L15" s="255"/>
      <c r="M15" s="255"/>
      <c r="N15" s="255"/>
      <c r="O15" s="255"/>
      <c r="P15" s="255"/>
      <c r="Q15" s="255"/>
      <c r="R15" s="255"/>
      <c r="S15" s="255"/>
      <c r="T15" s="255"/>
      <c r="U15" s="255"/>
      <c r="V15" s="255"/>
      <c r="W15" s="255"/>
      <c r="X15" s="255"/>
      <c r="Y15" s="255"/>
      <c r="Z15" s="255"/>
    </row>
    <row r="16" spans="1:26" ht="13.5">
      <c r="A16" s="333" t="s">
        <v>11</v>
      </c>
      <c r="B16" s="328">
        <f t="shared" si="2"/>
        <v>84</v>
      </c>
      <c r="C16" s="334">
        <v>0</v>
      </c>
      <c r="D16" s="573">
        <f>B16+C6+C8+C16</f>
        <v>84</v>
      </c>
      <c r="E16" s="328">
        <v>0</v>
      </c>
      <c r="F16" s="573">
        <f t="shared" si="0"/>
        <v>84</v>
      </c>
      <c r="G16" s="330">
        <v>0</v>
      </c>
      <c r="H16" s="573">
        <f t="shared" si="1"/>
        <v>84</v>
      </c>
      <c r="I16" s="340"/>
      <c r="J16" s="340"/>
      <c r="K16" s="255"/>
      <c r="L16" s="255"/>
      <c r="M16" s="255"/>
      <c r="N16" s="255"/>
      <c r="O16" s="255"/>
      <c r="P16" s="255"/>
      <c r="Q16" s="255"/>
      <c r="R16" s="255"/>
      <c r="S16" s="255"/>
      <c r="T16" s="255"/>
      <c r="U16" s="255"/>
      <c r="V16" s="255"/>
      <c r="W16" s="255"/>
      <c r="X16" s="255"/>
      <c r="Y16" s="255"/>
      <c r="Z16" s="255"/>
    </row>
    <row r="17" spans="1:26" ht="13.5">
      <c r="A17" s="333" t="s">
        <v>10</v>
      </c>
      <c r="B17" s="328">
        <f t="shared" si="2"/>
        <v>84</v>
      </c>
      <c r="C17" s="334">
        <v>0</v>
      </c>
      <c r="D17" s="573">
        <f>B17+C6+C17</f>
        <v>84</v>
      </c>
      <c r="E17" s="330">
        <v>0</v>
      </c>
      <c r="F17" s="573">
        <f t="shared" si="0"/>
        <v>84</v>
      </c>
      <c r="G17" s="330">
        <v>0</v>
      </c>
      <c r="H17" s="573">
        <f t="shared" si="1"/>
        <v>84</v>
      </c>
      <c r="I17" s="340"/>
      <c r="J17" s="340"/>
      <c r="K17" s="255"/>
      <c r="L17" s="255"/>
      <c r="M17" s="255"/>
      <c r="N17" s="255"/>
      <c r="O17" s="255"/>
      <c r="P17" s="255"/>
      <c r="Q17" s="255"/>
      <c r="R17" s="255"/>
      <c r="S17" s="255"/>
      <c r="T17" s="255"/>
      <c r="U17" s="255"/>
      <c r="V17" s="255"/>
      <c r="W17" s="255"/>
      <c r="X17" s="255"/>
      <c r="Y17" s="255"/>
      <c r="Z17" s="255"/>
    </row>
    <row r="18" spans="1:26" ht="13.5">
      <c r="A18" s="333" t="s">
        <v>326</v>
      </c>
      <c r="B18" s="328" t="s">
        <v>180</v>
      </c>
      <c r="C18" s="328" t="s">
        <v>180</v>
      </c>
      <c r="D18" s="573" t="s">
        <v>180</v>
      </c>
      <c r="E18" s="328" t="s">
        <v>180</v>
      </c>
      <c r="F18" s="573" t="s">
        <v>180</v>
      </c>
      <c r="G18" s="328" t="s">
        <v>180</v>
      </c>
      <c r="H18" s="573" t="s">
        <v>180</v>
      </c>
      <c r="I18" s="340"/>
      <c r="J18" s="340"/>
      <c r="K18" s="255"/>
      <c r="L18" s="255"/>
      <c r="M18" s="255"/>
      <c r="N18" s="255"/>
      <c r="O18" s="255"/>
      <c r="P18" s="255"/>
      <c r="Q18" s="255"/>
      <c r="R18" s="255"/>
      <c r="S18" s="255"/>
      <c r="T18" s="255"/>
      <c r="U18" s="255"/>
      <c r="V18" s="255"/>
      <c r="W18" s="255"/>
      <c r="X18" s="255"/>
      <c r="Y18" s="255"/>
      <c r="Z18" s="255"/>
    </row>
    <row r="19" spans="1:26" ht="13.5">
      <c r="A19" s="333" t="s">
        <v>327</v>
      </c>
      <c r="B19" s="328" t="s">
        <v>180</v>
      </c>
      <c r="C19" s="328" t="s">
        <v>180</v>
      </c>
      <c r="D19" s="573" t="s">
        <v>180</v>
      </c>
      <c r="E19" s="328" t="s">
        <v>180</v>
      </c>
      <c r="F19" s="573" t="s">
        <v>180</v>
      </c>
      <c r="G19" s="328" t="s">
        <v>180</v>
      </c>
      <c r="H19" s="573" t="s">
        <v>180</v>
      </c>
      <c r="I19" s="340"/>
      <c r="J19" s="340"/>
      <c r="K19" s="255"/>
      <c r="L19" s="255"/>
      <c r="M19" s="255"/>
      <c r="N19" s="255"/>
      <c r="O19" s="255"/>
      <c r="P19" s="255"/>
      <c r="Q19" s="255"/>
      <c r="R19" s="255"/>
      <c r="S19" s="255"/>
      <c r="T19" s="255"/>
      <c r="U19" s="255"/>
      <c r="V19" s="255"/>
      <c r="W19" s="255"/>
      <c r="X19" s="255"/>
      <c r="Y19" s="255"/>
      <c r="Z19" s="255"/>
    </row>
    <row r="20" spans="1:26" ht="13.5">
      <c r="A20" s="333" t="s">
        <v>328</v>
      </c>
      <c r="B20" s="328" t="s">
        <v>180</v>
      </c>
      <c r="C20" s="328" t="s">
        <v>180</v>
      </c>
      <c r="D20" s="573" t="s">
        <v>180</v>
      </c>
      <c r="E20" s="328" t="s">
        <v>180</v>
      </c>
      <c r="F20" s="573" t="s">
        <v>180</v>
      </c>
      <c r="G20" s="328" t="s">
        <v>180</v>
      </c>
      <c r="H20" s="573" t="s">
        <v>180</v>
      </c>
      <c r="I20" s="340"/>
      <c r="J20" s="340"/>
      <c r="K20" s="255"/>
      <c r="L20" s="255"/>
      <c r="M20" s="255"/>
      <c r="N20" s="255"/>
      <c r="O20" s="255"/>
      <c r="P20" s="255"/>
      <c r="Q20" s="255"/>
      <c r="R20" s="255"/>
      <c r="S20" s="255"/>
      <c r="T20" s="255"/>
      <c r="U20" s="255"/>
      <c r="V20" s="255"/>
      <c r="W20" s="255"/>
      <c r="X20" s="255"/>
      <c r="Y20" s="255"/>
      <c r="Z20" s="255"/>
    </row>
    <row r="21" spans="1:26" ht="13.5">
      <c r="A21" s="333" t="s">
        <v>329</v>
      </c>
      <c r="B21" s="328" t="s">
        <v>180</v>
      </c>
      <c r="C21" s="328" t="s">
        <v>180</v>
      </c>
      <c r="D21" s="573" t="s">
        <v>180</v>
      </c>
      <c r="E21" s="328" t="s">
        <v>180</v>
      </c>
      <c r="F21" s="573" t="s">
        <v>180</v>
      </c>
      <c r="G21" s="328" t="s">
        <v>180</v>
      </c>
      <c r="H21" s="573" t="s">
        <v>180</v>
      </c>
      <c r="I21" s="340"/>
      <c r="J21" s="340"/>
      <c r="K21" s="255"/>
      <c r="L21" s="255"/>
      <c r="M21" s="255"/>
      <c r="N21" s="255"/>
      <c r="O21" s="255"/>
      <c r="P21" s="255"/>
      <c r="Q21" s="255"/>
      <c r="R21" s="255"/>
      <c r="S21" s="255"/>
      <c r="T21" s="255"/>
      <c r="U21" s="255"/>
      <c r="V21" s="255"/>
      <c r="W21" s="255"/>
      <c r="X21" s="255"/>
      <c r="Y21" s="255"/>
      <c r="Z21" s="255"/>
    </row>
    <row r="22" spans="1:26" ht="13.5">
      <c r="A22" s="333" t="s">
        <v>330</v>
      </c>
      <c r="B22" s="328" t="s">
        <v>180</v>
      </c>
      <c r="C22" s="328" t="s">
        <v>180</v>
      </c>
      <c r="D22" s="573" t="s">
        <v>180</v>
      </c>
      <c r="E22" s="328" t="s">
        <v>180</v>
      </c>
      <c r="F22" s="573" t="s">
        <v>180</v>
      </c>
      <c r="G22" s="328" t="s">
        <v>180</v>
      </c>
      <c r="H22" s="573" t="s">
        <v>180</v>
      </c>
      <c r="I22" s="340"/>
      <c r="J22" s="340"/>
      <c r="K22" s="255"/>
      <c r="L22" s="255"/>
      <c r="M22" s="255"/>
      <c r="N22" s="255"/>
      <c r="O22" s="255"/>
      <c r="P22" s="255"/>
      <c r="Q22" s="255"/>
      <c r="R22" s="255"/>
      <c r="S22" s="255"/>
      <c r="T22" s="255"/>
      <c r="U22" s="255"/>
      <c r="V22" s="255"/>
      <c r="W22" s="255"/>
      <c r="X22" s="255"/>
      <c r="Y22" s="255"/>
      <c r="Z22" s="255"/>
    </row>
    <row r="23" spans="1:26" ht="13.5">
      <c r="A23" s="336" t="s">
        <v>198</v>
      </c>
      <c r="B23" s="337"/>
      <c r="C23" s="338"/>
      <c r="D23" s="338"/>
      <c r="E23" s="338"/>
      <c r="F23" s="338"/>
      <c r="G23" s="338"/>
      <c r="H23" s="338"/>
      <c r="I23" s="340"/>
      <c r="J23" s="340"/>
      <c r="K23" s="255"/>
      <c r="L23" s="255"/>
      <c r="M23" s="255"/>
      <c r="N23" s="255"/>
      <c r="O23" s="255"/>
      <c r="P23" s="255"/>
      <c r="Q23" s="255"/>
      <c r="R23" s="255"/>
      <c r="S23" s="255"/>
      <c r="T23" s="255"/>
      <c r="U23" s="255"/>
      <c r="V23" s="255"/>
      <c r="W23" s="255"/>
      <c r="X23" s="255"/>
      <c r="Y23" s="255"/>
      <c r="Z23" s="255"/>
    </row>
    <row r="24" spans="1:26" ht="24.75" customHeight="1">
      <c r="A24" s="636" t="s">
        <v>199</v>
      </c>
      <c r="B24" s="636"/>
      <c r="C24" s="636"/>
      <c r="D24" s="636"/>
      <c r="E24" s="636"/>
      <c r="F24" s="636"/>
      <c r="G24" s="636"/>
      <c r="H24" s="636"/>
      <c r="I24" s="340"/>
      <c r="J24" s="340"/>
      <c r="K24" s="255"/>
      <c r="L24" s="255"/>
      <c r="M24" s="255"/>
      <c r="N24" s="255"/>
      <c r="O24" s="255"/>
      <c r="P24" s="255"/>
      <c r="Q24" s="255"/>
      <c r="R24" s="255"/>
      <c r="S24" s="255"/>
      <c r="T24" s="255"/>
      <c r="U24" s="255"/>
      <c r="V24" s="255"/>
      <c r="W24" s="255"/>
      <c r="X24" s="255"/>
      <c r="Y24" s="255"/>
      <c r="Z24" s="255"/>
    </row>
    <row r="25" spans="1:26" ht="13.5">
      <c r="A25" s="336" t="s">
        <v>331</v>
      </c>
      <c r="B25" s="337"/>
      <c r="C25" s="337"/>
      <c r="D25" s="337"/>
      <c r="E25" s="341"/>
      <c r="F25" s="342"/>
      <c r="G25" s="342"/>
      <c r="H25" s="342"/>
      <c r="I25" s="340"/>
      <c r="J25" s="340"/>
      <c r="K25" s="255"/>
      <c r="L25" s="255"/>
      <c r="M25" s="255"/>
      <c r="N25" s="255"/>
      <c r="O25" s="255"/>
      <c r="P25" s="255"/>
      <c r="Q25" s="255"/>
      <c r="R25" s="255"/>
      <c r="S25" s="255"/>
      <c r="T25" s="255"/>
      <c r="U25" s="255"/>
      <c r="V25" s="255"/>
      <c r="W25" s="255"/>
      <c r="X25" s="255"/>
      <c r="Y25" s="255"/>
      <c r="Z25" s="255"/>
    </row>
    <row r="26" spans="1:26" ht="13.5">
      <c r="A26" s="336"/>
      <c r="B26" s="337"/>
      <c r="C26" s="337"/>
      <c r="D26" s="337"/>
      <c r="E26" s="341"/>
      <c r="F26" s="342"/>
      <c r="G26" s="342"/>
      <c r="H26" s="342"/>
      <c r="I26" s="340"/>
      <c r="J26" s="340"/>
      <c r="K26" s="255"/>
      <c r="L26" s="255"/>
      <c r="M26" s="255"/>
      <c r="N26" s="255"/>
      <c r="O26" s="255"/>
      <c r="P26" s="255"/>
      <c r="Q26" s="255"/>
      <c r="R26" s="255"/>
      <c r="S26" s="255"/>
      <c r="T26" s="255"/>
      <c r="U26" s="255"/>
      <c r="V26" s="255"/>
      <c r="W26" s="255"/>
      <c r="X26" s="255"/>
      <c r="Y26" s="255"/>
      <c r="Z26" s="255"/>
    </row>
    <row r="27" spans="1:26" ht="15">
      <c r="A27" s="685" t="s">
        <v>238</v>
      </c>
      <c r="B27" s="685"/>
      <c r="C27" s="685"/>
      <c r="D27" s="685"/>
      <c r="E27" s="341"/>
      <c r="F27" s="342"/>
      <c r="G27" s="342"/>
      <c r="H27" s="342"/>
      <c r="I27" s="340"/>
      <c r="J27" s="340"/>
      <c r="K27" s="255"/>
      <c r="L27" s="255"/>
      <c r="M27" s="255"/>
      <c r="N27" s="255"/>
      <c r="O27" s="255"/>
      <c r="P27" s="255"/>
      <c r="Q27" s="255"/>
      <c r="R27" s="255"/>
      <c r="S27" s="255"/>
      <c r="T27" s="255"/>
      <c r="U27" s="255"/>
      <c r="V27" s="255"/>
      <c r="W27" s="255"/>
      <c r="X27" s="255"/>
      <c r="Y27" s="255"/>
      <c r="Z27" s="255"/>
    </row>
    <row r="28" spans="1:26" ht="13.5">
      <c r="A28" s="680" t="s">
        <v>3</v>
      </c>
      <c r="B28" s="679" t="s">
        <v>239</v>
      </c>
      <c r="C28" s="679"/>
      <c r="D28" s="679"/>
      <c r="E28" s="679"/>
      <c r="F28" s="679" t="s">
        <v>240</v>
      </c>
      <c r="G28" s="679"/>
      <c r="H28" s="679"/>
      <c r="I28" s="679"/>
      <c r="J28" s="679" t="s">
        <v>241</v>
      </c>
      <c r="K28" s="679"/>
      <c r="L28" s="679"/>
      <c r="M28" s="679"/>
      <c r="N28" s="679" t="s">
        <v>242</v>
      </c>
      <c r="O28" s="679"/>
      <c r="P28" s="679"/>
      <c r="Q28" s="679"/>
      <c r="R28" s="340"/>
      <c r="S28" s="255"/>
      <c r="T28" s="255"/>
      <c r="U28" s="255"/>
      <c r="V28" s="255"/>
      <c r="W28" s="255"/>
      <c r="X28" s="255"/>
      <c r="Y28" s="255"/>
      <c r="Z28" s="255"/>
    </row>
    <row r="29" spans="1:26" ht="45" customHeight="1">
      <c r="A29" s="680"/>
      <c r="B29" s="374" t="s">
        <v>245</v>
      </c>
      <c r="C29" s="374" t="s">
        <v>244</v>
      </c>
      <c r="D29" s="374" t="s">
        <v>243</v>
      </c>
      <c r="E29" s="374" t="s">
        <v>246</v>
      </c>
      <c r="F29" s="374" t="s">
        <v>245</v>
      </c>
      <c r="G29" s="374" t="s">
        <v>244</v>
      </c>
      <c r="H29" s="374" t="s">
        <v>243</v>
      </c>
      <c r="I29" s="374" t="s">
        <v>246</v>
      </c>
      <c r="J29" s="374" t="s">
        <v>245</v>
      </c>
      <c r="K29" s="374" t="s">
        <v>244</v>
      </c>
      <c r="L29" s="374" t="s">
        <v>243</v>
      </c>
      <c r="M29" s="374" t="s">
        <v>246</v>
      </c>
      <c r="N29" s="374" t="s">
        <v>245</v>
      </c>
      <c r="O29" s="374" t="s">
        <v>244</v>
      </c>
      <c r="P29" s="374" t="s">
        <v>243</v>
      </c>
      <c r="Q29" s="374" t="s">
        <v>246</v>
      </c>
      <c r="R29" s="255"/>
      <c r="S29" s="255"/>
      <c r="T29" s="255"/>
      <c r="U29" s="255"/>
      <c r="V29" s="255"/>
      <c r="W29" s="255"/>
      <c r="X29" s="255"/>
      <c r="Y29" s="255"/>
      <c r="Z29" s="255"/>
    </row>
    <row r="30" spans="1:26" ht="13.5">
      <c r="A30" s="327" t="s">
        <v>6</v>
      </c>
      <c r="B30" s="375">
        <v>3373.4</v>
      </c>
      <c r="C30" s="375">
        <v>791.3</v>
      </c>
      <c r="D30" s="375">
        <v>19.2</v>
      </c>
      <c r="E30" s="347">
        <f>B30+C30+D30</f>
        <v>4183.9</v>
      </c>
      <c r="F30" s="376">
        <v>410.9</v>
      </c>
      <c r="G30" s="376">
        <v>43.9</v>
      </c>
      <c r="H30" s="376">
        <v>149.8</v>
      </c>
      <c r="I30" s="347">
        <f>F30+G30+H30</f>
        <v>604.5999999999999</v>
      </c>
      <c r="J30" s="376">
        <f>B30-F30</f>
        <v>2962.5</v>
      </c>
      <c r="K30" s="376">
        <f>C30-G30</f>
        <v>747.4</v>
      </c>
      <c r="L30" s="376">
        <f>D30-H30</f>
        <v>-130.60000000000002</v>
      </c>
      <c r="M30" s="377">
        <f>J30+K30+L30</f>
        <v>3579.3</v>
      </c>
      <c r="N30" s="354">
        <v>0</v>
      </c>
      <c r="O30" s="354">
        <v>0</v>
      </c>
      <c r="P30" s="354">
        <v>0</v>
      </c>
      <c r="Q30" s="347">
        <f>N30+O30+P30</f>
        <v>0</v>
      </c>
      <c r="R30" s="255"/>
      <c r="S30" s="255"/>
      <c r="T30" s="255"/>
      <c r="U30" s="255"/>
      <c r="V30" s="255"/>
      <c r="W30" s="255"/>
      <c r="X30" s="255"/>
      <c r="Y30" s="255"/>
      <c r="Z30" s="255"/>
    </row>
    <row r="31" spans="1:26" ht="13.5">
      <c r="A31" s="327" t="s">
        <v>29</v>
      </c>
      <c r="B31" s="375">
        <v>2240.3</v>
      </c>
      <c r="C31" s="375">
        <v>141.3</v>
      </c>
      <c r="D31" s="375">
        <v>7.3</v>
      </c>
      <c r="E31" s="347">
        <f aca="true" t="shared" si="3" ref="E31:E37">B31+C31+D31</f>
        <v>2388.9000000000005</v>
      </c>
      <c r="F31" s="376">
        <v>192.5</v>
      </c>
      <c r="G31" s="376">
        <v>35.8</v>
      </c>
      <c r="H31" s="376">
        <v>119.1</v>
      </c>
      <c r="I31" s="347">
        <f aca="true" t="shared" si="4" ref="I31:I36">F31+G31+H31</f>
        <v>347.4</v>
      </c>
      <c r="J31" s="376">
        <f>B31-F31</f>
        <v>2047.8000000000002</v>
      </c>
      <c r="K31" s="376">
        <f>C31-G31</f>
        <v>105.50000000000001</v>
      </c>
      <c r="L31" s="376">
        <f aca="true" t="shared" si="5" ref="K31:L37">D31-H31</f>
        <v>-111.8</v>
      </c>
      <c r="M31" s="347">
        <f>J31+K31+L31</f>
        <v>2041.5000000000002</v>
      </c>
      <c r="N31" s="354">
        <v>0</v>
      </c>
      <c r="O31" s="354">
        <v>0</v>
      </c>
      <c r="P31" s="354">
        <v>0</v>
      </c>
      <c r="Q31" s="347">
        <f aca="true" t="shared" si="6" ref="Q31:Q37">N31+O31+P31</f>
        <v>0</v>
      </c>
      <c r="R31" s="255"/>
      <c r="S31" s="255"/>
      <c r="T31" s="255"/>
      <c r="U31" s="255"/>
      <c r="V31" s="255"/>
      <c r="W31" s="255"/>
      <c r="X31" s="255"/>
      <c r="Y31" s="255"/>
      <c r="Z31" s="255"/>
    </row>
    <row r="32" spans="1:26" ht="13.5">
      <c r="A32" s="327" t="s">
        <v>39</v>
      </c>
      <c r="B32" s="375">
        <v>230.1</v>
      </c>
      <c r="C32" s="375">
        <v>69.3</v>
      </c>
      <c r="D32" s="375">
        <v>5.3</v>
      </c>
      <c r="E32" s="347">
        <f t="shared" si="3"/>
        <v>304.7</v>
      </c>
      <c r="F32" s="376">
        <v>184.7</v>
      </c>
      <c r="G32" s="376">
        <v>1.1</v>
      </c>
      <c r="H32" s="376">
        <v>6.8</v>
      </c>
      <c r="I32" s="347">
        <f t="shared" si="4"/>
        <v>192.6</v>
      </c>
      <c r="J32" s="376">
        <f aca="true" t="shared" si="7" ref="J32:J42">B32-F32</f>
        <v>45.400000000000006</v>
      </c>
      <c r="K32" s="376">
        <f t="shared" si="5"/>
        <v>68.2</v>
      </c>
      <c r="L32" s="376">
        <f t="shared" si="5"/>
        <v>-1.5</v>
      </c>
      <c r="M32" s="347">
        <f aca="true" t="shared" si="8" ref="M32:M37">J32+K32+L32</f>
        <v>112.10000000000001</v>
      </c>
      <c r="N32" s="354">
        <v>0</v>
      </c>
      <c r="O32" s="354">
        <v>0</v>
      </c>
      <c r="P32" s="354">
        <v>0</v>
      </c>
      <c r="Q32" s="347">
        <f t="shared" si="6"/>
        <v>0</v>
      </c>
      <c r="R32" s="255"/>
      <c r="S32" s="255"/>
      <c r="T32" s="255"/>
      <c r="U32" s="255"/>
      <c r="V32" s="255"/>
      <c r="W32" s="255"/>
      <c r="X32" s="255"/>
      <c r="Y32" s="255"/>
      <c r="Z32" s="255"/>
    </row>
    <row r="33" spans="1:26" ht="13.5">
      <c r="A33" s="327" t="s">
        <v>5</v>
      </c>
      <c r="B33" s="375">
        <v>549.5</v>
      </c>
      <c r="C33" s="375">
        <v>18.3</v>
      </c>
      <c r="D33" s="375">
        <v>0</v>
      </c>
      <c r="E33" s="347">
        <f t="shared" si="3"/>
        <v>567.8</v>
      </c>
      <c r="F33" s="376">
        <v>0.8</v>
      </c>
      <c r="G33" s="376">
        <v>33.9</v>
      </c>
      <c r="H33" s="376">
        <v>0</v>
      </c>
      <c r="I33" s="347">
        <f t="shared" si="4"/>
        <v>34.699999999999996</v>
      </c>
      <c r="J33" s="376">
        <f t="shared" si="7"/>
        <v>548.7</v>
      </c>
      <c r="K33" s="376">
        <f t="shared" si="5"/>
        <v>-15.599999999999998</v>
      </c>
      <c r="L33" s="376">
        <f t="shared" si="5"/>
        <v>0</v>
      </c>
      <c r="M33" s="347">
        <f t="shared" si="8"/>
        <v>533.1</v>
      </c>
      <c r="N33" s="378">
        <v>0</v>
      </c>
      <c r="O33" s="378">
        <v>0</v>
      </c>
      <c r="P33" s="378">
        <v>0</v>
      </c>
      <c r="Q33" s="347">
        <f t="shared" si="6"/>
        <v>0</v>
      </c>
      <c r="R33" s="255"/>
      <c r="S33" s="255"/>
      <c r="T33" s="255"/>
      <c r="U33" s="255"/>
      <c r="V33" s="255"/>
      <c r="W33" s="255"/>
      <c r="X33" s="255"/>
      <c r="Y33" s="255"/>
      <c r="Z33" s="255"/>
    </row>
    <row r="34" spans="1:26" ht="13.5">
      <c r="A34" s="327" t="s">
        <v>8</v>
      </c>
      <c r="B34" s="375">
        <v>133.8</v>
      </c>
      <c r="C34" s="375">
        <v>10.6</v>
      </c>
      <c r="D34" s="375">
        <v>2</v>
      </c>
      <c r="E34" s="347">
        <f t="shared" si="3"/>
        <v>146.4</v>
      </c>
      <c r="F34" s="376">
        <v>153.3</v>
      </c>
      <c r="G34" s="376">
        <v>1</v>
      </c>
      <c r="H34" s="376">
        <v>0.2</v>
      </c>
      <c r="I34" s="347">
        <f>F34+G34+H34</f>
        <v>154.5</v>
      </c>
      <c r="J34" s="376">
        <f t="shared" si="7"/>
        <v>-19.5</v>
      </c>
      <c r="K34" s="376">
        <f t="shared" si="5"/>
        <v>9.6</v>
      </c>
      <c r="L34" s="376">
        <f>D34-H34</f>
        <v>1.8</v>
      </c>
      <c r="M34" s="347">
        <f t="shared" si="8"/>
        <v>-8.1</v>
      </c>
      <c r="N34" s="378">
        <v>0</v>
      </c>
      <c r="O34" s="378">
        <v>0</v>
      </c>
      <c r="P34" s="378">
        <v>0</v>
      </c>
      <c r="Q34" s="347">
        <f t="shared" si="6"/>
        <v>0</v>
      </c>
      <c r="R34" s="255"/>
      <c r="S34" s="255"/>
      <c r="T34" s="255"/>
      <c r="U34" s="255"/>
      <c r="V34" s="255"/>
      <c r="W34" s="255"/>
      <c r="X34" s="255"/>
      <c r="Y34" s="255"/>
      <c r="Z34" s="255"/>
    </row>
    <row r="35" spans="1:26" ht="13.5">
      <c r="A35" s="327" t="s">
        <v>40</v>
      </c>
      <c r="B35" s="375">
        <v>130</v>
      </c>
      <c r="C35" s="375">
        <v>1.4</v>
      </c>
      <c r="D35" s="375">
        <v>0.6</v>
      </c>
      <c r="E35" s="347">
        <f t="shared" si="3"/>
        <v>132</v>
      </c>
      <c r="F35" s="376">
        <v>2.9</v>
      </c>
      <c r="G35" s="376">
        <v>0</v>
      </c>
      <c r="H35" s="376">
        <v>0.2</v>
      </c>
      <c r="I35" s="347">
        <f t="shared" si="4"/>
        <v>3.1</v>
      </c>
      <c r="J35" s="376">
        <f t="shared" si="7"/>
        <v>127.1</v>
      </c>
      <c r="K35" s="376">
        <f t="shared" si="5"/>
        <v>1.4</v>
      </c>
      <c r="L35" s="376">
        <f t="shared" si="5"/>
        <v>0.39999999999999997</v>
      </c>
      <c r="M35" s="347">
        <f t="shared" si="8"/>
        <v>128.9</v>
      </c>
      <c r="N35" s="378">
        <v>0</v>
      </c>
      <c r="O35" s="378">
        <v>0</v>
      </c>
      <c r="P35" s="378">
        <v>0</v>
      </c>
      <c r="Q35" s="347">
        <f t="shared" si="6"/>
        <v>0</v>
      </c>
      <c r="R35" s="255"/>
      <c r="S35" s="255"/>
      <c r="T35" s="255"/>
      <c r="U35" s="255"/>
      <c r="V35" s="255"/>
      <c r="W35" s="255"/>
      <c r="X35" s="255"/>
      <c r="Y35" s="255"/>
      <c r="Z35" s="255"/>
    </row>
    <row r="36" spans="1:26" ht="13.5">
      <c r="A36" s="327" t="s">
        <v>41</v>
      </c>
      <c r="B36" s="375">
        <v>0.4</v>
      </c>
      <c r="C36" s="375">
        <v>5</v>
      </c>
      <c r="D36" s="375">
        <v>0</v>
      </c>
      <c r="E36" s="347">
        <f t="shared" si="3"/>
        <v>5.4</v>
      </c>
      <c r="F36" s="376">
        <v>7</v>
      </c>
      <c r="G36" s="376">
        <v>0</v>
      </c>
      <c r="H36" s="376">
        <v>0</v>
      </c>
      <c r="I36" s="347">
        <f t="shared" si="4"/>
        <v>7</v>
      </c>
      <c r="J36" s="376">
        <f t="shared" si="7"/>
        <v>-6.6</v>
      </c>
      <c r="K36" s="376">
        <f t="shared" si="5"/>
        <v>5</v>
      </c>
      <c r="L36" s="376">
        <f t="shared" si="5"/>
        <v>0</v>
      </c>
      <c r="M36" s="347">
        <f t="shared" si="8"/>
        <v>-1.5999999999999996</v>
      </c>
      <c r="N36" s="378">
        <v>0</v>
      </c>
      <c r="O36" s="378">
        <v>0</v>
      </c>
      <c r="P36" s="378">
        <v>0</v>
      </c>
      <c r="Q36" s="347">
        <f t="shared" si="6"/>
        <v>0</v>
      </c>
      <c r="R36" s="255"/>
      <c r="S36" s="255"/>
      <c r="T36" s="255"/>
      <c r="U36" s="255"/>
      <c r="V36" s="255"/>
      <c r="W36" s="255"/>
      <c r="X36" s="255"/>
      <c r="Y36" s="255"/>
      <c r="Z36" s="255"/>
    </row>
    <row r="37" spans="1:26" ht="13.5">
      <c r="A37" s="333" t="s">
        <v>15</v>
      </c>
      <c r="B37" s="375">
        <v>73.4</v>
      </c>
      <c r="C37" s="375">
        <v>14.2</v>
      </c>
      <c r="D37" s="375">
        <v>0</v>
      </c>
      <c r="E37" s="347">
        <f t="shared" si="3"/>
        <v>87.60000000000001</v>
      </c>
      <c r="F37" s="376">
        <v>0.4</v>
      </c>
      <c r="G37" s="376">
        <v>31.2</v>
      </c>
      <c r="H37" s="376">
        <v>0</v>
      </c>
      <c r="I37" s="347">
        <f aca="true" t="shared" si="9" ref="I37:I42">F37+G37+H37</f>
        <v>31.599999999999998</v>
      </c>
      <c r="J37" s="376">
        <f t="shared" si="7"/>
        <v>73</v>
      </c>
      <c r="K37" s="376">
        <f t="shared" si="5"/>
        <v>-17</v>
      </c>
      <c r="L37" s="376">
        <f t="shared" si="5"/>
        <v>0</v>
      </c>
      <c r="M37" s="347">
        <f t="shared" si="8"/>
        <v>56</v>
      </c>
      <c r="N37" s="378">
        <v>0</v>
      </c>
      <c r="O37" s="378">
        <v>0</v>
      </c>
      <c r="P37" s="378">
        <v>0</v>
      </c>
      <c r="Q37" s="347">
        <f t="shared" si="6"/>
        <v>0</v>
      </c>
      <c r="R37" s="255"/>
      <c r="S37" s="255"/>
      <c r="T37" s="255"/>
      <c r="U37" s="255"/>
      <c r="V37" s="255"/>
      <c r="W37" s="255"/>
      <c r="X37" s="255"/>
      <c r="Y37" s="255"/>
      <c r="Z37" s="255"/>
    </row>
    <row r="38" spans="1:26" ht="13.5">
      <c r="A38" s="333" t="s">
        <v>49</v>
      </c>
      <c r="B38" s="375">
        <v>286.9</v>
      </c>
      <c r="C38" s="375">
        <v>187.4</v>
      </c>
      <c r="D38" s="375">
        <v>0</v>
      </c>
      <c r="E38" s="347">
        <f>B38+C38+D38</f>
        <v>474.29999999999995</v>
      </c>
      <c r="F38" s="376">
        <v>2.6</v>
      </c>
      <c r="G38" s="376">
        <v>0.2</v>
      </c>
      <c r="H38" s="376">
        <v>7.6</v>
      </c>
      <c r="I38" s="347">
        <f t="shared" si="9"/>
        <v>10.4</v>
      </c>
      <c r="J38" s="376">
        <f t="shared" si="7"/>
        <v>284.29999999999995</v>
      </c>
      <c r="K38" s="376">
        <f aca="true" t="shared" si="10" ref="K38:L42">C38-G38</f>
        <v>187.20000000000002</v>
      </c>
      <c r="L38" s="376">
        <f t="shared" si="10"/>
        <v>-7.6</v>
      </c>
      <c r="M38" s="347">
        <f>J38+K38+L38</f>
        <v>463.9</v>
      </c>
      <c r="N38" s="378">
        <v>0</v>
      </c>
      <c r="O38" s="378">
        <v>0</v>
      </c>
      <c r="P38" s="378">
        <v>0</v>
      </c>
      <c r="Q38" s="347">
        <f>N38+O38+P38</f>
        <v>0</v>
      </c>
      <c r="R38" s="255"/>
      <c r="S38" s="255"/>
      <c r="T38" s="255"/>
      <c r="U38" s="255"/>
      <c r="V38" s="255"/>
      <c r="W38" s="255"/>
      <c r="X38" s="255"/>
      <c r="Y38" s="255"/>
      <c r="Z38" s="255"/>
    </row>
    <row r="39" spans="1:26" ht="13.5">
      <c r="A39" s="333" t="s">
        <v>156</v>
      </c>
      <c r="B39" s="375">
        <v>186.8</v>
      </c>
      <c r="C39" s="375">
        <v>82.9</v>
      </c>
      <c r="D39" s="375">
        <v>0</v>
      </c>
      <c r="E39" s="347">
        <f>B39+C39+D39</f>
        <v>269.70000000000005</v>
      </c>
      <c r="F39" s="376">
        <v>0.1</v>
      </c>
      <c r="G39" s="376">
        <v>0.2</v>
      </c>
      <c r="H39" s="376">
        <v>0</v>
      </c>
      <c r="I39" s="347">
        <f t="shared" si="9"/>
        <v>0.30000000000000004</v>
      </c>
      <c r="J39" s="376">
        <f t="shared" si="7"/>
        <v>186.70000000000002</v>
      </c>
      <c r="K39" s="376">
        <f t="shared" si="10"/>
        <v>82.7</v>
      </c>
      <c r="L39" s="376">
        <f t="shared" si="10"/>
        <v>0</v>
      </c>
      <c r="M39" s="347">
        <f>J39+K39+L39</f>
        <v>269.40000000000003</v>
      </c>
      <c r="N39" s="378">
        <v>0</v>
      </c>
      <c r="O39" s="378">
        <v>0</v>
      </c>
      <c r="P39" s="378">
        <v>0</v>
      </c>
      <c r="Q39" s="347">
        <f>N39+O39+P39</f>
        <v>0</v>
      </c>
      <c r="R39" s="255"/>
      <c r="S39" s="255"/>
      <c r="T39" s="255"/>
      <c r="U39" s="255"/>
      <c r="V39" s="255"/>
      <c r="W39" s="255"/>
      <c r="X39" s="255"/>
      <c r="Y39" s="255"/>
      <c r="Z39" s="255"/>
    </row>
    <row r="40" spans="1:26" ht="13.5">
      <c r="A40" s="333" t="s">
        <v>20</v>
      </c>
      <c r="B40" s="375">
        <v>194.6</v>
      </c>
      <c r="C40" s="375">
        <v>99</v>
      </c>
      <c r="D40" s="375">
        <v>0</v>
      </c>
      <c r="E40" s="347">
        <f>B40+C40+D40</f>
        <v>293.6</v>
      </c>
      <c r="F40" s="376">
        <v>53.3</v>
      </c>
      <c r="G40" s="376">
        <v>0</v>
      </c>
      <c r="H40" s="376">
        <v>19.9</v>
      </c>
      <c r="I40" s="347">
        <f t="shared" si="9"/>
        <v>73.19999999999999</v>
      </c>
      <c r="J40" s="376">
        <f t="shared" si="7"/>
        <v>141.3</v>
      </c>
      <c r="K40" s="376">
        <f t="shared" si="10"/>
        <v>99</v>
      </c>
      <c r="L40" s="376">
        <f t="shared" si="10"/>
        <v>-19.9</v>
      </c>
      <c r="M40" s="347">
        <f>J40+K40+L40</f>
        <v>220.4</v>
      </c>
      <c r="N40" s="378">
        <v>0</v>
      </c>
      <c r="O40" s="378">
        <v>0</v>
      </c>
      <c r="P40" s="378">
        <v>0</v>
      </c>
      <c r="Q40" s="347">
        <f>N40+O40+P40</f>
        <v>0</v>
      </c>
      <c r="R40" s="255"/>
      <c r="S40" s="255"/>
      <c r="T40" s="255"/>
      <c r="U40" s="255"/>
      <c r="V40" s="255"/>
      <c r="W40" s="255"/>
      <c r="X40" s="255"/>
      <c r="Y40" s="255"/>
      <c r="Z40" s="255"/>
    </row>
    <row r="41" spans="1:26" ht="13.5">
      <c r="A41" s="333" t="s">
        <v>11</v>
      </c>
      <c r="B41" s="375">
        <v>51.1</v>
      </c>
      <c r="C41" s="375">
        <v>4.1</v>
      </c>
      <c r="D41" s="375">
        <v>0</v>
      </c>
      <c r="E41" s="347">
        <f>B41+C41+D41</f>
        <v>55.2</v>
      </c>
      <c r="F41" s="376">
        <v>0.4</v>
      </c>
      <c r="G41" s="376">
        <v>2.7</v>
      </c>
      <c r="H41" s="376">
        <v>0</v>
      </c>
      <c r="I41" s="347">
        <f t="shared" si="9"/>
        <v>3.1</v>
      </c>
      <c r="J41" s="376">
        <f t="shared" si="7"/>
        <v>50.7</v>
      </c>
      <c r="K41" s="376">
        <f t="shared" si="10"/>
        <v>1.3999999999999995</v>
      </c>
      <c r="L41" s="376">
        <f t="shared" si="10"/>
        <v>0</v>
      </c>
      <c r="M41" s="347">
        <f>J41+K41+L41</f>
        <v>52.1</v>
      </c>
      <c r="N41" s="378">
        <v>0</v>
      </c>
      <c r="O41" s="378">
        <v>0</v>
      </c>
      <c r="P41" s="378">
        <v>0</v>
      </c>
      <c r="Q41" s="347">
        <f>N41+O41+P41</f>
        <v>0</v>
      </c>
      <c r="R41" s="255"/>
      <c r="S41" s="255"/>
      <c r="T41" s="255"/>
      <c r="U41" s="255"/>
      <c r="V41" s="255"/>
      <c r="W41" s="255"/>
      <c r="X41" s="255"/>
      <c r="Y41" s="255"/>
      <c r="Z41" s="255"/>
    </row>
    <row r="42" spans="1:26" ht="13.5">
      <c r="A42" s="333" t="s">
        <v>10</v>
      </c>
      <c r="B42" s="375">
        <v>465.6</v>
      </c>
      <c r="C42" s="375">
        <v>0</v>
      </c>
      <c r="D42" s="375">
        <v>0</v>
      </c>
      <c r="E42" s="347">
        <f>B42+C42+D42</f>
        <v>465.6</v>
      </c>
      <c r="F42" s="376">
        <v>1.4</v>
      </c>
      <c r="G42" s="376">
        <v>0</v>
      </c>
      <c r="H42" s="376">
        <v>109.9</v>
      </c>
      <c r="I42" s="347">
        <f t="shared" si="9"/>
        <v>111.30000000000001</v>
      </c>
      <c r="J42" s="376">
        <f t="shared" si="7"/>
        <v>464.20000000000005</v>
      </c>
      <c r="K42" s="376">
        <f t="shared" si="10"/>
        <v>0</v>
      </c>
      <c r="L42" s="376">
        <f t="shared" si="10"/>
        <v>-109.9</v>
      </c>
      <c r="M42" s="347">
        <f>J42+K42+L42</f>
        <v>354.30000000000007</v>
      </c>
      <c r="N42" s="378">
        <v>0</v>
      </c>
      <c r="O42" s="378">
        <v>0</v>
      </c>
      <c r="P42" s="378">
        <v>0</v>
      </c>
      <c r="Q42" s="347">
        <f>N42+O42+P42</f>
        <v>0</v>
      </c>
      <c r="R42" s="255"/>
      <c r="S42" s="255"/>
      <c r="T42" s="255"/>
      <c r="U42" s="255"/>
      <c r="V42" s="255"/>
      <c r="W42" s="255"/>
      <c r="X42" s="255"/>
      <c r="Y42" s="255"/>
      <c r="Z42" s="255"/>
    </row>
    <row r="43" spans="1:26" ht="13.5">
      <c r="A43" s="336"/>
      <c r="B43" s="379"/>
      <c r="C43" s="380"/>
      <c r="D43" s="379"/>
      <c r="E43" s="381"/>
      <c r="F43" s="379"/>
      <c r="G43" s="380"/>
      <c r="H43" s="379"/>
      <c r="I43" s="381"/>
      <c r="J43" s="382"/>
      <c r="K43" s="382"/>
      <c r="L43" s="382"/>
      <c r="M43" s="381"/>
      <c r="N43" s="336"/>
      <c r="O43" s="336"/>
      <c r="P43" s="336"/>
      <c r="Q43" s="336"/>
      <c r="R43" s="255"/>
      <c r="S43" s="255"/>
      <c r="T43" s="255"/>
      <c r="U43" s="255"/>
      <c r="V43" s="255"/>
      <c r="W43" s="255"/>
      <c r="X43" s="255"/>
      <c r="Y43" s="255"/>
      <c r="Z43" s="255"/>
    </row>
    <row r="44" spans="1:26" ht="15">
      <c r="A44" s="686" t="s">
        <v>247</v>
      </c>
      <c r="B44" s="686"/>
      <c r="C44" s="686"/>
      <c r="D44" s="379"/>
      <c r="E44" s="381"/>
      <c r="F44" s="379"/>
      <c r="G44" s="380"/>
      <c r="H44" s="379"/>
      <c r="I44" s="381"/>
      <c r="J44" s="382"/>
      <c r="K44" s="382"/>
      <c r="L44" s="382"/>
      <c r="M44" s="381"/>
      <c r="N44" s="336"/>
      <c r="O44" s="336"/>
      <c r="P44" s="336"/>
      <c r="Q44" s="318"/>
      <c r="R44" s="255"/>
      <c r="S44" s="255"/>
      <c r="T44" s="255"/>
      <c r="U44" s="255"/>
      <c r="V44" s="255"/>
      <c r="W44" s="255"/>
      <c r="X44" s="255"/>
      <c r="Y44" s="255"/>
      <c r="Z44" s="255"/>
    </row>
    <row r="45" spans="1:26" ht="13.5">
      <c r="A45" s="680" t="s">
        <v>3</v>
      </c>
      <c r="B45" s="679" t="s">
        <v>248</v>
      </c>
      <c r="C45" s="679"/>
      <c r="D45" s="679"/>
      <c r="E45" s="679"/>
      <c r="F45" s="679" t="s">
        <v>249</v>
      </c>
      <c r="G45" s="679"/>
      <c r="H45" s="679"/>
      <c r="I45" s="679"/>
      <c r="J45" s="679" t="s">
        <v>250</v>
      </c>
      <c r="K45" s="679"/>
      <c r="L45" s="679"/>
      <c r="M45" s="679"/>
      <c r="N45" s="383"/>
      <c r="O45" s="384"/>
      <c r="P45" s="384"/>
      <c r="Q45" s="384"/>
      <c r="R45" s="340"/>
      <c r="S45" s="255"/>
      <c r="T45" s="255"/>
      <c r="U45" s="255"/>
      <c r="V45" s="255"/>
      <c r="W45" s="255"/>
      <c r="X45" s="255"/>
      <c r="Y45" s="255"/>
      <c r="Z45" s="255"/>
    </row>
    <row r="46" spans="1:26" ht="45" customHeight="1">
      <c r="A46" s="680"/>
      <c r="B46" s="374" t="s">
        <v>245</v>
      </c>
      <c r="C46" s="374" t="s">
        <v>244</v>
      </c>
      <c r="D46" s="374" t="s">
        <v>243</v>
      </c>
      <c r="E46" s="374" t="s">
        <v>246</v>
      </c>
      <c r="F46" s="374" t="s">
        <v>245</v>
      </c>
      <c r="G46" s="374" t="s">
        <v>244</v>
      </c>
      <c r="H46" s="374" t="s">
        <v>243</v>
      </c>
      <c r="I46" s="374" t="s">
        <v>246</v>
      </c>
      <c r="J46" s="374" t="s">
        <v>245</v>
      </c>
      <c r="K46" s="374" t="s">
        <v>244</v>
      </c>
      <c r="L46" s="374" t="s">
        <v>243</v>
      </c>
      <c r="M46" s="374" t="s">
        <v>246</v>
      </c>
      <c r="N46" s="385"/>
      <c r="O46" s="281"/>
      <c r="P46" s="281"/>
      <c r="Q46" s="281"/>
      <c r="R46" s="255"/>
      <c r="S46" s="255"/>
      <c r="T46" s="255"/>
      <c r="U46" s="255"/>
      <c r="V46" s="255"/>
      <c r="W46" s="255"/>
      <c r="X46" s="255"/>
      <c r="Y46" s="255"/>
      <c r="Z46" s="255"/>
    </row>
    <row r="47" spans="1:26" ht="13.5">
      <c r="A47" s="327" t="s">
        <v>6</v>
      </c>
      <c r="B47" s="376">
        <v>0</v>
      </c>
      <c r="C47" s="376">
        <v>0</v>
      </c>
      <c r="D47" s="376">
        <v>130.6</v>
      </c>
      <c r="E47" s="347">
        <f aca="true" t="shared" si="11" ref="E47:E54">B47+C47+D47</f>
        <v>130.6</v>
      </c>
      <c r="F47" s="376">
        <v>3709.9</v>
      </c>
      <c r="G47" s="376">
        <v>0</v>
      </c>
      <c r="H47" s="376">
        <v>0</v>
      </c>
      <c r="I47" s="347">
        <f aca="true" t="shared" si="12" ref="I47:I54">F47+G47+H47</f>
        <v>3709.9</v>
      </c>
      <c r="J47" s="375">
        <f aca="true" t="shared" si="13" ref="J47:J59">B47-F47</f>
        <v>-3709.9</v>
      </c>
      <c r="K47" s="376">
        <f aca="true" t="shared" si="14" ref="K47:L54">C47-G47</f>
        <v>0</v>
      </c>
      <c r="L47" s="376">
        <f t="shared" si="14"/>
        <v>130.6</v>
      </c>
      <c r="M47" s="377">
        <f>J47+K47+L47</f>
        <v>-3579.3</v>
      </c>
      <c r="N47" s="386" t="s">
        <v>24</v>
      </c>
      <c r="O47" s="387" t="s">
        <v>24</v>
      </c>
      <c r="P47" s="388"/>
      <c r="Q47" s="388"/>
      <c r="R47" s="389"/>
      <c r="S47" s="356"/>
      <c r="T47" s="255"/>
      <c r="U47" s="255"/>
      <c r="V47" s="255"/>
      <c r="W47" s="255"/>
      <c r="X47" s="255"/>
      <c r="Y47" s="255"/>
      <c r="Z47" s="255"/>
    </row>
    <row r="48" spans="1:26" ht="13.5">
      <c r="A48" s="327" t="s">
        <v>29</v>
      </c>
      <c r="B48" s="376">
        <v>0</v>
      </c>
      <c r="C48" s="376">
        <v>0</v>
      </c>
      <c r="D48" s="376">
        <v>34.7</v>
      </c>
      <c r="E48" s="347">
        <f t="shared" si="11"/>
        <v>34.7</v>
      </c>
      <c r="F48" s="376">
        <v>1355.8</v>
      </c>
      <c r="G48" s="376">
        <v>0</v>
      </c>
      <c r="H48" s="376">
        <v>0</v>
      </c>
      <c r="I48" s="347">
        <f t="shared" si="12"/>
        <v>1355.8</v>
      </c>
      <c r="J48" s="376">
        <f t="shared" si="13"/>
        <v>-1355.8</v>
      </c>
      <c r="K48" s="376">
        <f t="shared" si="14"/>
        <v>0</v>
      </c>
      <c r="L48" s="376">
        <f t="shared" si="14"/>
        <v>34.7</v>
      </c>
      <c r="M48" s="347">
        <f aca="true" t="shared" si="15" ref="M48:M54">J48+K48+L48</f>
        <v>-1321.1</v>
      </c>
      <c r="N48" s="318"/>
      <c r="O48" s="336"/>
      <c r="P48" s="388"/>
      <c r="Q48" s="388"/>
      <c r="R48" s="390"/>
      <c r="S48" s="356"/>
      <c r="T48" s="255"/>
      <c r="U48" s="255"/>
      <c r="V48" s="255"/>
      <c r="W48" s="255"/>
      <c r="X48" s="255"/>
      <c r="Y48" s="255"/>
      <c r="Z48" s="255"/>
    </row>
    <row r="49" spans="1:26" ht="13.5">
      <c r="A49" s="327" t="s">
        <v>39</v>
      </c>
      <c r="B49" s="376">
        <v>0</v>
      </c>
      <c r="C49" s="376">
        <v>0</v>
      </c>
      <c r="D49" s="376">
        <v>34.7</v>
      </c>
      <c r="E49" s="347">
        <f t="shared" si="11"/>
        <v>34.7</v>
      </c>
      <c r="F49" s="376">
        <v>481.7</v>
      </c>
      <c r="G49" s="376">
        <v>0</v>
      </c>
      <c r="H49" s="376">
        <v>0</v>
      </c>
      <c r="I49" s="347">
        <f t="shared" si="12"/>
        <v>481.7</v>
      </c>
      <c r="J49" s="376">
        <f t="shared" si="13"/>
        <v>-481.7</v>
      </c>
      <c r="K49" s="376">
        <f t="shared" si="14"/>
        <v>0</v>
      </c>
      <c r="L49" s="376">
        <f t="shared" si="14"/>
        <v>34.7</v>
      </c>
      <c r="M49" s="347">
        <f t="shared" si="15"/>
        <v>-447</v>
      </c>
      <c r="N49" s="318"/>
      <c r="O49" s="336"/>
      <c r="P49" s="388"/>
      <c r="Q49" s="336"/>
      <c r="R49" s="390"/>
      <c r="S49" s="356"/>
      <c r="T49" s="255"/>
      <c r="U49" s="255"/>
      <c r="V49" s="255"/>
      <c r="W49" s="255"/>
      <c r="X49" s="255"/>
      <c r="Y49" s="255"/>
      <c r="Z49" s="255"/>
    </row>
    <row r="50" spans="1:26" ht="13.5">
      <c r="A50" s="327" t="s">
        <v>5</v>
      </c>
      <c r="B50" s="376">
        <v>0</v>
      </c>
      <c r="C50" s="376">
        <v>0</v>
      </c>
      <c r="D50" s="376">
        <v>0</v>
      </c>
      <c r="E50" s="347">
        <f t="shared" si="11"/>
        <v>0</v>
      </c>
      <c r="F50" s="376">
        <v>444</v>
      </c>
      <c r="G50" s="376">
        <v>0</v>
      </c>
      <c r="H50" s="376">
        <v>0</v>
      </c>
      <c r="I50" s="347">
        <f t="shared" si="12"/>
        <v>444</v>
      </c>
      <c r="J50" s="376">
        <f t="shared" si="13"/>
        <v>-444</v>
      </c>
      <c r="K50" s="376">
        <f t="shared" si="14"/>
        <v>0</v>
      </c>
      <c r="L50" s="376">
        <f t="shared" si="14"/>
        <v>0</v>
      </c>
      <c r="M50" s="347">
        <f t="shared" si="15"/>
        <v>-444</v>
      </c>
      <c r="N50" s="336"/>
      <c r="O50" s="336"/>
      <c r="P50" s="388"/>
      <c r="Q50" s="336"/>
      <c r="R50" s="390"/>
      <c r="S50" s="356"/>
      <c r="T50" s="255"/>
      <c r="U50" s="255"/>
      <c r="V50" s="255"/>
      <c r="W50" s="255"/>
      <c r="X50" s="255"/>
      <c r="Y50" s="255"/>
      <c r="Z50" s="255"/>
    </row>
    <row r="51" spans="1:26" ht="13.5">
      <c r="A51" s="327" t="s">
        <v>8</v>
      </c>
      <c r="B51" s="376">
        <v>0</v>
      </c>
      <c r="C51" s="376">
        <v>0</v>
      </c>
      <c r="D51" s="376">
        <v>34.7</v>
      </c>
      <c r="E51" s="347">
        <f t="shared" si="11"/>
        <v>34.7</v>
      </c>
      <c r="F51" s="376">
        <v>26.6</v>
      </c>
      <c r="G51" s="376">
        <v>0</v>
      </c>
      <c r="H51" s="376">
        <v>0</v>
      </c>
      <c r="I51" s="347">
        <f t="shared" si="12"/>
        <v>26.6</v>
      </c>
      <c r="J51" s="376">
        <f t="shared" si="13"/>
        <v>-26.6</v>
      </c>
      <c r="K51" s="376">
        <f t="shared" si="14"/>
        <v>0</v>
      </c>
      <c r="L51" s="376">
        <f t="shared" si="14"/>
        <v>34.7</v>
      </c>
      <c r="M51" s="347">
        <f t="shared" si="15"/>
        <v>8.100000000000001</v>
      </c>
      <c r="N51" s="336"/>
      <c r="O51" s="336"/>
      <c r="P51" s="388"/>
      <c r="Q51" s="336"/>
      <c r="R51" s="390"/>
      <c r="S51" s="356"/>
      <c r="T51" s="255"/>
      <c r="U51" s="255"/>
      <c r="V51" s="255"/>
      <c r="W51" s="255"/>
      <c r="X51" s="255"/>
      <c r="Y51" s="255"/>
      <c r="Z51" s="255"/>
    </row>
    <row r="52" spans="1:26" ht="13.5">
      <c r="A52" s="327" t="s">
        <v>40</v>
      </c>
      <c r="B52" s="376">
        <v>0</v>
      </c>
      <c r="C52" s="376">
        <v>0</v>
      </c>
      <c r="D52" s="376">
        <v>34.7</v>
      </c>
      <c r="E52" s="347">
        <f t="shared" si="11"/>
        <v>34.7</v>
      </c>
      <c r="F52" s="376">
        <v>0</v>
      </c>
      <c r="G52" s="376">
        <v>0</v>
      </c>
      <c r="H52" s="376">
        <v>0</v>
      </c>
      <c r="I52" s="347">
        <f t="shared" si="12"/>
        <v>0</v>
      </c>
      <c r="J52" s="376">
        <f t="shared" si="13"/>
        <v>0</v>
      </c>
      <c r="K52" s="376">
        <f t="shared" si="14"/>
        <v>0</v>
      </c>
      <c r="L52" s="376">
        <f t="shared" si="14"/>
        <v>34.7</v>
      </c>
      <c r="M52" s="347">
        <f t="shared" si="15"/>
        <v>34.7</v>
      </c>
      <c r="N52" s="336"/>
      <c r="O52" s="388"/>
      <c r="P52" s="336"/>
      <c r="Q52" s="336"/>
      <c r="R52" s="255"/>
      <c r="S52" s="255"/>
      <c r="T52" s="255"/>
      <c r="U52" s="255"/>
      <c r="V52" s="255"/>
      <c r="W52" s="255"/>
      <c r="X52" s="255"/>
      <c r="Y52" s="255"/>
      <c r="Z52" s="255"/>
    </row>
    <row r="53" spans="1:26" ht="13.5">
      <c r="A53" s="327" t="s">
        <v>41</v>
      </c>
      <c r="B53" s="376">
        <v>0</v>
      </c>
      <c r="C53" s="376">
        <v>0</v>
      </c>
      <c r="D53" s="376">
        <v>0</v>
      </c>
      <c r="E53" s="347">
        <f t="shared" si="11"/>
        <v>0</v>
      </c>
      <c r="F53" s="376">
        <v>76.2</v>
      </c>
      <c r="G53" s="376">
        <v>0</v>
      </c>
      <c r="H53" s="376">
        <v>0</v>
      </c>
      <c r="I53" s="347">
        <f t="shared" si="12"/>
        <v>76.2</v>
      </c>
      <c r="J53" s="376">
        <f t="shared" si="13"/>
        <v>-76.2</v>
      </c>
      <c r="K53" s="376">
        <f t="shared" si="14"/>
        <v>0</v>
      </c>
      <c r="L53" s="376">
        <f t="shared" si="14"/>
        <v>0</v>
      </c>
      <c r="M53" s="347">
        <f t="shared" si="15"/>
        <v>-76.2</v>
      </c>
      <c r="N53" s="336"/>
      <c r="O53" s="336"/>
      <c r="P53" s="336"/>
      <c r="Q53" s="336"/>
      <c r="R53" s="255"/>
      <c r="S53" s="255"/>
      <c r="T53" s="255"/>
      <c r="U53" s="255"/>
      <c r="V53" s="255"/>
      <c r="W53" s="255"/>
      <c r="X53" s="255"/>
      <c r="Y53" s="255"/>
      <c r="Z53" s="255"/>
    </row>
    <row r="54" spans="1:26" ht="13.5">
      <c r="A54" s="333" t="s">
        <v>15</v>
      </c>
      <c r="B54" s="376">
        <v>0</v>
      </c>
      <c r="C54" s="376">
        <v>0</v>
      </c>
      <c r="D54" s="376">
        <v>0</v>
      </c>
      <c r="E54" s="347">
        <f t="shared" si="11"/>
        <v>0</v>
      </c>
      <c r="F54" s="376">
        <v>187.2</v>
      </c>
      <c r="G54" s="376">
        <v>0</v>
      </c>
      <c r="H54" s="376">
        <v>0</v>
      </c>
      <c r="I54" s="347">
        <f t="shared" si="12"/>
        <v>187.2</v>
      </c>
      <c r="J54" s="376">
        <f t="shared" si="13"/>
        <v>-187.2</v>
      </c>
      <c r="K54" s="376">
        <f t="shared" si="14"/>
        <v>0</v>
      </c>
      <c r="L54" s="376">
        <f t="shared" si="14"/>
        <v>0</v>
      </c>
      <c r="M54" s="347">
        <f t="shared" si="15"/>
        <v>-187.2</v>
      </c>
      <c r="N54" s="336"/>
      <c r="O54" s="391"/>
      <c r="P54" s="392"/>
      <c r="Q54" s="393"/>
      <c r="R54" s="255"/>
      <c r="S54" s="255"/>
      <c r="T54" s="255"/>
      <c r="U54" s="255"/>
      <c r="V54" s="255"/>
      <c r="W54" s="255"/>
      <c r="X54" s="255"/>
      <c r="Y54" s="255"/>
      <c r="Z54" s="255"/>
    </row>
    <row r="55" spans="1:26" ht="13.5">
      <c r="A55" s="333" t="s">
        <v>49</v>
      </c>
      <c r="B55" s="376">
        <v>0</v>
      </c>
      <c r="C55" s="376">
        <v>0</v>
      </c>
      <c r="D55" s="376">
        <v>95.9</v>
      </c>
      <c r="E55" s="347">
        <f>B55+C55+D55</f>
        <v>95.9</v>
      </c>
      <c r="F55" s="376">
        <v>0</v>
      </c>
      <c r="G55" s="376">
        <v>0</v>
      </c>
      <c r="H55" s="376">
        <v>0</v>
      </c>
      <c r="I55" s="347">
        <f>F55+G55+H55</f>
        <v>0</v>
      </c>
      <c r="J55" s="376">
        <f t="shared" si="13"/>
        <v>0</v>
      </c>
      <c r="K55" s="376">
        <f aca="true" t="shared" si="16" ref="K55:L59">C55-G55</f>
        <v>0</v>
      </c>
      <c r="L55" s="376">
        <f t="shared" si="16"/>
        <v>95.9</v>
      </c>
      <c r="M55" s="347">
        <f>J55+K55+L55</f>
        <v>95.9</v>
      </c>
      <c r="N55" s="336"/>
      <c r="O55" s="391"/>
      <c r="P55" s="392"/>
      <c r="Q55" s="393"/>
      <c r="R55" s="255"/>
      <c r="S55" s="255"/>
      <c r="T55" s="255"/>
      <c r="U55" s="255"/>
      <c r="V55" s="255"/>
      <c r="W55" s="255"/>
      <c r="X55" s="255"/>
      <c r="Y55" s="255"/>
      <c r="Z55" s="255"/>
    </row>
    <row r="56" spans="1:26" ht="13.5">
      <c r="A56" s="333" t="s">
        <v>156</v>
      </c>
      <c r="B56" s="376">
        <v>0</v>
      </c>
      <c r="C56" s="376">
        <v>0</v>
      </c>
      <c r="D56" s="376">
        <v>0</v>
      </c>
      <c r="E56" s="347">
        <f>B56+C56+D56</f>
        <v>0</v>
      </c>
      <c r="F56" s="376">
        <v>0</v>
      </c>
      <c r="G56" s="376">
        <v>0</v>
      </c>
      <c r="H56" s="376">
        <v>0</v>
      </c>
      <c r="I56" s="347">
        <f>F56+G56+H56</f>
        <v>0</v>
      </c>
      <c r="J56" s="376">
        <f t="shared" si="13"/>
        <v>0</v>
      </c>
      <c r="K56" s="376">
        <f t="shared" si="16"/>
        <v>0</v>
      </c>
      <c r="L56" s="376">
        <f t="shared" si="16"/>
        <v>0</v>
      </c>
      <c r="M56" s="347">
        <f>J56+K56+L56</f>
        <v>0</v>
      </c>
      <c r="N56" s="336"/>
      <c r="O56" s="391"/>
      <c r="P56" s="392"/>
      <c r="Q56" s="393"/>
      <c r="R56" s="255"/>
      <c r="S56" s="255"/>
      <c r="T56" s="255"/>
      <c r="U56" s="255"/>
      <c r="V56" s="255"/>
      <c r="W56" s="255"/>
      <c r="X56" s="255"/>
      <c r="Y56" s="255"/>
      <c r="Z56" s="255"/>
    </row>
    <row r="57" spans="1:26" ht="13.5">
      <c r="A57" s="333" t="s">
        <v>20</v>
      </c>
      <c r="B57" s="376">
        <v>0</v>
      </c>
      <c r="C57" s="376">
        <v>0</v>
      </c>
      <c r="D57" s="376">
        <v>0</v>
      </c>
      <c r="E57" s="347">
        <f>B57+C57+D57</f>
        <v>0</v>
      </c>
      <c r="F57" s="376">
        <v>999.7</v>
      </c>
      <c r="G57" s="376">
        <v>0</v>
      </c>
      <c r="H57" s="376">
        <v>0</v>
      </c>
      <c r="I57" s="347">
        <f>F57+G57+H57</f>
        <v>999.7</v>
      </c>
      <c r="J57" s="376">
        <f t="shared" si="13"/>
        <v>-999.7</v>
      </c>
      <c r="K57" s="376">
        <f t="shared" si="16"/>
        <v>0</v>
      </c>
      <c r="L57" s="376">
        <f t="shared" si="16"/>
        <v>0</v>
      </c>
      <c r="M57" s="347">
        <f>J57+K57+L57</f>
        <v>-999.7</v>
      </c>
      <c r="N57" s="336"/>
      <c r="O57" s="391"/>
      <c r="P57" s="392"/>
      <c r="Q57" s="393"/>
      <c r="R57" s="255"/>
      <c r="S57" s="255"/>
      <c r="T57" s="255"/>
      <c r="U57" s="255"/>
      <c r="V57" s="255"/>
      <c r="W57" s="255"/>
      <c r="X57" s="255"/>
      <c r="Y57" s="255"/>
      <c r="Z57" s="255"/>
    </row>
    <row r="58" spans="1:26" ht="13.5">
      <c r="A58" s="333" t="s">
        <v>11</v>
      </c>
      <c r="B58" s="376">
        <v>0</v>
      </c>
      <c r="C58" s="376">
        <v>0</v>
      </c>
      <c r="D58" s="376">
        <v>0</v>
      </c>
      <c r="E58" s="347">
        <f>B58+C58+D58</f>
        <v>0</v>
      </c>
      <c r="F58" s="376">
        <v>12.8</v>
      </c>
      <c r="G58" s="376">
        <v>0</v>
      </c>
      <c r="H58" s="376">
        <v>0</v>
      </c>
      <c r="I58" s="347">
        <f>F58+G58+H58</f>
        <v>12.8</v>
      </c>
      <c r="J58" s="376">
        <f t="shared" si="13"/>
        <v>-12.8</v>
      </c>
      <c r="K58" s="376">
        <f t="shared" si="16"/>
        <v>0</v>
      </c>
      <c r="L58" s="376">
        <f t="shared" si="16"/>
        <v>0</v>
      </c>
      <c r="M58" s="347">
        <f>J58+K58+L58</f>
        <v>-12.8</v>
      </c>
      <c r="N58" s="336"/>
      <c r="O58" s="391"/>
      <c r="P58" s="392"/>
      <c r="Q58" s="393"/>
      <c r="R58" s="255"/>
      <c r="S58" s="255"/>
      <c r="T58" s="255"/>
      <c r="U58" s="255"/>
      <c r="V58" s="255"/>
      <c r="W58" s="255"/>
      <c r="X58" s="255"/>
      <c r="Y58" s="255"/>
      <c r="Z58" s="255"/>
    </row>
    <row r="59" spans="1:26" ht="13.5">
      <c r="A59" s="333" t="s">
        <v>10</v>
      </c>
      <c r="B59" s="376">
        <v>0</v>
      </c>
      <c r="C59" s="376">
        <v>0</v>
      </c>
      <c r="D59" s="376">
        <v>0</v>
      </c>
      <c r="E59" s="347">
        <f>B59+C59+D59</f>
        <v>0</v>
      </c>
      <c r="F59" s="376">
        <v>430.1</v>
      </c>
      <c r="G59" s="376">
        <v>0</v>
      </c>
      <c r="H59" s="376">
        <v>0</v>
      </c>
      <c r="I59" s="347">
        <f>F59+G59+H59</f>
        <v>430.1</v>
      </c>
      <c r="J59" s="376">
        <f t="shared" si="13"/>
        <v>-430.1</v>
      </c>
      <c r="K59" s="376">
        <f t="shared" si="16"/>
        <v>0</v>
      </c>
      <c r="L59" s="376">
        <f t="shared" si="16"/>
        <v>0</v>
      </c>
      <c r="M59" s="347">
        <f>J59+K59+L59</f>
        <v>-430.1</v>
      </c>
      <c r="N59" s="336"/>
      <c r="O59" s="391"/>
      <c r="P59" s="392"/>
      <c r="Q59" s="393"/>
      <c r="R59" s="255"/>
      <c r="S59" s="255"/>
      <c r="T59" s="255"/>
      <c r="U59" s="255"/>
      <c r="V59" s="255"/>
      <c r="W59" s="255"/>
      <c r="X59" s="255"/>
      <c r="Y59" s="255"/>
      <c r="Z59" s="255"/>
    </row>
    <row r="60" spans="1:26" ht="13.5">
      <c r="A60" s="336"/>
      <c r="B60" s="379"/>
      <c r="C60" s="380"/>
      <c r="D60" s="379"/>
      <c r="E60" s="381"/>
      <c r="F60" s="379"/>
      <c r="G60" s="380"/>
      <c r="H60" s="379"/>
      <c r="I60" s="381"/>
      <c r="J60" s="382"/>
      <c r="K60" s="382"/>
      <c r="L60" s="382"/>
      <c r="M60" s="381"/>
      <c r="N60" s="336"/>
      <c r="O60" s="336"/>
      <c r="P60" s="336"/>
      <c r="Q60" s="318"/>
      <c r="R60" s="255"/>
      <c r="S60" s="255"/>
      <c r="T60" s="255"/>
      <c r="U60" s="255"/>
      <c r="V60" s="255"/>
      <c r="W60" s="255"/>
      <c r="X60" s="255"/>
      <c r="Y60" s="255"/>
      <c r="Z60" s="255"/>
    </row>
    <row r="61" spans="1:26" ht="15">
      <c r="A61" s="687" t="s">
        <v>251</v>
      </c>
      <c r="B61" s="687"/>
      <c r="C61" s="337"/>
      <c r="D61" s="337"/>
      <c r="E61" s="341"/>
      <c r="F61" s="342"/>
      <c r="G61" s="342"/>
      <c r="H61" s="342"/>
      <c r="I61" s="340"/>
      <c r="J61" s="340"/>
      <c r="K61" s="255"/>
      <c r="L61" s="255"/>
      <c r="M61" s="255"/>
      <c r="N61" s="255"/>
      <c r="O61" s="255"/>
      <c r="P61" s="255"/>
      <c r="Q61" s="255"/>
      <c r="R61" s="255"/>
      <c r="S61" s="255"/>
      <c r="T61" s="255"/>
      <c r="U61" s="255"/>
      <c r="V61" s="255"/>
      <c r="W61" s="255"/>
      <c r="X61" s="255"/>
      <c r="Y61" s="255"/>
      <c r="Z61" s="255"/>
    </row>
    <row r="62" spans="1:26" ht="13.5">
      <c r="A62" s="680" t="s">
        <v>3</v>
      </c>
      <c r="B62" s="679" t="s">
        <v>239</v>
      </c>
      <c r="C62" s="679"/>
      <c r="D62" s="679"/>
      <c r="E62" s="679"/>
      <c r="F62" s="679" t="s">
        <v>240</v>
      </c>
      <c r="G62" s="679"/>
      <c r="H62" s="679"/>
      <c r="I62" s="679"/>
      <c r="J62" s="679" t="s">
        <v>241</v>
      </c>
      <c r="K62" s="679"/>
      <c r="L62" s="679"/>
      <c r="M62" s="679"/>
      <c r="N62" s="681" t="s">
        <v>252</v>
      </c>
      <c r="O62" s="681"/>
      <c r="P62" s="681"/>
      <c r="Q62" s="681"/>
      <c r="R62" s="681" t="s">
        <v>253</v>
      </c>
      <c r="S62" s="681"/>
      <c r="T62" s="681"/>
      <c r="U62" s="681"/>
      <c r="V62" s="681" t="s">
        <v>254</v>
      </c>
      <c r="W62" s="681"/>
      <c r="X62" s="681"/>
      <c r="Y62" s="681"/>
      <c r="Z62" s="255"/>
    </row>
    <row r="63" spans="1:26" ht="45" customHeight="1">
      <c r="A63" s="680"/>
      <c r="B63" s="374" t="s">
        <v>245</v>
      </c>
      <c r="C63" s="374" t="s">
        <v>244</v>
      </c>
      <c r="D63" s="374" t="s">
        <v>243</v>
      </c>
      <c r="E63" s="374" t="s">
        <v>246</v>
      </c>
      <c r="F63" s="374" t="s">
        <v>245</v>
      </c>
      <c r="G63" s="374" t="s">
        <v>244</v>
      </c>
      <c r="H63" s="374" t="s">
        <v>243</v>
      </c>
      <c r="I63" s="374" t="s">
        <v>246</v>
      </c>
      <c r="J63" s="374" t="s">
        <v>245</v>
      </c>
      <c r="K63" s="374" t="s">
        <v>244</v>
      </c>
      <c r="L63" s="374" t="s">
        <v>243</v>
      </c>
      <c r="M63" s="374" t="s">
        <v>246</v>
      </c>
      <c r="N63" s="374" t="s">
        <v>245</v>
      </c>
      <c r="O63" s="374" t="s">
        <v>244</v>
      </c>
      <c r="P63" s="374" t="s">
        <v>243</v>
      </c>
      <c r="Q63" s="374" t="s">
        <v>246</v>
      </c>
      <c r="R63" s="374" t="s">
        <v>245</v>
      </c>
      <c r="S63" s="374" t="s">
        <v>244</v>
      </c>
      <c r="T63" s="374" t="s">
        <v>243</v>
      </c>
      <c r="U63" s="374" t="s">
        <v>246</v>
      </c>
      <c r="V63" s="374" t="s">
        <v>245</v>
      </c>
      <c r="W63" s="374" t="s">
        <v>244</v>
      </c>
      <c r="X63" s="374" t="s">
        <v>243</v>
      </c>
      <c r="Y63" s="374" t="s">
        <v>246</v>
      </c>
      <c r="Z63" s="255"/>
    </row>
    <row r="64" spans="1:26" ht="13.5">
      <c r="A64" s="327" t="s">
        <v>50</v>
      </c>
      <c r="B64" s="353">
        <f>B30-B31-B38-B40</f>
        <v>651.5999999999999</v>
      </c>
      <c r="C64" s="353">
        <f>C30-C31-C38-C40</f>
        <v>363.6</v>
      </c>
      <c r="D64" s="353">
        <f>D30-D31-D38-D40</f>
        <v>11.899999999999999</v>
      </c>
      <c r="E64" s="354">
        <f aca="true" t="shared" si="17" ref="E64:E76">B64+C64+D64</f>
        <v>1027.1</v>
      </c>
      <c r="F64" s="353">
        <f>F30-F31-F38-F40</f>
        <v>162.5</v>
      </c>
      <c r="G64" s="353">
        <f>G30-G31-G38-G40</f>
        <v>7.900000000000001</v>
      </c>
      <c r="H64" s="353">
        <f>H30-H31-H38-H40</f>
        <v>3.200000000000017</v>
      </c>
      <c r="I64" s="354">
        <f aca="true" t="shared" si="18" ref="I64:I69">F64+G64+H64</f>
        <v>173.60000000000002</v>
      </c>
      <c r="J64" s="394">
        <f>B64-F64</f>
        <v>489.0999999999999</v>
      </c>
      <c r="K64" s="394">
        <f>C64-G64</f>
        <v>355.70000000000005</v>
      </c>
      <c r="L64" s="394">
        <f>D64-H64</f>
        <v>8.699999999999982</v>
      </c>
      <c r="M64" s="347">
        <f>J64+K64+L64</f>
        <v>853.4999999999999</v>
      </c>
      <c r="N64" s="355">
        <f aca="true" t="shared" si="19" ref="N64:N76">B64*D5</f>
        <v>54734.399999999994</v>
      </c>
      <c r="O64" s="355">
        <f aca="true" t="shared" si="20" ref="O64:O76">C64*F5</f>
        <v>30542.4</v>
      </c>
      <c r="P64" s="355">
        <f aca="true" t="shared" si="21" ref="P64:P76">D64*H5</f>
        <v>999.5999999999999</v>
      </c>
      <c r="Q64" s="355">
        <f aca="true" t="shared" si="22" ref="Q64:Q76">N64+O64+P64</f>
        <v>86276.4</v>
      </c>
      <c r="R64" s="355">
        <f aca="true" t="shared" si="23" ref="R64:R76">F64*D5</f>
        <v>13650</v>
      </c>
      <c r="S64" s="355">
        <f aca="true" t="shared" si="24" ref="S64:S76">G64*F5</f>
        <v>663.6000000000001</v>
      </c>
      <c r="T64" s="355">
        <f aca="true" t="shared" si="25" ref="T64:T76">H64*H5</f>
        <v>268.80000000000143</v>
      </c>
      <c r="U64" s="355">
        <f aca="true" t="shared" si="26" ref="U64:U76">R64+S64+T64</f>
        <v>14582.400000000001</v>
      </c>
      <c r="V64" s="355">
        <f>N64-R64</f>
        <v>41084.399999999994</v>
      </c>
      <c r="W64" s="355">
        <f>O64-S64</f>
        <v>29878.800000000003</v>
      </c>
      <c r="X64" s="355">
        <f>P64-T64</f>
        <v>730.7999999999985</v>
      </c>
      <c r="Y64" s="355">
        <f>V64+W64+X64</f>
        <v>71694</v>
      </c>
      <c r="Z64" s="255"/>
    </row>
    <row r="65" spans="1:26" ht="13.5">
      <c r="A65" s="327" t="s">
        <v>53</v>
      </c>
      <c r="B65" s="353">
        <f>B31-B32-B33-B42</f>
        <v>995.1000000000003</v>
      </c>
      <c r="C65" s="353">
        <f>C31-C32-C33-C42</f>
        <v>53.70000000000002</v>
      </c>
      <c r="D65" s="353">
        <f>D31-D32-D33-D42</f>
        <v>2</v>
      </c>
      <c r="E65" s="354">
        <f t="shared" si="17"/>
        <v>1050.8000000000002</v>
      </c>
      <c r="F65" s="353">
        <f>F31-F32-F33-F42</f>
        <v>5.600000000000012</v>
      </c>
      <c r="G65" s="353">
        <f>G31-G32-G33-G42</f>
        <v>0.7999999999999972</v>
      </c>
      <c r="H65" s="353">
        <f>H31-H32-H33-H42</f>
        <v>2.3999999999999915</v>
      </c>
      <c r="I65" s="354">
        <f t="shared" si="18"/>
        <v>8.8</v>
      </c>
      <c r="J65" s="394">
        <f aca="true" t="shared" si="27" ref="J65:L73">B65-F65</f>
        <v>989.5000000000002</v>
      </c>
      <c r="K65" s="394">
        <f t="shared" si="27"/>
        <v>52.90000000000002</v>
      </c>
      <c r="L65" s="394">
        <f t="shared" si="27"/>
        <v>-0.3999999999999915</v>
      </c>
      <c r="M65" s="347">
        <f aca="true" t="shared" si="28" ref="M65:M73">J65+K65+L65</f>
        <v>1042.0000000000002</v>
      </c>
      <c r="N65" s="355">
        <f t="shared" si="19"/>
        <v>83588.40000000002</v>
      </c>
      <c r="O65" s="355">
        <f t="shared" si="20"/>
        <v>4510.800000000001</v>
      </c>
      <c r="P65" s="355">
        <f t="shared" si="21"/>
        <v>168</v>
      </c>
      <c r="Q65" s="355">
        <f t="shared" si="22"/>
        <v>88267.20000000003</v>
      </c>
      <c r="R65" s="355">
        <f t="shared" si="23"/>
        <v>470.400000000001</v>
      </c>
      <c r="S65" s="355">
        <f t="shared" si="24"/>
        <v>67.19999999999976</v>
      </c>
      <c r="T65" s="355">
        <f t="shared" si="25"/>
        <v>201.59999999999928</v>
      </c>
      <c r="U65" s="355">
        <f t="shared" si="26"/>
        <v>739.2</v>
      </c>
      <c r="V65" s="355">
        <f aca="true" t="shared" si="29" ref="V65:X73">N65-R65</f>
        <v>83118.00000000003</v>
      </c>
      <c r="W65" s="355">
        <f t="shared" si="29"/>
        <v>4443.600000000001</v>
      </c>
      <c r="X65" s="355">
        <f t="shared" si="29"/>
        <v>-33.599999999999284</v>
      </c>
      <c r="Y65" s="355">
        <f aca="true" t="shared" si="30" ref="Y65:Y73">V65+W65+X65</f>
        <v>87528.00000000003</v>
      </c>
      <c r="Z65" s="255"/>
    </row>
    <row r="66" spans="1:26" ht="13.5">
      <c r="A66" s="327" t="s">
        <v>52</v>
      </c>
      <c r="B66" s="353">
        <f>B32-B34-B36</f>
        <v>95.89999999999998</v>
      </c>
      <c r="C66" s="353">
        <f>C32-C34-C36</f>
        <v>53.699999999999996</v>
      </c>
      <c r="D66" s="353">
        <f>D32-D34-D36</f>
        <v>3.3</v>
      </c>
      <c r="E66" s="354">
        <f t="shared" si="17"/>
        <v>152.89999999999998</v>
      </c>
      <c r="F66" s="353">
        <f>F32-F34-F36</f>
        <v>24.399999999999977</v>
      </c>
      <c r="G66" s="353">
        <f>G32-G34-G36</f>
        <v>0.10000000000000009</v>
      </c>
      <c r="H66" s="353">
        <f>H32-H34-H36</f>
        <v>6.6</v>
      </c>
      <c r="I66" s="354">
        <f t="shared" si="18"/>
        <v>31.09999999999998</v>
      </c>
      <c r="J66" s="394">
        <f t="shared" si="27"/>
        <v>71.5</v>
      </c>
      <c r="K66" s="394">
        <f t="shared" si="27"/>
        <v>53.599999999999994</v>
      </c>
      <c r="L66" s="394">
        <f t="shared" si="27"/>
        <v>-3.3</v>
      </c>
      <c r="M66" s="347">
        <f t="shared" si="28"/>
        <v>121.8</v>
      </c>
      <c r="N66" s="355">
        <f t="shared" si="19"/>
        <v>8055.5999999999985</v>
      </c>
      <c r="O66" s="355">
        <f t="shared" si="20"/>
        <v>4510.799999999999</v>
      </c>
      <c r="P66" s="355">
        <f t="shared" si="21"/>
        <v>277.2</v>
      </c>
      <c r="Q66" s="355">
        <f t="shared" si="22"/>
        <v>12843.599999999999</v>
      </c>
      <c r="R66" s="355">
        <f t="shared" si="23"/>
        <v>2049.599999999998</v>
      </c>
      <c r="S66" s="355">
        <f t="shared" si="24"/>
        <v>8.400000000000007</v>
      </c>
      <c r="T66" s="355">
        <f t="shared" si="25"/>
        <v>554.4</v>
      </c>
      <c r="U66" s="355">
        <f t="shared" si="26"/>
        <v>2612.3999999999983</v>
      </c>
      <c r="V66" s="355">
        <f t="shared" si="29"/>
        <v>6006</v>
      </c>
      <c r="W66" s="355">
        <f t="shared" si="29"/>
        <v>4502.4</v>
      </c>
      <c r="X66" s="355">
        <f t="shared" si="29"/>
        <v>-277.2</v>
      </c>
      <c r="Y66" s="355">
        <f t="shared" si="30"/>
        <v>10231.199999999999</v>
      </c>
      <c r="Z66" s="255"/>
    </row>
    <row r="67" spans="1:26" ht="13.5">
      <c r="A67" s="327" t="s">
        <v>51</v>
      </c>
      <c r="B67" s="353">
        <f>B33-B37-B41</f>
        <v>425</v>
      </c>
      <c r="C67" s="353">
        <f>C33-C37-C41</f>
        <v>0</v>
      </c>
      <c r="D67" s="353">
        <f>D33-D37-D41</f>
        <v>0</v>
      </c>
      <c r="E67" s="354">
        <f t="shared" si="17"/>
        <v>425</v>
      </c>
      <c r="F67" s="353">
        <f>F33-F37-F41</f>
        <v>0</v>
      </c>
      <c r="G67" s="353">
        <f>G33-G37-G41</f>
        <v>0</v>
      </c>
      <c r="H67" s="353">
        <f>H33-H37-H41</f>
        <v>0</v>
      </c>
      <c r="I67" s="354">
        <f t="shared" si="18"/>
        <v>0</v>
      </c>
      <c r="J67" s="394">
        <f t="shared" si="27"/>
        <v>425</v>
      </c>
      <c r="K67" s="394">
        <f t="shared" si="27"/>
        <v>0</v>
      </c>
      <c r="L67" s="394">
        <f t="shared" si="27"/>
        <v>0</v>
      </c>
      <c r="M67" s="347">
        <f t="shared" si="28"/>
        <v>425</v>
      </c>
      <c r="N67" s="355">
        <f t="shared" si="19"/>
        <v>35700</v>
      </c>
      <c r="O67" s="355">
        <f t="shared" si="20"/>
        <v>0</v>
      </c>
      <c r="P67" s="355">
        <f t="shared" si="21"/>
        <v>0</v>
      </c>
      <c r="Q67" s="355">
        <f t="shared" si="22"/>
        <v>35700</v>
      </c>
      <c r="R67" s="355">
        <f t="shared" si="23"/>
        <v>0</v>
      </c>
      <c r="S67" s="355">
        <f t="shared" si="24"/>
        <v>0</v>
      </c>
      <c r="T67" s="355">
        <f t="shared" si="25"/>
        <v>0</v>
      </c>
      <c r="U67" s="355">
        <f t="shared" si="26"/>
        <v>0</v>
      </c>
      <c r="V67" s="355">
        <f t="shared" si="29"/>
        <v>35700</v>
      </c>
      <c r="W67" s="355">
        <f t="shared" si="29"/>
        <v>0</v>
      </c>
      <c r="X67" s="355">
        <f t="shared" si="29"/>
        <v>0</v>
      </c>
      <c r="Y67" s="355">
        <f t="shared" si="30"/>
        <v>35700</v>
      </c>
      <c r="Z67" s="255"/>
    </row>
    <row r="68" spans="1:26" ht="13.5">
      <c r="A68" s="327" t="s">
        <v>43</v>
      </c>
      <c r="B68" s="353">
        <f>B34-B35</f>
        <v>3.8000000000000114</v>
      </c>
      <c r="C68" s="353">
        <f>C34-C35</f>
        <v>9.2</v>
      </c>
      <c r="D68" s="353">
        <f>D34-D35</f>
        <v>1.4</v>
      </c>
      <c r="E68" s="354">
        <f t="shared" si="17"/>
        <v>14.400000000000011</v>
      </c>
      <c r="F68" s="353">
        <f>F34-F35</f>
        <v>150.4</v>
      </c>
      <c r="G68" s="353">
        <f>G34-G35</f>
        <v>1</v>
      </c>
      <c r="H68" s="353">
        <f>H34-H35</f>
        <v>0</v>
      </c>
      <c r="I68" s="354">
        <f t="shared" si="18"/>
        <v>151.4</v>
      </c>
      <c r="J68" s="394">
        <f t="shared" si="27"/>
        <v>-146.6</v>
      </c>
      <c r="K68" s="394">
        <f t="shared" si="27"/>
        <v>8.2</v>
      </c>
      <c r="L68" s="394">
        <f t="shared" si="27"/>
        <v>1.4</v>
      </c>
      <c r="M68" s="347">
        <f t="shared" si="28"/>
        <v>-137</v>
      </c>
      <c r="N68" s="355">
        <f t="shared" si="19"/>
        <v>543.7040000000015</v>
      </c>
      <c r="O68" s="355">
        <f t="shared" si="20"/>
        <v>1316.3359999999998</v>
      </c>
      <c r="P68" s="355">
        <f t="shared" si="21"/>
        <v>200.31199999999995</v>
      </c>
      <c r="Q68" s="355">
        <f t="shared" si="22"/>
        <v>2060.352000000001</v>
      </c>
      <c r="R68" s="355">
        <f t="shared" si="23"/>
        <v>21519.232</v>
      </c>
      <c r="S68" s="355">
        <f t="shared" si="24"/>
        <v>143.07999999999998</v>
      </c>
      <c r="T68" s="355">
        <f t="shared" si="25"/>
        <v>0</v>
      </c>
      <c r="U68" s="355">
        <f t="shared" si="26"/>
        <v>21662.312</v>
      </c>
      <c r="V68" s="355">
        <f t="shared" si="29"/>
        <v>-20975.528</v>
      </c>
      <c r="W68" s="355">
        <f t="shared" si="29"/>
        <v>1173.2559999999999</v>
      </c>
      <c r="X68" s="355">
        <f t="shared" si="29"/>
        <v>200.31199999999995</v>
      </c>
      <c r="Y68" s="355">
        <f t="shared" si="30"/>
        <v>-19601.959999999995</v>
      </c>
      <c r="Z68" s="255"/>
    </row>
    <row r="69" spans="1:26" ht="13.5">
      <c r="A69" s="327" t="s">
        <v>40</v>
      </c>
      <c r="B69" s="353">
        <f aca="true" t="shared" si="31" ref="B69:D71">B35</f>
        <v>130</v>
      </c>
      <c r="C69" s="353">
        <f t="shared" si="31"/>
        <v>1.4</v>
      </c>
      <c r="D69" s="353">
        <f t="shared" si="31"/>
        <v>0.6</v>
      </c>
      <c r="E69" s="354">
        <f t="shared" si="17"/>
        <v>132</v>
      </c>
      <c r="F69" s="353">
        <f aca="true" t="shared" si="32" ref="F69:H71">F35</f>
        <v>2.9</v>
      </c>
      <c r="G69" s="353">
        <f t="shared" si="32"/>
        <v>0</v>
      </c>
      <c r="H69" s="353">
        <f t="shared" si="32"/>
        <v>0.2</v>
      </c>
      <c r="I69" s="354">
        <f t="shared" si="18"/>
        <v>3.1</v>
      </c>
      <c r="J69" s="394">
        <f t="shared" si="27"/>
        <v>127.1</v>
      </c>
      <c r="K69" s="394">
        <f t="shared" si="27"/>
        <v>1.4</v>
      </c>
      <c r="L69" s="394">
        <f t="shared" si="27"/>
        <v>0.39999999999999997</v>
      </c>
      <c r="M69" s="347">
        <f t="shared" si="28"/>
        <v>128.9</v>
      </c>
      <c r="N69" s="355">
        <f t="shared" si="19"/>
        <v>18600.399999999998</v>
      </c>
      <c r="O69" s="355">
        <f t="shared" si="20"/>
        <v>200.31199999999995</v>
      </c>
      <c r="P69" s="355">
        <f t="shared" si="21"/>
        <v>85.84799999999998</v>
      </c>
      <c r="Q69" s="355">
        <f t="shared" si="22"/>
        <v>18886.56</v>
      </c>
      <c r="R69" s="355">
        <f t="shared" si="23"/>
        <v>414.93199999999996</v>
      </c>
      <c r="S69" s="355">
        <f t="shared" si="24"/>
        <v>0</v>
      </c>
      <c r="T69" s="355">
        <f t="shared" si="25"/>
        <v>28.616</v>
      </c>
      <c r="U69" s="355">
        <f t="shared" si="26"/>
        <v>443.54799999999994</v>
      </c>
      <c r="V69" s="355">
        <f t="shared" si="29"/>
        <v>18185.467999999997</v>
      </c>
      <c r="W69" s="355">
        <f t="shared" si="29"/>
        <v>200.31199999999995</v>
      </c>
      <c r="X69" s="355">
        <f t="shared" si="29"/>
        <v>57.231999999999985</v>
      </c>
      <c r="Y69" s="355">
        <f t="shared" si="30"/>
        <v>18443.012</v>
      </c>
      <c r="Z69" s="255"/>
    </row>
    <row r="70" spans="1:26" ht="13.5">
      <c r="A70" s="327" t="s">
        <v>41</v>
      </c>
      <c r="B70" s="353">
        <f t="shared" si="31"/>
        <v>0.4</v>
      </c>
      <c r="C70" s="353">
        <f t="shared" si="31"/>
        <v>5</v>
      </c>
      <c r="D70" s="353">
        <f t="shared" si="31"/>
        <v>0</v>
      </c>
      <c r="E70" s="354">
        <f t="shared" si="17"/>
        <v>5.4</v>
      </c>
      <c r="F70" s="353">
        <f t="shared" si="32"/>
        <v>7</v>
      </c>
      <c r="G70" s="353">
        <f t="shared" si="32"/>
        <v>0</v>
      </c>
      <c r="H70" s="353">
        <f t="shared" si="32"/>
        <v>0</v>
      </c>
      <c r="I70" s="354">
        <f aca="true" t="shared" si="33" ref="I70:I76">F70+G70+H70</f>
        <v>7</v>
      </c>
      <c r="J70" s="394">
        <f aca="true" t="shared" si="34" ref="J70:L71">B70-F70</f>
        <v>-6.6</v>
      </c>
      <c r="K70" s="394">
        <f t="shared" si="34"/>
        <v>5</v>
      </c>
      <c r="L70" s="394">
        <f t="shared" si="34"/>
        <v>0</v>
      </c>
      <c r="M70" s="347">
        <f>J70+K70+L70</f>
        <v>-1.5999999999999996</v>
      </c>
      <c r="N70" s="355">
        <f t="shared" si="19"/>
        <v>33.6</v>
      </c>
      <c r="O70" s="355">
        <f t="shared" si="20"/>
        <v>420</v>
      </c>
      <c r="P70" s="355">
        <f t="shared" si="21"/>
        <v>0</v>
      </c>
      <c r="Q70" s="355">
        <f t="shared" si="22"/>
        <v>453.6</v>
      </c>
      <c r="R70" s="355">
        <f t="shared" si="23"/>
        <v>588</v>
      </c>
      <c r="S70" s="355">
        <f t="shared" si="24"/>
        <v>0</v>
      </c>
      <c r="T70" s="355">
        <f t="shared" si="25"/>
        <v>0</v>
      </c>
      <c r="U70" s="355">
        <f t="shared" si="26"/>
        <v>588</v>
      </c>
      <c r="V70" s="355">
        <f aca="true" t="shared" si="35" ref="V70:X71">N70-R70</f>
        <v>-554.4</v>
      </c>
      <c r="W70" s="355">
        <f t="shared" si="35"/>
        <v>420</v>
      </c>
      <c r="X70" s="355">
        <f t="shared" si="35"/>
        <v>0</v>
      </c>
      <c r="Y70" s="355">
        <f>V70+W70+X70</f>
        <v>-134.39999999999998</v>
      </c>
      <c r="Z70" s="255"/>
    </row>
    <row r="71" spans="1:26" ht="13.5">
      <c r="A71" s="327" t="s">
        <v>15</v>
      </c>
      <c r="B71" s="353">
        <f t="shared" si="31"/>
        <v>73.4</v>
      </c>
      <c r="C71" s="353">
        <f t="shared" si="31"/>
        <v>14.2</v>
      </c>
      <c r="D71" s="353">
        <f t="shared" si="31"/>
        <v>0</v>
      </c>
      <c r="E71" s="354">
        <f t="shared" si="17"/>
        <v>87.60000000000001</v>
      </c>
      <c r="F71" s="353">
        <f t="shared" si="32"/>
        <v>0.4</v>
      </c>
      <c r="G71" s="353">
        <f t="shared" si="32"/>
        <v>31.2</v>
      </c>
      <c r="H71" s="353">
        <f t="shared" si="32"/>
        <v>0</v>
      </c>
      <c r="I71" s="354">
        <f t="shared" si="33"/>
        <v>31.599999999999998</v>
      </c>
      <c r="J71" s="394">
        <f t="shared" si="34"/>
        <v>73</v>
      </c>
      <c r="K71" s="394">
        <f t="shared" si="34"/>
        <v>-17</v>
      </c>
      <c r="L71" s="394">
        <f t="shared" si="34"/>
        <v>0</v>
      </c>
      <c r="M71" s="347">
        <f>J71+K71+L71</f>
        <v>56</v>
      </c>
      <c r="N71" s="355">
        <f t="shared" si="19"/>
        <v>6165.6</v>
      </c>
      <c r="O71" s="355">
        <f t="shared" si="20"/>
        <v>1192.8</v>
      </c>
      <c r="P71" s="355">
        <f t="shared" si="21"/>
        <v>0</v>
      </c>
      <c r="Q71" s="355">
        <f t="shared" si="22"/>
        <v>7358.400000000001</v>
      </c>
      <c r="R71" s="355">
        <f t="shared" si="23"/>
        <v>33.6</v>
      </c>
      <c r="S71" s="355">
        <f t="shared" si="24"/>
        <v>2620.7999999999997</v>
      </c>
      <c r="T71" s="355">
        <f t="shared" si="25"/>
        <v>0</v>
      </c>
      <c r="U71" s="355">
        <f t="shared" si="26"/>
        <v>2654.3999999999996</v>
      </c>
      <c r="V71" s="355">
        <f t="shared" si="35"/>
        <v>6132</v>
      </c>
      <c r="W71" s="355">
        <f t="shared" si="35"/>
        <v>-1427.9999999999998</v>
      </c>
      <c r="X71" s="355">
        <f t="shared" si="35"/>
        <v>0</v>
      </c>
      <c r="Y71" s="355">
        <f>V71+W71+X71</f>
        <v>4704</v>
      </c>
      <c r="Z71" s="255"/>
    </row>
    <row r="72" spans="1:26" ht="13.5">
      <c r="A72" s="327" t="s">
        <v>157</v>
      </c>
      <c r="B72" s="353">
        <f>B38-B39</f>
        <v>100.09999999999997</v>
      </c>
      <c r="C72" s="353">
        <f>C38-C39</f>
        <v>104.5</v>
      </c>
      <c r="D72" s="353">
        <f>D38-D39</f>
        <v>0</v>
      </c>
      <c r="E72" s="354">
        <f t="shared" si="17"/>
        <v>204.59999999999997</v>
      </c>
      <c r="F72" s="353">
        <f>F38-F39</f>
        <v>2.5</v>
      </c>
      <c r="G72" s="353">
        <f>G38-G39</f>
        <v>0</v>
      </c>
      <c r="H72" s="353">
        <f>H38-H39</f>
        <v>7.6</v>
      </c>
      <c r="I72" s="354">
        <f t="shared" si="33"/>
        <v>10.1</v>
      </c>
      <c r="J72" s="394">
        <f t="shared" si="27"/>
        <v>97.59999999999997</v>
      </c>
      <c r="K72" s="394">
        <f t="shared" si="27"/>
        <v>104.5</v>
      </c>
      <c r="L72" s="394">
        <f t="shared" si="27"/>
        <v>-7.6</v>
      </c>
      <c r="M72" s="347">
        <f t="shared" si="28"/>
        <v>194.49999999999997</v>
      </c>
      <c r="N72" s="355">
        <f t="shared" si="19"/>
        <v>8408.399999999998</v>
      </c>
      <c r="O72" s="355">
        <f t="shared" si="20"/>
        <v>8778</v>
      </c>
      <c r="P72" s="355">
        <f t="shared" si="21"/>
        <v>0</v>
      </c>
      <c r="Q72" s="355">
        <f t="shared" si="22"/>
        <v>17186.399999999998</v>
      </c>
      <c r="R72" s="355">
        <f t="shared" si="23"/>
        <v>210</v>
      </c>
      <c r="S72" s="355">
        <f t="shared" si="24"/>
        <v>0</v>
      </c>
      <c r="T72" s="355">
        <f t="shared" si="25"/>
        <v>638.4</v>
      </c>
      <c r="U72" s="355">
        <f t="shared" si="26"/>
        <v>848.4</v>
      </c>
      <c r="V72" s="355">
        <f t="shared" si="29"/>
        <v>8198.399999999998</v>
      </c>
      <c r="W72" s="355">
        <f t="shared" si="29"/>
        <v>8778</v>
      </c>
      <c r="X72" s="355">
        <f t="shared" si="29"/>
        <v>-638.4</v>
      </c>
      <c r="Y72" s="355">
        <f t="shared" si="30"/>
        <v>16337.999999999998</v>
      </c>
      <c r="Z72" s="255"/>
    </row>
    <row r="73" spans="1:26" ht="13.5">
      <c r="A73" s="327" t="s">
        <v>156</v>
      </c>
      <c r="B73" s="353">
        <f aca="true" t="shared" si="36" ref="B73:D76">B39</f>
        <v>186.8</v>
      </c>
      <c r="C73" s="353">
        <f t="shared" si="36"/>
        <v>82.9</v>
      </c>
      <c r="D73" s="353">
        <f t="shared" si="36"/>
        <v>0</v>
      </c>
      <c r="E73" s="354">
        <f t="shared" si="17"/>
        <v>269.70000000000005</v>
      </c>
      <c r="F73" s="353">
        <f aca="true" t="shared" si="37" ref="F73:H76">F39</f>
        <v>0.1</v>
      </c>
      <c r="G73" s="353">
        <f t="shared" si="37"/>
        <v>0.2</v>
      </c>
      <c r="H73" s="353">
        <f t="shared" si="37"/>
        <v>0</v>
      </c>
      <c r="I73" s="354">
        <f t="shared" si="33"/>
        <v>0.30000000000000004</v>
      </c>
      <c r="J73" s="394">
        <f t="shared" si="27"/>
        <v>186.70000000000002</v>
      </c>
      <c r="K73" s="394">
        <f t="shared" si="27"/>
        <v>82.7</v>
      </c>
      <c r="L73" s="394">
        <f t="shared" si="27"/>
        <v>0</v>
      </c>
      <c r="M73" s="347">
        <f t="shared" si="28"/>
        <v>269.40000000000003</v>
      </c>
      <c r="N73" s="355">
        <f t="shared" si="19"/>
        <v>15691.2</v>
      </c>
      <c r="O73" s="355">
        <f t="shared" si="20"/>
        <v>6963.6</v>
      </c>
      <c r="P73" s="355">
        <f t="shared" si="21"/>
        <v>0</v>
      </c>
      <c r="Q73" s="355">
        <f t="shared" si="22"/>
        <v>22654.800000000003</v>
      </c>
      <c r="R73" s="355">
        <f t="shared" si="23"/>
        <v>8.4</v>
      </c>
      <c r="S73" s="355">
        <f t="shared" si="24"/>
        <v>16.8</v>
      </c>
      <c r="T73" s="355">
        <f t="shared" si="25"/>
        <v>0</v>
      </c>
      <c r="U73" s="355">
        <f t="shared" si="26"/>
        <v>25.200000000000003</v>
      </c>
      <c r="V73" s="355">
        <f t="shared" si="29"/>
        <v>15682.800000000001</v>
      </c>
      <c r="W73" s="355">
        <f t="shared" si="29"/>
        <v>6946.8</v>
      </c>
      <c r="X73" s="355">
        <f t="shared" si="29"/>
        <v>0</v>
      </c>
      <c r="Y73" s="355">
        <f t="shared" si="30"/>
        <v>22629.600000000002</v>
      </c>
      <c r="Z73" s="255"/>
    </row>
    <row r="74" spans="1:26" ht="13.5">
      <c r="A74" s="333" t="s">
        <v>20</v>
      </c>
      <c r="B74" s="353">
        <f t="shared" si="36"/>
        <v>194.6</v>
      </c>
      <c r="C74" s="353">
        <f t="shared" si="36"/>
        <v>99</v>
      </c>
      <c r="D74" s="353">
        <f t="shared" si="36"/>
        <v>0</v>
      </c>
      <c r="E74" s="354">
        <f t="shared" si="17"/>
        <v>293.6</v>
      </c>
      <c r="F74" s="353">
        <f t="shared" si="37"/>
        <v>53.3</v>
      </c>
      <c r="G74" s="353">
        <f t="shared" si="37"/>
        <v>0</v>
      </c>
      <c r="H74" s="353">
        <f t="shared" si="37"/>
        <v>19.9</v>
      </c>
      <c r="I74" s="354">
        <f t="shared" si="33"/>
        <v>73.19999999999999</v>
      </c>
      <c r="J74" s="394">
        <f aca="true" t="shared" si="38" ref="J74:L76">B74-F74</f>
        <v>141.3</v>
      </c>
      <c r="K74" s="394">
        <f t="shared" si="38"/>
        <v>99</v>
      </c>
      <c r="L74" s="394">
        <f t="shared" si="38"/>
        <v>-19.9</v>
      </c>
      <c r="M74" s="347">
        <f>J74+K74+L74</f>
        <v>220.4</v>
      </c>
      <c r="N74" s="355">
        <f t="shared" si="19"/>
        <v>16346.4</v>
      </c>
      <c r="O74" s="355">
        <f t="shared" si="20"/>
        <v>8316</v>
      </c>
      <c r="P74" s="355">
        <f t="shared" si="21"/>
        <v>0</v>
      </c>
      <c r="Q74" s="355">
        <f t="shared" si="22"/>
        <v>24662.4</v>
      </c>
      <c r="R74" s="355">
        <f t="shared" si="23"/>
        <v>4477.2</v>
      </c>
      <c r="S74" s="355">
        <f t="shared" si="24"/>
        <v>0</v>
      </c>
      <c r="T74" s="355">
        <f t="shared" si="25"/>
        <v>1671.6</v>
      </c>
      <c r="U74" s="355">
        <f t="shared" si="26"/>
        <v>6148.799999999999</v>
      </c>
      <c r="V74" s="355">
        <f aca="true" t="shared" si="39" ref="V74:X76">N74-R74</f>
        <v>11869.2</v>
      </c>
      <c r="W74" s="355">
        <f t="shared" si="39"/>
        <v>8316</v>
      </c>
      <c r="X74" s="355">
        <f>P74-T74</f>
        <v>-1671.6</v>
      </c>
      <c r="Y74" s="355">
        <f>V74+W74+X74</f>
        <v>18513.600000000002</v>
      </c>
      <c r="Z74" s="255"/>
    </row>
    <row r="75" spans="1:26" ht="13.5">
      <c r="A75" s="333" t="s">
        <v>11</v>
      </c>
      <c r="B75" s="353">
        <f t="shared" si="36"/>
        <v>51.1</v>
      </c>
      <c r="C75" s="353">
        <f t="shared" si="36"/>
        <v>4.1</v>
      </c>
      <c r="D75" s="353">
        <f t="shared" si="36"/>
        <v>0</v>
      </c>
      <c r="E75" s="354">
        <f t="shared" si="17"/>
        <v>55.2</v>
      </c>
      <c r="F75" s="353">
        <f t="shared" si="37"/>
        <v>0.4</v>
      </c>
      <c r="G75" s="353">
        <f t="shared" si="37"/>
        <v>2.7</v>
      </c>
      <c r="H75" s="353">
        <f t="shared" si="37"/>
        <v>0</v>
      </c>
      <c r="I75" s="354">
        <f t="shared" si="33"/>
        <v>3.1</v>
      </c>
      <c r="J75" s="394">
        <f t="shared" si="38"/>
        <v>50.7</v>
      </c>
      <c r="K75" s="394">
        <f t="shared" si="38"/>
        <v>1.3999999999999995</v>
      </c>
      <c r="L75" s="394">
        <f t="shared" si="38"/>
        <v>0</v>
      </c>
      <c r="M75" s="347">
        <f>J75+K75+L75</f>
        <v>52.1</v>
      </c>
      <c r="N75" s="355">
        <f t="shared" si="19"/>
        <v>4292.400000000001</v>
      </c>
      <c r="O75" s="355">
        <f t="shared" si="20"/>
        <v>344.4</v>
      </c>
      <c r="P75" s="355">
        <f t="shared" si="21"/>
        <v>0</v>
      </c>
      <c r="Q75" s="355">
        <f t="shared" si="22"/>
        <v>4636.8</v>
      </c>
      <c r="R75" s="355">
        <f t="shared" si="23"/>
        <v>33.6</v>
      </c>
      <c r="S75" s="355">
        <f t="shared" si="24"/>
        <v>226.8</v>
      </c>
      <c r="T75" s="355">
        <f t="shared" si="25"/>
        <v>0</v>
      </c>
      <c r="U75" s="355">
        <f t="shared" si="26"/>
        <v>260.40000000000003</v>
      </c>
      <c r="V75" s="355">
        <f t="shared" si="39"/>
        <v>4258.8</v>
      </c>
      <c r="W75" s="355">
        <f t="shared" si="39"/>
        <v>117.59999999999997</v>
      </c>
      <c r="X75" s="355">
        <f t="shared" si="39"/>
        <v>0</v>
      </c>
      <c r="Y75" s="355">
        <f>V75+W75+X75</f>
        <v>4376.400000000001</v>
      </c>
      <c r="Z75" s="255"/>
    </row>
    <row r="76" spans="1:26" ht="13.5">
      <c r="A76" s="333" t="s">
        <v>10</v>
      </c>
      <c r="B76" s="353">
        <f t="shared" si="36"/>
        <v>465.6</v>
      </c>
      <c r="C76" s="353">
        <f t="shared" si="36"/>
        <v>0</v>
      </c>
      <c r="D76" s="353">
        <f t="shared" si="36"/>
        <v>0</v>
      </c>
      <c r="E76" s="354">
        <f t="shared" si="17"/>
        <v>465.6</v>
      </c>
      <c r="F76" s="353">
        <f t="shared" si="37"/>
        <v>1.4</v>
      </c>
      <c r="G76" s="353">
        <f t="shared" si="37"/>
        <v>0</v>
      </c>
      <c r="H76" s="353">
        <f t="shared" si="37"/>
        <v>109.9</v>
      </c>
      <c r="I76" s="354">
        <f t="shared" si="33"/>
        <v>111.30000000000001</v>
      </c>
      <c r="J76" s="394">
        <f t="shared" si="38"/>
        <v>464.20000000000005</v>
      </c>
      <c r="K76" s="394">
        <f t="shared" si="38"/>
        <v>0</v>
      </c>
      <c r="L76" s="394">
        <f t="shared" si="38"/>
        <v>-109.9</v>
      </c>
      <c r="M76" s="347">
        <f>J76+K76+L76</f>
        <v>354.30000000000007</v>
      </c>
      <c r="N76" s="355">
        <f t="shared" si="19"/>
        <v>39110.4</v>
      </c>
      <c r="O76" s="355">
        <f t="shared" si="20"/>
        <v>0</v>
      </c>
      <c r="P76" s="355">
        <f t="shared" si="21"/>
        <v>0</v>
      </c>
      <c r="Q76" s="355">
        <f t="shared" si="22"/>
        <v>39110.4</v>
      </c>
      <c r="R76" s="355">
        <f t="shared" si="23"/>
        <v>117.6</v>
      </c>
      <c r="S76" s="355">
        <f t="shared" si="24"/>
        <v>0</v>
      </c>
      <c r="T76" s="355">
        <f t="shared" si="25"/>
        <v>9231.6</v>
      </c>
      <c r="U76" s="355">
        <f t="shared" si="26"/>
        <v>9349.2</v>
      </c>
      <c r="V76" s="355">
        <f t="shared" si="39"/>
        <v>38992.8</v>
      </c>
      <c r="W76" s="355">
        <f>O76-S76</f>
        <v>0</v>
      </c>
      <c r="X76" s="355">
        <f t="shared" si="39"/>
        <v>-9231.6</v>
      </c>
      <c r="Y76" s="355">
        <f>V76+W76+X76</f>
        <v>29761.200000000004</v>
      </c>
      <c r="Z76" s="255"/>
    </row>
    <row r="77" spans="1:26" ht="13.5">
      <c r="A77" s="327" t="s">
        <v>54</v>
      </c>
      <c r="B77" s="359">
        <f aca="true" t="shared" si="40" ref="B77:N77">SUM(B64:B76)</f>
        <v>3373.4000000000005</v>
      </c>
      <c r="C77" s="359">
        <f t="shared" si="40"/>
        <v>791.3</v>
      </c>
      <c r="D77" s="359">
        <f t="shared" si="40"/>
        <v>19.2</v>
      </c>
      <c r="E77" s="367">
        <f t="shared" si="40"/>
        <v>4183.9</v>
      </c>
      <c r="F77" s="359">
        <f t="shared" si="40"/>
        <v>410.8999999999999</v>
      </c>
      <c r="G77" s="359">
        <f t="shared" si="40"/>
        <v>43.900000000000006</v>
      </c>
      <c r="H77" s="359">
        <f t="shared" si="40"/>
        <v>149.8</v>
      </c>
      <c r="I77" s="367">
        <f t="shared" si="40"/>
        <v>604.6000000000001</v>
      </c>
      <c r="J77" s="367">
        <f t="shared" si="40"/>
        <v>2962.5</v>
      </c>
      <c r="K77" s="367">
        <f t="shared" si="40"/>
        <v>747.4</v>
      </c>
      <c r="L77" s="367">
        <f t="shared" si="40"/>
        <v>-130.60000000000002</v>
      </c>
      <c r="M77" s="367">
        <f t="shared" si="40"/>
        <v>3579.3000000000006</v>
      </c>
      <c r="N77" s="368">
        <f t="shared" si="40"/>
        <v>291270.504</v>
      </c>
      <c r="O77" s="368">
        <f aca="true" t="shared" si="41" ref="O77:W77">SUM(O64:O76)</f>
        <v>67095.448</v>
      </c>
      <c r="P77" s="368">
        <f t="shared" si="41"/>
        <v>1730.9599999999998</v>
      </c>
      <c r="Q77" s="368">
        <f>SUM(Q64:Q76)</f>
        <v>360096.91200000007</v>
      </c>
      <c r="R77" s="368">
        <f t="shared" si="41"/>
        <v>43572.564</v>
      </c>
      <c r="S77" s="368">
        <f t="shared" si="41"/>
        <v>3746.6800000000003</v>
      </c>
      <c r="T77" s="368">
        <f t="shared" si="41"/>
        <v>12595.016000000001</v>
      </c>
      <c r="U77" s="368">
        <f>SUM(U64:U76)</f>
        <v>59914.26000000001</v>
      </c>
      <c r="V77" s="368">
        <f t="shared" si="41"/>
        <v>247697.94</v>
      </c>
      <c r="W77" s="368">
        <f t="shared" si="41"/>
        <v>63348.768000000004</v>
      </c>
      <c r="X77" s="368">
        <f>SUM(X64:X76)</f>
        <v>-10864.056</v>
      </c>
      <c r="Y77" s="368">
        <f>SUM(Y64:Y76)</f>
        <v>300182.65200000006</v>
      </c>
      <c r="Z77" s="255"/>
    </row>
    <row r="78" spans="1:26" ht="13.5">
      <c r="A78" s="318"/>
      <c r="B78" s="395"/>
      <c r="C78" s="395"/>
      <c r="D78" s="395"/>
      <c r="E78" s="396"/>
      <c r="F78" s="395"/>
      <c r="G78" s="395"/>
      <c r="H78" s="395"/>
      <c r="I78" s="396"/>
      <c r="J78" s="395"/>
      <c r="K78" s="395"/>
      <c r="L78" s="395"/>
      <c r="M78" s="395"/>
      <c r="N78" s="397"/>
      <c r="O78" s="397"/>
      <c r="P78" s="397"/>
      <c r="Q78" s="397"/>
      <c r="R78" s="397"/>
      <c r="S78" s="397"/>
      <c r="T78" s="397"/>
      <c r="U78" s="397"/>
      <c r="V78" s="397"/>
      <c r="W78" s="397"/>
      <c r="X78" s="397"/>
      <c r="Y78" s="397" t="s">
        <v>24</v>
      </c>
      <c r="Z78" s="255"/>
    </row>
    <row r="79" spans="1:26" ht="15">
      <c r="A79" s="688" t="s">
        <v>255</v>
      </c>
      <c r="B79" s="688"/>
      <c r="C79" s="361"/>
      <c r="D79" s="361"/>
      <c r="E79" s="255"/>
      <c r="F79" s="364"/>
      <c r="G79" s="337"/>
      <c r="H79" s="337"/>
      <c r="I79" s="335"/>
      <c r="J79" s="361"/>
      <c r="K79" s="255"/>
      <c r="L79" s="255"/>
      <c r="M79" s="255"/>
      <c r="N79" s="255"/>
      <c r="O79" s="255"/>
      <c r="P79" s="255"/>
      <c r="Q79" s="255"/>
      <c r="R79" s="255"/>
      <c r="S79" s="255"/>
      <c r="T79" s="255"/>
      <c r="U79" s="255"/>
      <c r="V79" s="255"/>
      <c r="W79" s="255"/>
      <c r="X79" s="255"/>
      <c r="Y79" s="255"/>
      <c r="Z79" s="255"/>
    </row>
    <row r="80" spans="1:26" ht="13.5">
      <c r="A80" s="682" t="s">
        <v>3</v>
      </c>
      <c r="B80" s="679" t="s">
        <v>242</v>
      </c>
      <c r="C80" s="679"/>
      <c r="D80" s="679"/>
      <c r="E80" s="679" t="s">
        <v>288</v>
      </c>
      <c r="F80" s="679"/>
      <c r="G80" s="679"/>
      <c r="H80" s="679"/>
      <c r="I80" s="335"/>
      <c r="J80" s="361"/>
      <c r="K80" s="255"/>
      <c r="L80" s="255"/>
      <c r="M80" s="255"/>
      <c r="N80" s="255"/>
      <c r="O80" s="255"/>
      <c r="P80" s="255"/>
      <c r="Q80" s="255"/>
      <c r="R80" s="255"/>
      <c r="S80" s="255"/>
      <c r="T80" s="255"/>
      <c r="U80" s="255"/>
      <c r="V80" s="255"/>
      <c r="W80" s="255"/>
      <c r="X80" s="255"/>
      <c r="Y80" s="255"/>
      <c r="Z80" s="255"/>
    </row>
    <row r="81" spans="1:26" ht="64.5" customHeight="1">
      <c r="A81" s="683"/>
      <c r="B81" s="374" t="s">
        <v>245</v>
      </c>
      <c r="C81" s="374" t="s">
        <v>244</v>
      </c>
      <c r="D81" s="374" t="s">
        <v>243</v>
      </c>
      <c r="E81" s="374" t="s">
        <v>245</v>
      </c>
      <c r="F81" s="374" t="s">
        <v>244</v>
      </c>
      <c r="G81" s="374" t="s">
        <v>243</v>
      </c>
      <c r="H81" s="398" t="s">
        <v>206</v>
      </c>
      <c r="I81" s="373" t="s">
        <v>256</v>
      </c>
      <c r="J81" s="373" t="s">
        <v>257</v>
      </c>
      <c r="K81" s="255"/>
      <c r="L81" s="255"/>
      <c r="M81" s="255"/>
      <c r="N81" s="255"/>
      <c r="O81" s="255"/>
      <c r="P81" s="255"/>
      <c r="Q81" s="255"/>
      <c r="R81" s="255"/>
      <c r="S81" s="255"/>
      <c r="T81" s="255"/>
      <c r="U81" s="255"/>
      <c r="V81" s="255"/>
      <c r="W81" s="255"/>
      <c r="X81" s="255"/>
      <c r="Y81" s="255"/>
      <c r="Z81" s="255"/>
    </row>
    <row r="82" spans="1:26" ht="13.5">
      <c r="A82" s="327" t="s">
        <v>50</v>
      </c>
      <c r="B82" s="353">
        <f>N30-N31-N38-N40</f>
        <v>0</v>
      </c>
      <c r="C82" s="353">
        <f>O30-O31-O38-O40</f>
        <v>0</v>
      </c>
      <c r="D82" s="353">
        <f>P30-P31-P38-P40</f>
        <v>0</v>
      </c>
      <c r="E82" s="328">
        <f aca="true" t="shared" si="42" ref="E82:E94">B82*D5</f>
        <v>0</v>
      </c>
      <c r="F82" s="328">
        <f aca="true" t="shared" si="43" ref="F82:F94">C82*F5</f>
        <v>0</v>
      </c>
      <c r="G82" s="328">
        <f aca="true" t="shared" si="44" ref="G82:G94">D82*H5</f>
        <v>0</v>
      </c>
      <c r="H82" s="328">
        <f>E82+F82+G82</f>
        <v>0</v>
      </c>
      <c r="I82" s="328">
        <v>0</v>
      </c>
      <c r="J82" s="328">
        <v>0</v>
      </c>
      <c r="K82" s="255"/>
      <c r="L82" s="255"/>
      <c r="M82" s="255"/>
      <c r="N82" s="255"/>
      <c r="O82" s="255"/>
      <c r="P82" s="255"/>
      <c r="Q82" s="255"/>
      <c r="R82" s="255"/>
      <c r="S82" s="255"/>
      <c r="T82" s="255"/>
      <c r="U82" s="255"/>
      <c r="V82" s="255"/>
      <c r="W82" s="255"/>
      <c r="X82" s="255"/>
      <c r="Y82" s="255"/>
      <c r="Z82" s="255"/>
    </row>
    <row r="83" spans="1:26" ht="13.5">
      <c r="A83" s="327" t="s">
        <v>53</v>
      </c>
      <c r="B83" s="353">
        <f>N31-N32-N33-N42</f>
        <v>0</v>
      </c>
      <c r="C83" s="353">
        <f>O31-O32-O33-O42</f>
        <v>0</v>
      </c>
      <c r="D83" s="353">
        <f>P31-P32-P33-P42</f>
        <v>0</v>
      </c>
      <c r="E83" s="328">
        <f t="shared" si="42"/>
        <v>0</v>
      </c>
      <c r="F83" s="328">
        <f t="shared" si="43"/>
        <v>0</v>
      </c>
      <c r="G83" s="328">
        <f t="shared" si="44"/>
        <v>0</v>
      </c>
      <c r="H83" s="328">
        <f>E83+F83+G83</f>
        <v>0</v>
      </c>
      <c r="I83" s="328">
        <v>0</v>
      </c>
      <c r="J83" s="328">
        <v>0</v>
      </c>
      <c r="K83" s="255"/>
      <c r="L83" s="255"/>
      <c r="M83" s="255"/>
      <c r="N83" s="255"/>
      <c r="O83" s="255"/>
      <c r="P83" s="255"/>
      <c r="Q83" s="255"/>
      <c r="R83" s="255"/>
      <c r="S83" s="255"/>
      <c r="T83" s="255"/>
      <c r="U83" s="255"/>
      <c r="V83" s="255"/>
      <c r="W83" s="255"/>
      <c r="X83" s="255"/>
      <c r="Y83" s="255"/>
      <c r="Z83" s="255"/>
    </row>
    <row r="84" spans="1:26" ht="13.5">
      <c r="A84" s="327" t="s">
        <v>52</v>
      </c>
      <c r="B84" s="353">
        <f>N32-N34-N36</f>
        <v>0</v>
      </c>
      <c r="C84" s="353">
        <f>O32-O34-O36</f>
        <v>0</v>
      </c>
      <c r="D84" s="353">
        <f>P32-P34-P36</f>
        <v>0</v>
      </c>
      <c r="E84" s="328">
        <f t="shared" si="42"/>
        <v>0</v>
      </c>
      <c r="F84" s="328">
        <f t="shared" si="43"/>
        <v>0</v>
      </c>
      <c r="G84" s="328">
        <f t="shared" si="44"/>
        <v>0</v>
      </c>
      <c r="H84" s="328">
        <f>E84+F84+G84</f>
        <v>0</v>
      </c>
      <c r="I84" s="328">
        <v>0</v>
      </c>
      <c r="J84" s="328">
        <v>0</v>
      </c>
      <c r="K84" s="255"/>
      <c r="L84" s="255"/>
      <c r="M84" s="255"/>
      <c r="N84" s="255"/>
      <c r="O84" s="255"/>
      <c r="P84" s="255"/>
      <c r="Q84" s="255"/>
      <c r="R84" s="255"/>
      <c r="S84" s="255"/>
      <c r="T84" s="255"/>
      <c r="U84" s="255"/>
      <c r="V84" s="255"/>
      <c r="W84" s="255"/>
      <c r="X84" s="255"/>
      <c r="Y84" s="255"/>
      <c r="Z84" s="255"/>
    </row>
    <row r="85" spans="1:26" ht="13.5">
      <c r="A85" s="327" t="s">
        <v>51</v>
      </c>
      <c r="B85" s="353">
        <f>N33-N37-N41</f>
        <v>0</v>
      </c>
      <c r="C85" s="353">
        <f>O33-O37-O41</f>
        <v>0</v>
      </c>
      <c r="D85" s="353">
        <f>P33-P37-P41</f>
        <v>0</v>
      </c>
      <c r="E85" s="328">
        <f t="shared" si="42"/>
        <v>0</v>
      </c>
      <c r="F85" s="328">
        <f t="shared" si="43"/>
        <v>0</v>
      </c>
      <c r="G85" s="328">
        <f t="shared" si="44"/>
        <v>0</v>
      </c>
      <c r="H85" s="328">
        <f aca="true" t="shared" si="45" ref="H85:H90">E85+F85+G85</f>
        <v>0</v>
      </c>
      <c r="I85" s="328">
        <v>0</v>
      </c>
      <c r="J85" s="328">
        <v>0</v>
      </c>
      <c r="K85" s="255"/>
      <c r="L85" s="255"/>
      <c r="M85" s="255"/>
      <c r="N85" s="255"/>
      <c r="O85" s="255"/>
      <c r="P85" s="255"/>
      <c r="Q85" s="255"/>
      <c r="R85" s="255"/>
      <c r="S85" s="255"/>
      <c r="T85" s="255"/>
      <c r="U85" s="255"/>
      <c r="V85" s="255"/>
      <c r="W85" s="255"/>
      <c r="X85" s="255"/>
      <c r="Y85" s="255"/>
      <c r="Z85" s="255"/>
    </row>
    <row r="86" spans="1:26" ht="13.5">
      <c r="A86" s="327" t="s">
        <v>43</v>
      </c>
      <c r="B86" s="353">
        <f>N34-N35</f>
        <v>0</v>
      </c>
      <c r="C86" s="353">
        <f>O34-O35</f>
        <v>0</v>
      </c>
      <c r="D86" s="353">
        <f>P34-P35</f>
        <v>0</v>
      </c>
      <c r="E86" s="328">
        <f t="shared" si="42"/>
        <v>0</v>
      </c>
      <c r="F86" s="328">
        <f t="shared" si="43"/>
        <v>0</v>
      </c>
      <c r="G86" s="328">
        <f t="shared" si="44"/>
        <v>0</v>
      </c>
      <c r="H86" s="328">
        <f t="shared" si="45"/>
        <v>0</v>
      </c>
      <c r="I86" s="328">
        <v>0</v>
      </c>
      <c r="J86" s="328">
        <v>0</v>
      </c>
      <c r="K86" s="255"/>
      <c r="L86" s="255"/>
      <c r="M86" s="255"/>
      <c r="N86" s="255"/>
      <c r="O86" s="255"/>
      <c r="P86" s="255"/>
      <c r="Q86" s="255"/>
      <c r="R86" s="255"/>
      <c r="S86" s="255"/>
      <c r="T86" s="255"/>
      <c r="U86" s="255"/>
      <c r="V86" s="255"/>
      <c r="W86" s="255"/>
      <c r="X86" s="255"/>
      <c r="Y86" s="255"/>
      <c r="Z86" s="255"/>
    </row>
    <row r="87" spans="1:26" ht="13.5">
      <c r="A87" s="327" t="s">
        <v>40</v>
      </c>
      <c r="B87" s="353">
        <f aca="true" t="shared" si="46" ref="B87:D89">N35</f>
        <v>0</v>
      </c>
      <c r="C87" s="353">
        <f t="shared" si="46"/>
        <v>0</v>
      </c>
      <c r="D87" s="353">
        <f t="shared" si="46"/>
        <v>0</v>
      </c>
      <c r="E87" s="328">
        <f t="shared" si="42"/>
        <v>0</v>
      </c>
      <c r="F87" s="328">
        <f t="shared" si="43"/>
        <v>0</v>
      </c>
      <c r="G87" s="328">
        <f t="shared" si="44"/>
        <v>0</v>
      </c>
      <c r="H87" s="328">
        <f t="shared" si="45"/>
        <v>0</v>
      </c>
      <c r="I87" s="328">
        <v>0</v>
      </c>
      <c r="J87" s="328">
        <v>0</v>
      </c>
      <c r="K87" s="255"/>
      <c r="L87" s="255"/>
      <c r="M87" s="255"/>
      <c r="N87" s="255"/>
      <c r="O87" s="255"/>
      <c r="P87" s="255"/>
      <c r="Q87" s="255"/>
      <c r="R87" s="255"/>
      <c r="S87" s="255"/>
      <c r="T87" s="255"/>
      <c r="U87" s="255"/>
      <c r="V87" s="255"/>
      <c r="W87" s="255"/>
      <c r="X87" s="255"/>
      <c r="Y87" s="255"/>
      <c r="Z87" s="255"/>
    </row>
    <row r="88" spans="1:26" ht="13.5">
      <c r="A88" s="327" t="s">
        <v>41</v>
      </c>
      <c r="B88" s="353">
        <f t="shared" si="46"/>
        <v>0</v>
      </c>
      <c r="C88" s="353">
        <f t="shared" si="46"/>
        <v>0</v>
      </c>
      <c r="D88" s="353">
        <f t="shared" si="46"/>
        <v>0</v>
      </c>
      <c r="E88" s="328">
        <f t="shared" si="42"/>
        <v>0</v>
      </c>
      <c r="F88" s="328">
        <f t="shared" si="43"/>
        <v>0</v>
      </c>
      <c r="G88" s="328">
        <f t="shared" si="44"/>
        <v>0</v>
      </c>
      <c r="H88" s="328">
        <f t="shared" si="45"/>
        <v>0</v>
      </c>
      <c r="I88" s="328">
        <v>0</v>
      </c>
      <c r="J88" s="328">
        <v>0</v>
      </c>
      <c r="K88" s="255"/>
      <c r="L88" s="255"/>
      <c r="M88" s="255"/>
      <c r="N88" s="255"/>
      <c r="O88" s="255"/>
      <c r="P88" s="255"/>
      <c r="Q88" s="255"/>
      <c r="R88" s="255"/>
      <c r="S88" s="255"/>
      <c r="T88" s="255"/>
      <c r="U88" s="255"/>
      <c r="V88" s="255"/>
      <c r="W88" s="255"/>
      <c r="X88" s="255"/>
      <c r="Y88" s="255"/>
      <c r="Z88" s="255"/>
    </row>
    <row r="89" spans="1:26" ht="13.5">
      <c r="A89" s="327" t="s">
        <v>15</v>
      </c>
      <c r="B89" s="353">
        <f t="shared" si="46"/>
        <v>0</v>
      </c>
      <c r="C89" s="353">
        <f t="shared" si="46"/>
        <v>0</v>
      </c>
      <c r="D89" s="353">
        <f t="shared" si="46"/>
        <v>0</v>
      </c>
      <c r="E89" s="328">
        <f t="shared" si="42"/>
        <v>0</v>
      </c>
      <c r="F89" s="328">
        <f t="shared" si="43"/>
        <v>0</v>
      </c>
      <c r="G89" s="328">
        <f t="shared" si="44"/>
        <v>0</v>
      </c>
      <c r="H89" s="328">
        <f t="shared" si="45"/>
        <v>0</v>
      </c>
      <c r="I89" s="328">
        <v>0</v>
      </c>
      <c r="J89" s="328">
        <v>0</v>
      </c>
      <c r="K89" s="255"/>
      <c r="L89" s="255"/>
      <c r="M89" s="255"/>
      <c r="N89" s="255"/>
      <c r="O89" s="255"/>
      <c r="P89" s="255"/>
      <c r="Q89" s="255"/>
      <c r="R89" s="255"/>
      <c r="S89" s="255"/>
      <c r="T89" s="255"/>
      <c r="U89" s="255"/>
      <c r="V89" s="255"/>
      <c r="W89" s="255"/>
      <c r="X89" s="255"/>
      <c r="Y89" s="255"/>
      <c r="Z89" s="255"/>
    </row>
    <row r="90" spans="1:26" ht="13.5">
      <c r="A90" s="327" t="s">
        <v>157</v>
      </c>
      <c r="B90" s="353">
        <f>N38-N39</f>
        <v>0</v>
      </c>
      <c r="C90" s="353">
        <f>O38-O39</f>
        <v>0</v>
      </c>
      <c r="D90" s="353">
        <f>P38-P39</f>
        <v>0</v>
      </c>
      <c r="E90" s="328">
        <f t="shared" si="42"/>
        <v>0</v>
      </c>
      <c r="F90" s="328">
        <f t="shared" si="43"/>
        <v>0</v>
      </c>
      <c r="G90" s="328">
        <f t="shared" si="44"/>
        <v>0</v>
      </c>
      <c r="H90" s="328">
        <f t="shared" si="45"/>
        <v>0</v>
      </c>
      <c r="I90" s="328">
        <f>H90*0</f>
        <v>0</v>
      </c>
      <c r="J90" s="328">
        <f>H90*1</f>
        <v>0</v>
      </c>
      <c r="K90" s="255"/>
      <c r="L90" s="255"/>
      <c r="M90" s="255"/>
      <c r="N90" s="255"/>
      <c r="O90" s="255"/>
      <c r="P90" s="255"/>
      <c r="Q90" s="255"/>
      <c r="R90" s="255"/>
      <c r="S90" s="255"/>
      <c r="T90" s="255"/>
      <c r="U90" s="255"/>
      <c r="V90" s="255"/>
      <c r="W90" s="255"/>
      <c r="X90" s="255"/>
      <c r="Y90" s="255"/>
      <c r="Z90" s="255"/>
    </row>
    <row r="91" spans="1:26" ht="13.5">
      <c r="A91" s="333" t="s">
        <v>156</v>
      </c>
      <c r="B91" s="353">
        <f aca="true" t="shared" si="47" ref="B91:D94">N39</f>
        <v>0</v>
      </c>
      <c r="C91" s="353">
        <f t="shared" si="47"/>
        <v>0</v>
      </c>
      <c r="D91" s="353">
        <f t="shared" si="47"/>
        <v>0</v>
      </c>
      <c r="E91" s="328">
        <f t="shared" si="42"/>
        <v>0</v>
      </c>
      <c r="F91" s="328">
        <f t="shared" si="43"/>
        <v>0</v>
      </c>
      <c r="G91" s="328">
        <f t="shared" si="44"/>
        <v>0</v>
      </c>
      <c r="H91" s="328">
        <f>E91+F91+G91</f>
        <v>0</v>
      </c>
      <c r="I91" s="328">
        <f>H91*0</f>
        <v>0</v>
      </c>
      <c r="J91" s="328">
        <f>H91*1</f>
        <v>0</v>
      </c>
      <c r="K91" s="255"/>
      <c r="L91" s="255"/>
      <c r="M91" s="255"/>
      <c r="N91" s="255"/>
      <c r="O91" s="255"/>
      <c r="P91" s="255"/>
      <c r="Q91" s="255"/>
      <c r="R91" s="255"/>
      <c r="S91" s="255"/>
      <c r="T91" s="255"/>
      <c r="U91" s="255"/>
      <c r="V91" s="255"/>
      <c r="W91" s="255"/>
      <c r="X91" s="255"/>
      <c r="Y91" s="255"/>
      <c r="Z91" s="255"/>
    </row>
    <row r="92" spans="1:26" ht="13.5">
      <c r="A92" s="333" t="s">
        <v>20</v>
      </c>
      <c r="B92" s="353">
        <f t="shared" si="47"/>
        <v>0</v>
      </c>
      <c r="C92" s="353">
        <f t="shared" si="47"/>
        <v>0</v>
      </c>
      <c r="D92" s="353">
        <f t="shared" si="47"/>
        <v>0</v>
      </c>
      <c r="E92" s="328">
        <f t="shared" si="42"/>
        <v>0</v>
      </c>
      <c r="F92" s="328">
        <f t="shared" si="43"/>
        <v>0</v>
      </c>
      <c r="G92" s="328">
        <f t="shared" si="44"/>
        <v>0</v>
      </c>
      <c r="H92" s="328">
        <f>E92+F92+G92</f>
        <v>0</v>
      </c>
      <c r="I92" s="328">
        <f>H92*0</f>
        <v>0</v>
      </c>
      <c r="J92" s="328">
        <f>H92*1</f>
        <v>0</v>
      </c>
      <c r="K92" s="255"/>
      <c r="L92" s="255"/>
      <c r="M92" s="255"/>
      <c r="N92" s="255"/>
      <c r="O92" s="255"/>
      <c r="P92" s="255"/>
      <c r="Q92" s="255"/>
      <c r="R92" s="255"/>
      <c r="S92" s="255"/>
      <c r="T92" s="255"/>
      <c r="U92" s="255"/>
      <c r="V92" s="255"/>
      <c r="W92" s="255"/>
      <c r="X92" s="255"/>
      <c r="Y92" s="255"/>
      <c r="Z92" s="255"/>
    </row>
    <row r="93" spans="1:26" ht="13.5">
      <c r="A93" s="333" t="s">
        <v>11</v>
      </c>
      <c r="B93" s="353">
        <f t="shared" si="47"/>
        <v>0</v>
      </c>
      <c r="C93" s="353">
        <f t="shared" si="47"/>
        <v>0</v>
      </c>
      <c r="D93" s="353">
        <f t="shared" si="47"/>
        <v>0</v>
      </c>
      <c r="E93" s="328">
        <f t="shared" si="42"/>
        <v>0</v>
      </c>
      <c r="F93" s="328">
        <f t="shared" si="43"/>
        <v>0</v>
      </c>
      <c r="G93" s="328">
        <f t="shared" si="44"/>
        <v>0</v>
      </c>
      <c r="H93" s="328">
        <f>E93+F93+G93</f>
        <v>0</v>
      </c>
      <c r="I93" s="328">
        <f>H93*0</f>
        <v>0</v>
      </c>
      <c r="J93" s="328">
        <f>H93*1</f>
        <v>0</v>
      </c>
      <c r="K93" s="255"/>
      <c r="L93" s="255"/>
      <c r="M93" s="255"/>
      <c r="N93" s="255"/>
      <c r="O93" s="255"/>
      <c r="P93" s="255"/>
      <c r="Q93" s="255"/>
      <c r="R93" s="255"/>
      <c r="S93" s="255"/>
      <c r="T93" s="255"/>
      <c r="U93" s="255"/>
      <c r="V93" s="255"/>
      <c r="W93" s="255"/>
      <c r="X93" s="255"/>
      <c r="Y93" s="255"/>
      <c r="Z93" s="255"/>
    </row>
    <row r="94" spans="1:26" ht="13.5">
      <c r="A94" s="333" t="s">
        <v>10</v>
      </c>
      <c r="B94" s="353">
        <f t="shared" si="47"/>
        <v>0</v>
      </c>
      <c r="C94" s="353">
        <f t="shared" si="47"/>
        <v>0</v>
      </c>
      <c r="D94" s="353">
        <f t="shared" si="47"/>
        <v>0</v>
      </c>
      <c r="E94" s="328">
        <f t="shared" si="42"/>
        <v>0</v>
      </c>
      <c r="F94" s="328">
        <f t="shared" si="43"/>
        <v>0</v>
      </c>
      <c r="G94" s="328">
        <f t="shared" si="44"/>
        <v>0</v>
      </c>
      <c r="H94" s="328">
        <f>E94+F94+G94</f>
        <v>0</v>
      </c>
      <c r="I94" s="328">
        <f>H94*0</f>
        <v>0</v>
      </c>
      <c r="J94" s="328">
        <f>H94*1</f>
        <v>0</v>
      </c>
      <c r="K94" s="255"/>
      <c r="L94" s="255"/>
      <c r="M94" s="255"/>
      <c r="N94" s="255"/>
      <c r="O94" s="255"/>
      <c r="P94" s="255"/>
      <c r="Q94" s="255"/>
      <c r="R94" s="255"/>
      <c r="S94" s="255"/>
      <c r="T94" s="255"/>
      <c r="U94" s="255"/>
      <c r="V94" s="255"/>
      <c r="W94" s="255"/>
      <c r="X94" s="255"/>
      <c r="Y94" s="255"/>
      <c r="Z94" s="255"/>
    </row>
    <row r="95" spans="1:26" ht="13.5">
      <c r="A95" s="327" t="s">
        <v>54</v>
      </c>
      <c r="B95" s="359">
        <f aca="true" t="shared" si="48" ref="B95:J95">SUM(B82:B94)</f>
        <v>0</v>
      </c>
      <c r="C95" s="359">
        <f t="shared" si="48"/>
        <v>0</v>
      </c>
      <c r="D95" s="359">
        <f t="shared" si="48"/>
        <v>0</v>
      </c>
      <c r="E95" s="360">
        <f t="shared" si="48"/>
        <v>0</v>
      </c>
      <c r="F95" s="360">
        <f t="shared" si="48"/>
        <v>0</v>
      </c>
      <c r="G95" s="360">
        <f t="shared" si="48"/>
        <v>0</v>
      </c>
      <c r="H95" s="360">
        <f t="shared" si="48"/>
        <v>0</v>
      </c>
      <c r="I95" s="368">
        <f t="shared" si="48"/>
        <v>0</v>
      </c>
      <c r="J95" s="360">
        <f t="shared" si="48"/>
        <v>0</v>
      </c>
      <c r="K95" s="255"/>
      <c r="L95" s="255"/>
      <c r="M95" s="255"/>
      <c r="N95" s="255"/>
      <c r="O95" s="255"/>
      <c r="P95" s="255"/>
      <c r="Q95" s="255"/>
      <c r="R95" s="255"/>
      <c r="S95" s="255"/>
      <c r="T95" s="255"/>
      <c r="U95" s="255"/>
      <c r="V95" s="255"/>
      <c r="W95" s="255"/>
      <c r="X95" s="255"/>
      <c r="Y95" s="255"/>
      <c r="Z95" s="255"/>
    </row>
    <row r="96" spans="1:26" ht="13.5">
      <c r="A96" s="255"/>
      <c r="B96" s="255"/>
      <c r="C96" s="255"/>
      <c r="D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ht="13.5">
      <c r="A97" s="255"/>
      <c r="B97" s="255"/>
      <c r="C97" s="255"/>
      <c r="D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ht="13.5">
      <c r="A98" s="255"/>
      <c r="B98" s="255"/>
      <c r="C98" s="255"/>
      <c r="D98" s="255"/>
      <c r="E98" s="255"/>
      <c r="F98" s="255"/>
      <c r="G98" s="255"/>
      <c r="H98" s="255"/>
      <c r="I98" s="255"/>
      <c r="J98" s="255"/>
      <c r="K98" s="255"/>
      <c r="L98" s="255"/>
      <c r="M98" s="255"/>
      <c r="N98" s="255"/>
      <c r="O98" s="255"/>
      <c r="P98" s="255"/>
      <c r="Q98" s="255"/>
      <c r="R98" s="255"/>
      <c r="S98" s="255"/>
      <c r="T98" s="255"/>
      <c r="U98" s="255"/>
      <c r="V98" s="255"/>
      <c r="W98" s="255"/>
      <c r="X98" s="255"/>
      <c r="Y98" s="255"/>
      <c r="Z98" s="255"/>
    </row>
  </sheetData>
  <sheetProtection/>
  <mergeCells count="25">
    <mergeCell ref="A3:B3"/>
    <mergeCell ref="A24:H24"/>
    <mergeCell ref="A27:D27"/>
    <mergeCell ref="A44:C44"/>
    <mergeCell ref="A61:B61"/>
    <mergeCell ref="A79:B79"/>
    <mergeCell ref="A45:A46"/>
    <mergeCell ref="B45:E45"/>
    <mergeCell ref="F45:I45"/>
    <mergeCell ref="N62:Q62"/>
    <mergeCell ref="R62:U62"/>
    <mergeCell ref="V62:Y62"/>
    <mergeCell ref="A80:A81"/>
    <mergeCell ref="B80:D80"/>
    <mergeCell ref="E80:H80"/>
    <mergeCell ref="N28:Q28"/>
    <mergeCell ref="J45:M45"/>
    <mergeCell ref="A62:A63"/>
    <mergeCell ref="B62:E62"/>
    <mergeCell ref="F62:I62"/>
    <mergeCell ref="J62:M62"/>
    <mergeCell ref="A28:A29"/>
    <mergeCell ref="B28:E28"/>
    <mergeCell ref="F28:I28"/>
    <mergeCell ref="J28:M28"/>
  </mergeCells>
  <printOptions/>
  <pageMargins left="0.45" right="0.45" top="0.5" bottom="0.5" header="0.3" footer="0.3"/>
  <pageSetup fitToHeight="1" fitToWidth="1" horizontalDpi="600" verticalDpi="600" orientation="landscape" paperSize="17" scale="50" r:id="rId1"/>
</worksheet>
</file>

<file path=xl/worksheets/sheet9.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selection activeCell="A1" sqref="A1"/>
    </sheetView>
  </sheetViews>
  <sheetFormatPr defaultColWidth="9.140625" defaultRowHeight="12.75"/>
  <cols>
    <col min="1" max="1" width="40.7109375" style="0" customWidth="1"/>
    <col min="2" max="12" width="16.7109375" style="0" customWidth="1"/>
    <col min="13" max="13" width="12.7109375" style="0" customWidth="1"/>
  </cols>
  <sheetData>
    <row r="1" spans="1:13" ht="18">
      <c r="A1" s="370" t="s">
        <v>324</v>
      </c>
      <c r="B1" s="255"/>
      <c r="C1" s="255"/>
      <c r="D1" s="255"/>
      <c r="E1" s="255"/>
      <c r="F1" s="255"/>
      <c r="G1" s="321" t="s">
        <v>24</v>
      </c>
      <c r="H1" s="255"/>
      <c r="I1" s="255"/>
      <c r="J1" s="255"/>
      <c r="K1" s="255"/>
      <c r="L1" s="255"/>
      <c r="M1" s="255"/>
    </row>
    <row r="2" spans="1:13" ht="14.25" thickBot="1">
      <c r="A2" s="400"/>
      <c r="B2" s="255"/>
      <c r="C2" s="255"/>
      <c r="D2" s="255"/>
      <c r="E2" s="255"/>
      <c r="F2" s="255"/>
      <c r="G2" s="255"/>
      <c r="H2" s="255"/>
      <c r="I2" s="255"/>
      <c r="J2" s="255"/>
      <c r="K2" s="255"/>
      <c r="L2" s="255"/>
      <c r="M2" s="255"/>
    </row>
    <row r="3" spans="1:13" ht="18" thickBot="1">
      <c r="A3" s="574" t="s">
        <v>0</v>
      </c>
      <c r="B3" s="255"/>
      <c r="C3" s="255"/>
      <c r="D3" s="307" t="s">
        <v>24</v>
      </c>
      <c r="E3" s="255"/>
      <c r="F3" s="255"/>
      <c r="G3" s="255"/>
      <c r="H3" s="255"/>
      <c r="I3" s="255"/>
      <c r="J3" s="255"/>
      <c r="K3" s="255"/>
      <c r="L3" s="255"/>
      <c r="M3" s="255"/>
    </row>
    <row r="4" spans="1:13" ht="13.5">
      <c r="A4" s="401" t="s">
        <v>1</v>
      </c>
      <c r="B4" s="402">
        <v>0.157</v>
      </c>
      <c r="C4" s="255"/>
      <c r="D4" s="403" t="s">
        <v>24</v>
      </c>
      <c r="E4" s="385" t="s">
        <v>24</v>
      </c>
      <c r="F4" s="385" t="s">
        <v>24</v>
      </c>
      <c r="G4" s="385" t="s">
        <v>24</v>
      </c>
      <c r="H4" s="385" t="s">
        <v>24</v>
      </c>
      <c r="I4" s="385" t="s">
        <v>24</v>
      </c>
      <c r="J4" s="385" t="s">
        <v>24</v>
      </c>
      <c r="K4" s="255"/>
      <c r="L4" s="385" t="s">
        <v>24</v>
      </c>
      <c r="M4" s="255"/>
    </row>
    <row r="5" spans="1:13" ht="12.75" customHeight="1">
      <c r="A5" s="404" t="s">
        <v>2</v>
      </c>
      <c r="B5" s="405">
        <v>0.057</v>
      </c>
      <c r="C5" s="255"/>
      <c r="D5" s="331" t="s">
        <v>24</v>
      </c>
      <c r="E5" s="406" t="s">
        <v>24</v>
      </c>
      <c r="F5" s="407" t="s">
        <v>24</v>
      </c>
      <c r="G5" s="407" t="s">
        <v>24</v>
      </c>
      <c r="H5" s="407" t="s">
        <v>24</v>
      </c>
      <c r="I5" s="407" t="s">
        <v>24</v>
      </c>
      <c r="J5" s="385" t="s">
        <v>24</v>
      </c>
      <c r="K5" s="385" t="s">
        <v>24</v>
      </c>
      <c r="L5" s="406" t="s">
        <v>24</v>
      </c>
      <c r="M5" s="255"/>
    </row>
    <row r="6" spans="1:13" ht="13.5">
      <c r="A6" s="408" t="s">
        <v>4</v>
      </c>
      <c r="B6" s="409">
        <v>1.0911</v>
      </c>
      <c r="C6" s="255"/>
      <c r="D6" s="351" t="s">
        <v>24</v>
      </c>
      <c r="E6" s="410" t="s">
        <v>24</v>
      </c>
      <c r="F6" s="411" t="s">
        <v>24</v>
      </c>
      <c r="G6" s="412" t="s">
        <v>24</v>
      </c>
      <c r="H6" s="413" t="s">
        <v>24</v>
      </c>
      <c r="I6" s="413" t="s">
        <v>24</v>
      </c>
      <c r="J6" s="413" t="s">
        <v>24</v>
      </c>
      <c r="K6" s="414" t="s">
        <v>24</v>
      </c>
      <c r="L6" s="415" t="s">
        <v>24</v>
      </c>
      <c r="M6" s="255"/>
    </row>
    <row r="7" spans="1:13" ht="13.5">
      <c r="A7" s="408" t="s">
        <v>36</v>
      </c>
      <c r="B7" s="416">
        <v>160277.8</v>
      </c>
      <c r="C7" s="255"/>
      <c r="D7" s="318" t="s">
        <v>24</v>
      </c>
      <c r="E7" s="406" t="s">
        <v>24</v>
      </c>
      <c r="F7" s="417" t="s">
        <v>24</v>
      </c>
      <c r="G7" s="411" t="s">
        <v>24</v>
      </c>
      <c r="H7" s="411" t="s">
        <v>24</v>
      </c>
      <c r="I7" s="411" t="s">
        <v>24</v>
      </c>
      <c r="J7" s="412" t="s">
        <v>24</v>
      </c>
      <c r="K7" s="413"/>
      <c r="L7" s="406" t="s">
        <v>24</v>
      </c>
      <c r="M7" s="255"/>
    </row>
    <row r="8" spans="1:13" ht="13.5">
      <c r="A8" s="408" t="s">
        <v>37</v>
      </c>
      <c r="B8" s="418" t="s">
        <v>258</v>
      </c>
      <c r="C8" s="255"/>
      <c r="D8" s="318" t="s">
        <v>24</v>
      </c>
      <c r="E8" s="406" t="s">
        <v>24</v>
      </c>
      <c r="F8" s="411" t="s">
        <v>24</v>
      </c>
      <c r="G8" s="412" t="s">
        <v>24</v>
      </c>
      <c r="H8" s="412" t="s">
        <v>24</v>
      </c>
      <c r="I8" s="412" t="s">
        <v>24</v>
      </c>
      <c r="J8" s="413" t="s">
        <v>24</v>
      </c>
      <c r="K8" s="413"/>
      <c r="L8" s="406" t="s">
        <v>33</v>
      </c>
      <c r="M8" s="255"/>
    </row>
    <row r="9" spans="1:13" ht="13.5">
      <c r="A9" s="408" t="s">
        <v>38</v>
      </c>
      <c r="B9" s="419">
        <f>0.8*'BRA Load Pricing Results'!B9</f>
        <v>3300.1420000000007</v>
      </c>
      <c r="C9" s="255" t="s">
        <v>24</v>
      </c>
      <c r="D9" s="335" t="s">
        <v>24</v>
      </c>
      <c r="E9" s="415" t="s">
        <v>24</v>
      </c>
      <c r="F9" s="411" t="s">
        <v>24</v>
      </c>
      <c r="G9" s="412" t="s">
        <v>24</v>
      </c>
      <c r="H9" s="412" t="s">
        <v>24</v>
      </c>
      <c r="I9" s="412" t="s">
        <v>24</v>
      </c>
      <c r="J9" s="413" t="s">
        <v>24</v>
      </c>
      <c r="K9" s="413"/>
      <c r="L9" s="415" t="s">
        <v>24</v>
      </c>
      <c r="M9" s="255"/>
    </row>
    <row r="10" spans="1:13" ht="14.25" thickBot="1">
      <c r="A10" s="420" t="s">
        <v>23</v>
      </c>
      <c r="B10" s="421">
        <f>(B15-B9)/(G62*B6)</f>
        <v>1.019632641439628</v>
      </c>
      <c r="C10" s="422" t="s">
        <v>24</v>
      </c>
      <c r="D10" s="423" t="s">
        <v>24</v>
      </c>
      <c r="E10" s="406" t="s">
        <v>24</v>
      </c>
      <c r="F10" s="417" t="s">
        <v>24</v>
      </c>
      <c r="G10" s="412" t="s">
        <v>24</v>
      </c>
      <c r="H10" s="412" t="s">
        <v>24</v>
      </c>
      <c r="I10" s="412" t="s">
        <v>24</v>
      </c>
      <c r="J10" s="412" t="s">
        <v>24</v>
      </c>
      <c r="K10" s="413" t="s">
        <v>24</v>
      </c>
      <c r="L10" s="406" t="s">
        <v>24</v>
      </c>
      <c r="M10" s="255"/>
    </row>
    <row r="11" spans="1:13" ht="13.5">
      <c r="A11" s="255"/>
      <c r="B11" s="424"/>
      <c r="C11" s="255"/>
      <c r="D11" s="336" t="s">
        <v>24</v>
      </c>
      <c r="E11" s="424" t="s">
        <v>24</v>
      </c>
      <c r="F11" s="256" t="s">
        <v>24</v>
      </c>
      <c r="G11" s="424" t="s">
        <v>24</v>
      </c>
      <c r="H11" s="390" t="s">
        <v>24</v>
      </c>
      <c r="I11" s="255"/>
      <c r="J11" s="255"/>
      <c r="K11" s="255"/>
      <c r="L11" s="255" t="s">
        <v>24</v>
      </c>
      <c r="M11" s="255"/>
    </row>
    <row r="12" spans="1:13" ht="13.5">
      <c r="A12" s="336"/>
      <c r="B12" s="425"/>
      <c r="C12" s="425" t="s">
        <v>24</v>
      </c>
      <c r="D12" s="337" t="s">
        <v>24</v>
      </c>
      <c r="E12" s="341"/>
      <c r="F12" s="342"/>
      <c r="G12" s="426" t="s">
        <v>24</v>
      </c>
      <c r="H12" s="342"/>
      <c r="I12" s="340"/>
      <c r="J12" s="340"/>
      <c r="K12" s="340"/>
      <c r="L12" s="383"/>
      <c r="M12" s="255"/>
    </row>
    <row r="13" spans="1:13" ht="15">
      <c r="A13" s="427" t="s">
        <v>259</v>
      </c>
      <c r="B13" s="337"/>
      <c r="C13" s="337"/>
      <c r="D13" s="337"/>
      <c r="E13" s="428" t="s">
        <v>24</v>
      </c>
      <c r="F13" s="345"/>
      <c r="G13" s="345"/>
      <c r="H13" s="345"/>
      <c r="I13" s="340"/>
      <c r="J13" s="340"/>
      <c r="K13" s="340"/>
      <c r="L13" s="383"/>
      <c r="M13" s="255"/>
    </row>
    <row r="14" spans="1:13" ht="94.5" customHeight="1">
      <c r="A14" s="373" t="s">
        <v>3</v>
      </c>
      <c r="B14" s="373" t="s">
        <v>260</v>
      </c>
      <c r="C14" s="373" t="s">
        <v>261</v>
      </c>
      <c r="D14" s="373" t="s">
        <v>262</v>
      </c>
      <c r="E14" s="485" t="s">
        <v>209</v>
      </c>
      <c r="F14" s="485" t="s">
        <v>214</v>
      </c>
      <c r="G14" s="485" t="s">
        <v>210</v>
      </c>
      <c r="H14" s="485" t="s">
        <v>215</v>
      </c>
      <c r="I14" s="399" t="s">
        <v>332</v>
      </c>
      <c r="J14" s="485" t="s">
        <v>213</v>
      </c>
      <c r="K14" s="373" t="s">
        <v>263</v>
      </c>
      <c r="L14" s="429"/>
      <c r="M14" s="255"/>
    </row>
    <row r="15" spans="1:13" ht="13.5">
      <c r="A15" s="327" t="s">
        <v>6</v>
      </c>
      <c r="B15" s="430">
        <f>'BRA Resource Clearing Results'!E68-'1stIA Resource Clearing Results'!M30+B9</f>
        <v>166724.54199999996</v>
      </c>
      <c r="C15" s="431">
        <f>('BRA Resource Clearing Results'!E68*'BRA Resource Clearing Results'!B5-'1stIA Resource Clearing Results'!M30*'1stIA Resource Clearing Results'!B5)/('BRA Resource Clearing Results'!E68-'1stIA Resource Clearing Results'!M30)</f>
        <v>120.7884673280122</v>
      </c>
      <c r="D15" s="431">
        <f>('BRA Resource Clearing Results'!E68*'BRA Resource Clearing Results'!C5-'1stIA Resource Clearing Results'!M30*'1stIA Resource Clearing Results'!C5)/('BRA Resource Clearing Results'!E68-'1stIA Resource Clearing Results'!M30)</f>
        <v>0</v>
      </c>
      <c r="E15" s="334">
        <f>('BRA Resource Clearing Results'!C28+'BRA Resource Clearing Results'!D28)*'BRA Resource Clearing Results'!E5-('1stIA Resource Clearing Results'!K30+'1stIA Resource Clearing Results'!L30)*'1stIA Resource Clearing Results'!E5</f>
        <v>0</v>
      </c>
      <c r="F15" s="431">
        <f>E15/B15</f>
        <v>0</v>
      </c>
      <c r="G15" s="432">
        <f>'BRA Resource Clearing Results'!D28*'BRA Resource Clearing Results'!G5-'1stIA Resource Clearing Results'!L30*'1stIA Resource Clearing Results'!G5</f>
        <v>-32462.958</v>
      </c>
      <c r="H15" s="433">
        <f>G15/B15</f>
        <v>-0.19471013451636895</v>
      </c>
      <c r="I15" s="334">
        <f>'BRA Resource Clearing Results'!J72+'1stIA Resource Clearing Results'!J82</f>
        <v>0</v>
      </c>
      <c r="J15" s="431">
        <f>I15/B15</f>
        <v>0</v>
      </c>
      <c r="K15" s="434">
        <f>C15+D15+F15+H15+J15</f>
        <v>120.59375719349583</v>
      </c>
      <c r="L15" s="435"/>
      <c r="M15" s="255"/>
    </row>
    <row r="16" spans="1:13" ht="13.5">
      <c r="A16" s="327" t="s">
        <v>29</v>
      </c>
      <c r="B16" s="430">
        <f>K42+K46+K52+(SUM(K54:K61))</f>
        <v>66471.14835859611</v>
      </c>
      <c r="C16" s="431">
        <f aca="true" t="shared" si="0" ref="C16:C22">$C$15</f>
        <v>120.7884673280122</v>
      </c>
      <c r="D16" s="431">
        <f>D15+('BRA Resource Clearing Results'!E29*'BRA Resource Clearing Results'!C6-'1stIA Resource Clearing Results'!M31*'1stIA Resource Clearing Results'!C6)/('BRA Resource Clearing Results'!E29-'1stIA Resource Clearing Results'!M31)</f>
        <v>0</v>
      </c>
      <c r="E16" s="334">
        <f>('BRA Resource Clearing Results'!C29+'BRA Resource Clearing Results'!D29)*('BRA Resource Clearing Results'!E6-'BRA Resource Clearing Results'!E5)-('1stIA Resource Clearing Results'!K31+'1stIA Resource Clearing Results'!L31)*('1stIA Resource Clearing Results'!E6-'1stIA Resource Clearing Results'!E5)</f>
        <v>0</v>
      </c>
      <c r="F16" s="431">
        <f>F15+(E16/B16)</f>
        <v>0</v>
      </c>
      <c r="G16" s="334">
        <f>'BRA Resource Clearing Results'!D29*('BRA Resource Clearing Results'!G6-'BRA Resource Clearing Results'!G5)-'1stIA Resource Clearing Results'!L31*('1stIA Resource Clearing Results'!G6-'1stIA Resource Clearing Results'!G5)</f>
        <v>0</v>
      </c>
      <c r="H16" s="433">
        <f>H15+(G16/B16)</f>
        <v>-0.19471013451636895</v>
      </c>
      <c r="I16" s="334">
        <f>'BRA Resource Clearing Results'!J73+'1stIA Resource Clearing Results'!J83</f>
        <v>7800</v>
      </c>
      <c r="J16" s="431">
        <f>J15+I16/B16</f>
        <v>0.11734414392723963</v>
      </c>
      <c r="K16" s="434">
        <f aca="true" t="shared" si="1" ref="K16:K22">C16+D16+F16+H16+J16</f>
        <v>120.71110133742307</v>
      </c>
      <c r="L16" s="435"/>
      <c r="M16" s="255"/>
    </row>
    <row r="17" spans="1:13" ht="13.5">
      <c r="A17" s="327" t="s">
        <v>39</v>
      </c>
      <c r="B17" s="430">
        <f>K42+K52+K54+K56+K60+K61</f>
        <v>36327.0468435746</v>
      </c>
      <c r="C17" s="431">
        <f t="shared" si="0"/>
        <v>120.7884673280122</v>
      </c>
      <c r="D17" s="431">
        <f>D16+('BRA Resource Clearing Results'!E30*'BRA Resource Clearing Results'!C7-'1stIA Resource Clearing Results'!M32*'1stIA Resource Clearing Results'!C7)/('BRA Resource Clearing Results'!E30-'1stIA Resource Clearing Results'!M32)</f>
        <v>0</v>
      </c>
      <c r="E17" s="334">
        <f>('BRA Resource Clearing Results'!C30+'BRA Resource Clearing Results'!D30)*('BRA Resource Clearing Results'!E7-'BRA Resource Clearing Results'!E6)-('1stIA Resource Clearing Results'!K32+'1stIA Resource Clearing Results'!L32)*('1stIA Resource Clearing Results'!E7-'1stIA Resource Clearing Results'!E6)</f>
        <v>0</v>
      </c>
      <c r="F17" s="431">
        <f>F16+(E17/B17)</f>
        <v>0</v>
      </c>
      <c r="G17" s="334">
        <f>'BRA Resource Clearing Results'!D30*('BRA Resource Clearing Results'!G7-'BRA Resource Clearing Results'!G6)-'1stIA Resource Clearing Results'!L32*('1stIA Resource Clearing Results'!G7-'1stIA Resource Clearing Results'!G6)</f>
        <v>0</v>
      </c>
      <c r="H17" s="433">
        <f>H16+(G17/B17)</f>
        <v>-0.19471013451636895</v>
      </c>
      <c r="I17" s="334">
        <f>'BRA Resource Clearing Results'!J74+'1stIA Resource Clearing Results'!J84</f>
        <v>0</v>
      </c>
      <c r="J17" s="431">
        <f>J16+I17/B17</f>
        <v>0.11734414392723963</v>
      </c>
      <c r="K17" s="434">
        <f t="shared" si="1"/>
        <v>120.71110133742307</v>
      </c>
      <c r="L17" s="435"/>
      <c r="M17" s="255"/>
    </row>
    <row r="18" spans="1:13" ht="13.5">
      <c r="A18" s="327" t="s">
        <v>5</v>
      </c>
      <c r="B18" s="430">
        <f>K46+K58</f>
        <v>15310.918975809142</v>
      </c>
      <c r="C18" s="431">
        <f t="shared" si="0"/>
        <v>120.7884673280122</v>
      </c>
      <c r="D18" s="431">
        <f>D16+('BRA Resource Clearing Results'!E31*'BRA Resource Clearing Results'!C8-'1stIA Resource Clearing Results'!M33*'1stIA Resource Clearing Results'!C8)/('BRA Resource Clearing Results'!E31-'1stIA Resource Clearing Results'!M33)</f>
        <v>0</v>
      </c>
      <c r="E18" s="334">
        <f>('BRA Resource Clearing Results'!C31+'BRA Resource Clearing Results'!D31)*('BRA Resource Clearing Results'!E8-'BRA Resource Clearing Results'!E6)-('1stIA Resource Clearing Results'!K33+'1stIA Resource Clearing Results'!L33)*('1stIA Resource Clearing Results'!E8-'1stIA Resource Clearing Results'!E6)</f>
        <v>0</v>
      </c>
      <c r="F18" s="431">
        <f>F16+(E18/B18)</f>
        <v>0</v>
      </c>
      <c r="G18" s="334">
        <f>'BRA Resource Clearing Results'!D31*('BRA Resource Clearing Results'!G8-'BRA Resource Clearing Results'!G6)-'1stIA Resource Clearing Results'!L33*('1stIA Resource Clearing Results'!G8-'1stIA Resource Clearing Results'!G6)</f>
        <v>0</v>
      </c>
      <c r="H18" s="433">
        <f>H16+(G18/B18)</f>
        <v>-0.19471013451636895</v>
      </c>
      <c r="I18" s="334">
        <f>'BRA Resource Clearing Results'!J75+'1stIA Resource Clearing Results'!J85</f>
        <v>0</v>
      </c>
      <c r="J18" s="431">
        <f>J16+I18/B18</f>
        <v>0.11734414392723963</v>
      </c>
      <c r="K18" s="434">
        <f t="shared" si="1"/>
        <v>120.71110133742307</v>
      </c>
      <c r="L18" s="435"/>
      <c r="M18" s="255"/>
    </row>
    <row r="19" spans="1:13" ht="13.5">
      <c r="A19" s="327" t="s">
        <v>15</v>
      </c>
      <c r="B19" s="430">
        <f>K58</f>
        <v>7343.807093497027</v>
      </c>
      <c r="C19" s="431">
        <f t="shared" si="0"/>
        <v>120.7884673280122</v>
      </c>
      <c r="D19" s="431">
        <f>D18+('BRA Resource Clearing Results'!E35*'BRA Resource Clearing Results'!C12-'1stIA Resource Clearing Results'!M37*'1stIA Resource Clearing Results'!C12)/('BRA Resource Clearing Results'!E35-'1stIA Resource Clearing Results'!M37)</f>
        <v>0</v>
      </c>
      <c r="E19" s="334">
        <f>('BRA Resource Clearing Results'!C35+'BRA Resource Clearing Results'!D35)*('BRA Resource Clearing Results'!E12-'BRA Resource Clearing Results'!E8)-('1stIA Resource Clearing Results'!K37+'1stIA Resource Clearing Results'!L37)*('1stIA Resource Clearing Results'!E12-'1stIA Resource Clearing Results'!E8)</f>
        <v>0</v>
      </c>
      <c r="F19" s="431">
        <f>F18+(E19/B19)</f>
        <v>0</v>
      </c>
      <c r="G19" s="334">
        <f>'BRA Resource Clearing Results'!D35*('BRA Resource Clearing Results'!G12-'BRA Resource Clearing Results'!G8)-'1stIA Resource Clearing Results'!L37*('1stIA Resource Clearing Results'!G12-'1stIA Resource Clearing Results'!G8)</f>
        <v>0</v>
      </c>
      <c r="H19" s="433">
        <f>H18+(G19/B19)</f>
        <v>-0.19471013451636895</v>
      </c>
      <c r="I19" s="334">
        <f>'BRA Resource Clearing Results'!J79+'1stIA Resource Clearing Results'!J89</f>
        <v>0</v>
      </c>
      <c r="J19" s="431">
        <f>J18+I19/B19</f>
        <v>0.11734414392723963</v>
      </c>
      <c r="K19" s="434">
        <f t="shared" si="1"/>
        <v>120.71110133742307</v>
      </c>
      <c r="L19" s="435"/>
      <c r="M19" s="255"/>
    </row>
    <row r="20" spans="1:13" ht="13.5">
      <c r="A20" s="327" t="s">
        <v>20</v>
      </c>
      <c r="B20" s="430">
        <f>K47</f>
        <v>25385.735320086413</v>
      </c>
      <c r="C20" s="431">
        <f t="shared" si="0"/>
        <v>120.7884673280122</v>
      </c>
      <c r="D20" s="431">
        <f>D15+('BRA Resource Clearing Results'!E38*'BRA Resource Clearing Results'!C15-'1stIA Resource Clearing Results'!M40*'1stIA Resource Clearing Results'!C15)/('BRA Resource Clearing Results'!E38-'1stIA Resource Clearing Results'!M40)</f>
        <v>0</v>
      </c>
      <c r="E20" s="334">
        <f>('BRA Resource Clearing Results'!C38+'BRA Resource Clearing Results'!D38)*('BRA Resource Clearing Results'!E15-'BRA Resource Clearing Results'!E5)-('1stIA Resource Clearing Results'!K40+'1stIA Resource Clearing Results'!L40)*('1stIA Resource Clearing Results'!E15-'1stIA Resource Clearing Results'!E5)</f>
        <v>0</v>
      </c>
      <c r="F20" s="431">
        <f>F15+(E20/B20)</f>
        <v>0</v>
      </c>
      <c r="G20" s="334">
        <f>'BRA Resource Clearing Results'!D38*('BRA Resource Clearing Results'!G15-'BRA Resource Clearing Results'!G5)-'1stIA Resource Clearing Results'!L40*('1stIA Resource Clearing Results'!G15-'1stIA Resource Clearing Results'!G5)</f>
        <v>0</v>
      </c>
      <c r="H20" s="433">
        <f>H15+(G20/B20)</f>
        <v>-0.19471013451636895</v>
      </c>
      <c r="I20" s="334">
        <f>'BRA Resource Clearing Results'!J82+'1stIA Resource Clearing Results'!J92</f>
        <v>0</v>
      </c>
      <c r="J20" s="431">
        <f>J15+I20/B20</f>
        <v>0</v>
      </c>
      <c r="K20" s="434">
        <f t="shared" si="1"/>
        <v>120.59375719349583</v>
      </c>
      <c r="L20" s="435"/>
      <c r="M20" s="255"/>
    </row>
    <row r="21" spans="1:13" ht="13.5">
      <c r="A21" s="327" t="s">
        <v>11</v>
      </c>
      <c r="B21" s="430">
        <f>K46</f>
        <v>7967.111882312114</v>
      </c>
      <c r="C21" s="431">
        <f t="shared" si="0"/>
        <v>120.7884673280122</v>
      </c>
      <c r="D21" s="431">
        <f>D18+('BRA Resource Clearing Results'!E39*'BRA Resource Clearing Results'!C16-'1stIA Resource Clearing Results'!M41*'1stIA Resource Clearing Results'!C16)/('BRA Resource Clearing Results'!E39-'1stIA Resource Clearing Results'!M41)</f>
        <v>0</v>
      </c>
      <c r="E21" s="334">
        <f>('BRA Resource Clearing Results'!C39+'BRA Resource Clearing Results'!D39)*('BRA Resource Clearing Results'!E16-'BRA Resource Clearing Results'!E8)-('1stIA Resource Clearing Results'!K41+'1stIA Resource Clearing Results'!L41)*('1stIA Resource Clearing Results'!E16-'1stIA Resource Clearing Results'!E8)</f>
        <v>0</v>
      </c>
      <c r="F21" s="431">
        <f>F18+(E21/B21)</f>
        <v>0</v>
      </c>
      <c r="G21" s="334">
        <f>'BRA Resource Clearing Results'!D39*('BRA Resource Clearing Results'!G16-'BRA Resource Clearing Results'!G8)-'1stIA Resource Clearing Results'!L41*('1stIA Resource Clearing Results'!G16-'1stIA Resource Clearing Results'!G8)</f>
        <v>0</v>
      </c>
      <c r="H21" s="433">
        <f>H18+(G21/B21)</f>
        <v>-0.19471013451636895</v>
      </c>
      <c r="I21" s="334">
        <f>'BRA Resource Clearing Results'!J83+'1stIA Resource Clearing Results'!J93</f>
        <v>0</v>
      </c>
      <c r="J21" s="431">
        <f>J18+I21/B21</f>
        <v>0.11734414392723963</v>
      </c>
      <c r="K21" s="434">
        <f t="shared" si="1"/>
        <v>120.71110133742307</v>
      </c>
      <c r="L21" s="435"/>
      <c r="M21" s="255"/>
    </row>
    <row r="22" spans="1:13" ht="13.5">
      <c r="A22" s="327" t="s">
        <v>10</v>
      </c>
      <c r="B22" s="430">
        <f>K59</f>
        <v>8227.66471470988</v>
      </c>
      <c r="C22" s="431">
        <f t="shared" si="0"/>
        <v>120.7884673280122</v>
      </c>
      <c r="D22" s="431">
        <f>D16+('BRA Resource Clearing Results'!E40*'BRA Resource Clearing Results'!C17-'1stIA Resource Clearing Results'!M42*'1stIA Resource Clearing Results'!C17)/('BRA Resource Clearing Results'!E40-'1stIA Resource Clearing Results'!M42)</f>
        <v>0</v>
      </c>
      <c r="E22" s="432">
        <f>('BRA Resource Clearing Results'!C40+'BRA Resource Clearing Results'!D40)*('BRA Resource Clearing Results'!E17-'BRA Resource Clearing Results'!E6)-('1stIA Resource Clearing Results'!K42+'1stIA Resource Clearing Results'!L42)*('1stIA Resource Clearing Results'!E17-'1stIA Resource Clearing Results'!E6)</f>
        <v>-14854.5</v>
      </c>
      <c r="F22" s="433">
        <f>F16+(E22/B22)</f>
        <v>-1.8054333173594561</v>
      </c>
      <c r="G22" s="334">
        <f>'BRA Resource Clearing Results'!D40*('BRA Resource Clearing Results'!G17-'BRA Resource Clearing Results'!G6)-'1stIA Resource Clearing Results'!L42*('1stIA Resource Clearing Results'!G17-'1stIA Resource Clearing Results'!G6)</f>
        <v>0</v>
      </c>
      <c r="H22" s="433">
        <f>H15+(G22/B22)</f>
        <v>-0.19471013451636895</v>
      </c>
      <c r="I22" s="334">
        <f>'BRA Resource Clearing Results'!J84+'1stIA Resource Clearing Results'!J94</f>
        <v>8</v>
      </c>
      <c r="J22" s="431">
        <f>J16+I22/B22</f>
        <v>0.11831647329132967</v>
      </c>
      <c r="K22" s="434">
        <f t="shared" si="1"/>
        <v>118.9066403494277</v>
      </c>
      <c r="L22" s="435"/>
      <c r="M22" s="255"/>
    </row>
    <row r="23" spans="1:13" ht="13.5">
      <c r="A23" s="336" t="s">
        <v>110</v>
      </c>
      <c r="B23" s="337"/>
      <c r="C23" s="361"/>
      <c r="D23" s="436" t="s">
        <v>24</v>
      </c>
      <c r="E23" s="388" t="s">
        <v>24</v>
      </c>
      <c r="F23" s="364"/>
      <c r="G23" s="356" t="s">
        <v>24</v>
      </c>
      <c r="H23" s="338"/>
      <c r="I23" s="338"/>
      <c r="J23" s="381"/>
      <c r="K23" s="338"/>
      <c r="L23" s="411"/>
      <c r="M23" s="255"/>
    </row>
    <row r="24" spans="1:13" ht="13.5">
      <c r="A24" s="288"/>
      <c r="B24" s="337"/>
      <c r="C24" s="361"/>
      <c r="D24" s="361"/>
      <c r="E24" s="361"/>
      <c r="F24" s="364"/>
      <c r="G24" s="255"/>
      <c r="H24" s="337"/>
      <c r="I24" s="337"/>
      <c r="J24" s="361"/>
      <c r="K24" s="337"/>
      <c r="L24" s="411"/>
      <c r="M24" s="255"/>
    </row>
    <row r="25" spans="1:13" ht="13.5">
      <c r="A25" s="288"/>
      <c r="B25" s="337"/>
      <c r="C25" s="361"/>
      <c r="D25" s="361"/>
      <c r="E25" s="361"/>
      <c r="F25" s="364"/>
      <c r="G25" s="255"/>
      <c r="H25" s="337"/>
      <c r="I25" s="337"/>
      <c r="J25" s="361"/>
      <c r="K25" s="337"/>
      <c r="L25" s="411"/>
      <c r="M25" s="255"/>
    </row>
    <row r="26" spans="1:13" ht="34.5" customHeight="1">
      <c r="A26" s="437" t="s">
        <v>163</v>
      </c>
      <c r="B26" s="255"/>
      <c r="C26" s="255" t="s">
        <v>24</v>
      </c>
      <c r="D26" s="438" t="s">
        <v>24</v>
      </c>
      <c r="E26" s="439" t="s">
        <v>24</v>
      </c>
      <c r="F26" s="255"/>
      <c r="G26" s="255"/>
      <c r="H26" s="255"/>
      <c r="I26" s="255"/>
      <c r="J26" s="282" t="s">
        <v>24</v>
      </c>
      <c r="K26" s="440" t="s">
        <v>24</v>
      </c>
      <c r="L26" s="255"/>
      <c r="M26" s="255"/>
    </row>
    <row r="27" spans="1:13" ht="90" customHeight="1">
      <c r="A27" s="441" t="s">
        <v>68</v>
      </c>
      <c r="B27" s="373" t="s">
        <v>264</v>
      </c>
      <c r="C27" s="373" t="s">
        <v>276</v>
      </c>
      <c r="D27" s="374" t="s">
        <v>265</v>
      </c>
      <c r="E27" s="399" t="s">
        <v>333</v>
      </c>
      <c r="F27" s="399" t="s">
        <v>334</v>
      </c>
      <c r="G27" s="399" t="s">
        <v>335</v>
      </c>
      <c r="H27" s="399" t="s">
        <v>336</v>
      </c>
      <c r="I27" s="399" t="s">
        <v>337</v>
      </c>
      <c r="J27" s="399" t="s">
        <v>338</v>
      </c>
      <c r="K27" s="374" t="s">
        <v>266</v>
      </c>
      <c r="L27" s="255"/>
      <c r="M27" s="255"/>
    </row>
    <row r="28" spans="1:13" ht="13.5">
      <c r="A28" s="327" t="s">
        <v>43</v>
      </c>
      <c r="B28" s="327"/>
      <c r="C28" s="430">
        <f>'BRA Resource Clearing Results'!E54-'1stIA Resource Clearing Results'!M68</f>
        <v>2354.4999999999995</v>
      </c>
      <c r="D28" s="328">
        <f>('BRA Resource Clearing Results'!E32*'BRA Resource Clearing Results'!C9-'1stIA Resource Clearing Results'!M34*'1stIA Resource Clearing Results'!C9)/('BRA Resource Clearing Results'!E32-'1stIA Resource Clearing Results'!M34)</f>
        <v>94.95244949990193</v>
      </c>
      <c r="E28" s="328">
        <f>('BRA Resource Clearing Results'!C54+'BRA Resource Clearing Results'!D54)*('BRA Resource Clearing Results'!E9-'BRA Resource Clearing Results'!E7)-('1stIA Resource Clearing Results'!K68+'1stIA Resource Clearing Results'!L68)*('1stIA Resource Clearing Results'!E9-'1stIA Resource Clearing Results'!E7)</f>
        <v>0</v>
      </c>
      <c r="F28" s="328"/>
      <c r="G28" s="328">
        <f>'BRA Resource Clearing Results'!D54*('BRA Resource Clearing Results'!G9-'BRA Resource Clearing Results'!G7)-'1stIA Resource Clearing Results'!L68*('1stIA Resource Clearing Results'!G9-'1stIA Resource Clearing Results'!G7)</f>
        <v>0</v>
      </c>
      <c r="H28" s="328"/>
      <c r="I28" s="334">
        <f>'BRA Resource Clearing Results'!J76+'1stIA Resource Clearing Results'!J86</f>
        <v>0</v>
      </c>
      <c r="J28" s="327"/>
      <c r="K28" s="327"/>
      <c r="L28" s="255"/>
      <c r="M28" s="255"/>
    </row>
    <row r="29" spans="1:13" ht="13.5">
      <c r="A29" s="327" t="s">
        <v>40</v>
      </c>
      <c r="B29" s="327"/>
      <c r="C29" s="430">
        <f>'BRA Resource Clearing Results'!E55-'1stIA Resource Clearing Results'!M69</f>
        <v>3764.3</v>
      </c>
      <c r="D29" s="328">
        <f>D28+('BRA Resource Clearing Results'!E33*'BRA Resource Clearing Results'!C10-'1stIA Resource Clearing Results'!M35*'1stIA Resource Clearing Results'!C10)/('BRA Resource Clearing Results'!E33-'1stIA Resource Clearing Results'!M35)</f>
        <v>94.95244949990193</v>
      </c>
      <c r="E29" s="328">
        <f>('BRA Resource Clearing Results'!C55+'BRA Resource Clearing Results'!D55)*('BRA Resource Clearing Results'!E10-'BRA Resource Clearing Results'!E7)-('1stIA Resource Clearing Results'!K69+'1stIA Resource Clearing Results'!L69)*('1stIA Resource Clearing Results'!E10-'1stIA Resource Clearing Results'!E7)</f>
        <v>0</v>
      </c>
      <c r="F29" s="328"/>
      <c r="G29" s="328">
        <f>'BRA Resource Clearing Results'!D55*('BRA Resource Clearing Results'!G10-'BRA Resource Clearing Results'!G7)-'1stIA Resource Clearing Results'!L69*('1stIA Resource Clearing Results'!G10-'1stIA Resource Clearing Results'!G7)</f>
        <v>0</v>
      </c>
      <c r="H29" s="328"/>
      <c r="I29" s="334">
        <f>'BRA Resource Clearing Results'!J77+'1stIA Resource Clearing Results'!J87</f>
        <v>0</v>
      </c>
      <c r="J29" s="327"/>
      <c r="K29" s="327"/>
      <c r="L29" s="255"/>
      <c r="M29" s="255"/>
    </row>
    <row r="30" spans="1:13" ht="13.5">
      <c r="A30" s="358" t="s">
        <v>8</v>
      </c>
      <c r="B30" s="442">
        <f>K17</f>
        <v>120.71110133742307</v>
      </c>
      <c r="C30" s="347">
        <f>C29+C28</f>
        <v>6118.799999999999</v>
      </c>
      <c r="D30" s="443">
        <f>(C29*D29+C28*D28)/C30</f>
        <v>94.95244949990195</v>
      </c>
      <c r="E30" s="444">
        <f>E28+E29</f>
        <v>0</v>
      </c>
      <c r="F30" s="443">
        <f>E30/K60</f>
        <v>0</v>
      </c>
      <c r="G30" s="444">
        <f>G28+G29</f>
        <v>0</v>
      </c>
      <c r="H30" s="443">
        <f>G30/K60</f>
        <v>0</v>
      </c>
      <c r="I30" s="445">
        <f>I28+I29</f>
        <v>0</v>
      </c>
      <c r="J30" s="446">
        <f>I30/K60</f>
        <v>0</v>
      </c>
      <c r="K30" s="447">
        <f>B30+D30+F30+H30+J30</f>
        <v>215.66355083732503</v>
      </c>
      <c r="L30" s="356"/>
      <c r="M30" s="255"/>
    </row>
    <row r="31" spans="1:13" ht="13.5">
      <c r="A31" s="327" t="s">
        <v>42</v>
      </c>
      <c r="B31" s="327"/>
      <c r="C31" s="347">
        <v>3930.7</v>
      </c>
      <c r="D31" s="328">
        <v>0</v>
      </c>
      <c r="E31" s="328">
        <v>0</v>
      </c>
      <c r="F31" s="328"/>
      <c r="G31" s="328">
        <v>0</v>
      </c>
      <c r="H31" s="328"/>
      <c r="I31" s="334">
        <v>0</v>
      </c>
      <c r="J31" s="327"/>
      <c r="K31" s="355"/>
      <c r="L31" s="255"/>
      <c r="M31" s="255"/>
    </row>
    <row r="32" spans="1:13" ht="13.5">
      <c r="A32" s="327" t="s">
        <v>41</v>
      </c>
      <c r="B32" s="327"/>
      <c r="C32" s="430">
        <f>'BRA Resource Clearing Results'!E56-'1stIA Resource Clearing Results'!M70</f>
        <v>1683.8999999999992</v>
      </c>
      <c r="D32" s="328">
        <f>('BRA Resource Clearing Results'!E34*'BRA Resource Clearing Results'!C11-'1stIA Resource Clearing Results'!M36*'1stIA Resource Clearing Results'!C11)/('BRA Resource Clearing Results'!E34-'1stIA Resource Clearing Results'!M36)</f>
        <v>0</v>
      </c>
      <c r="E32" s="328">
        <f>('BRA Resource Clearing Results'!C56+'BRA Resource Clearing Results'!D56)*('BRA Resource Clearing Results'!E11-'BRA Resource Clearing Results'!E7)-('1stIA Resource Clearing Results'!K70+'1stIA Resource Clearing Results'!L70)*('1stIA Resource Clearing Results'!E11-'1stIA Resource Clearing Results'!E7)</f>
        <v>0</v>
      </c>
      <c r="F32" s="448"/>
      <c r="G32" s="328">
        <f>'BRA Resource Clearing Results'!D56*('BRA Resource Clearing Results'!G11-'BRA Resource Clearing Results'!G7)-'1stIA Resource Clearing Results'!L70*('1stIA Resource Clearing Results'!G11-'1stIA Resource Clearing Results'!G7)</f>
        <v>0</v>
      </c>
      <c r="H32" s="448"/>
      <c r="I32" s="334">
        <f>'BRA Resource Clearing Results'!J78+'1stIA Resource Clearing Results'!J88</f>
        <v>0</v>
      </c>
      <c r="J32" s="327"/>
      <c r="K32" s="355"/>
      <c r="L32" s="255"/>
      <c r="M32" s="255"/>
    </row>
    <row r="33" spans="1:13" ht="13.5">
      <c r="A33" s="358" t="s">
        <v>17</v>
      </c>
      <c r="B33" s="442">
        <f>K17</f>
        <v>120.71110133742307</v>
      </c>
      <c r="C33" s="347">
        <f>C31+C32</f>
        <v>5614.5999999999985</v>
      </c>
      <c r="D33" s="443">
        <f>(C32*D32+C31*D31)/C33</f>
        <v>0</v>
      </c>
      <c r="E33" s="444">
        <f>E31+E32</f>
        <v>0</v>
      </c>
      <c r="F33" s="443">
        <f>E33/K52</f>
        <v>0</v>
      </c>
      <c r="G33" s="444">
        <f>G31+G32</f>
        <v>0</v>
      </c>
      <c r="H33" s="443">
        <f>G33/K52</f>
        <v>0</v>
      </c>
      <c r="I33" s="445">
        <f>I31+I32</f>
        <v>0</v>
      </c>
      <c r="J33" s="446">
        <f>I33/K52</f>
        <v>0</v>
      </c>
      <c r="K33" s="447">
        <f>B33+D33+F33+H33+J33</f>
        <v>120.71110133742307</v>
      </c>
      <c r="L33" s="356"/>
      <c r="M33" s="255"/>
    </row>
    <row r="34" spans="1:13" ht="13.5">
      <c r="A34" s="327" t="s">
        <v>157</v>
      </c>
      <c r="B34" s="327"/>
      <c r="C34" s="430">
        <f>'BRA Resource Clearing Results'!E58-'1stIA Resource Clearing Results'!M72</f>
        <v>6234.200000000002</v>
      </c>
      <c r="D34" s="328">
        <f>('BRA Resource Clearing Results'!E36*'BRA Resource Clearing Results'!C13-'1stIA Resource Clearing Results'!M38*'1stIA Resource Clearing Results'!C13)/('BRA Resource Clearing Results'!E36-'1stIA Resource Clearing Results'!M38)</f>
        <v>0</v>
      </c>
      <c r="E34" s="328">
        <f>('BRA Resource Clearing Results'!C58+'BRA Resource Clearing Results'!D58)*('BRA Resource Clearing Results'!E13-'BRA Resource Clearing Results'!E5)-('1stIA Resource Clearing Results'!K72+'1stIA Resource Clearing Results'!L72)*('1stIA Resource Clearing Results'!E13-'1stIA Resource Clearing Results'!E5)</f>
        <v>0</v>
      </c>
      <c r="F34" s="328"/>
      <c r="G34" s="328">
        <f>'BRA Resource Clearing Results'!D58*('BRA Resource Clearing Results'!G13-'BRA Resource Clearing Results'!G5)-'1stIA Resource Clearing Results'!L72*('1stIA Resource Clearing Results'!G13-'1stIA Resource Clearing Results'!G5)</f>
        <v>0</v>
      </c>
      <c r="H34" s="328"/>
      <c r="I34" s="334">
        <f>'BRA Resource Clearing Results'!J80+'1stIA Resource Clearing Results'!J90</f>
        <v>0</v>
      </c>
      <c r="J34" s="327"/>
      <c r="K34" s="355"/>
      <c r="L34" s="356"/>
      <c r="M34" s="255"/>
    </row>
    <row r="35" spans="1:13" ht="13.5">
      <c r="A35" s="327" t="s">
        <v>156</v>
      </c>
      <c r="B35" s="327"/>
      <c r="C35" s="430">
        <f>'BRA Resource Clearing Results'!E59-'1stIA Resource Clearing Results'!M73</f>
        <v>2279.2</v>
      </c>
      <c r="D35" s="328">
        <f>('BRA Resource Clearing Results'!E37*'BRA Resource Clearing Results'!C14-'1stIA Resource Clearing Results'!M39*'1stIA Resource Clearing Results'!C14)/('BRA Resource Clearing Results'!E37-'1stIA Resource Clearing Results'!M39)</f>
        <v>0</v>
      </c>
      <c r="E35" s="328">
        <f>('BRA Resource Clearing Results'!C59+'BRA Resource Clearing Results'!D59)*('BRA Resource Clearing Results'!E14-'BRA Resource Clearing Results'!E5)-('1stIA Resource Clearing Results'!K73+'1stIA Resource Clearing Results'!L73)*('1stIA Resource Clearing Results'!E14-'1stIA Resource Clearing Results'!E5)</f>
        <v>0</v>
      </c>
      <c r="F35" s="448"/>
      <c r="G35" s="328">
        <f>'BRA Resource Clearing Results'!D59*('BRA Resource Clearing Results'!G14-'BRA Resource Clearing Results'!G5)-'1stIA Resource Clearing Results'!L73*('1stIA Resource Clearing Results'!G14-'1stIA Resource Clearing Results'!G5)</f>
        <v>0</v>
      </c>
      <c r="H35" s="448"/>
      <c r="I35" s="334">
        <f>'BRA Resource Clearing Results'!J81+'1stIA Resource Clearing Results'!J91</f>
        <v>0</v>
      </c>
      <c r="J35" s="327"/>
      <c r="K35" s="355"/>
      <c r="L35" s="356"/>
      <c r="M35" s="255"/>
    </row>
    <row r="36" spans="1:13" ht="13.5">
      <c r="A36" s="358" t="s">
        <v>49</v>
      </c>
      <c r="B36" s="442">
        <f>K15</f>
        <v>120.59375719349583</v>
      </c>
      <c r="C36" s="347">
        <f>C34+C35</f>
        <v>8513.400000000001</v>
      </c>
      <c r="D36" s="443">
        <f>(C35*D35+C34*D34)/C36</f>
        <v>0</v>
      </c>
      <c r="E36" s="444">
        <f>E34+E35</f>
        <v>0</v>
      </c>
      <c r="F36" s="443">
        <f>E36/K45</f>
        <v>0</v>
      </c>
      <c r="G36" s="444">
        <f>G34+G35</f>
        <v>0</v>
      </c>
      <c r="H36" s="443">
        <f>G36/K45</f>
        <v>0</v>
      </c>
      <c r="I36" s="445">
        <f>I34+I35</f>
        <v>0</v>
      </c>
      <c r="J36" s="446">
        <f>I36/K45</f>
        <v>0</v>
      </c>
      <c r="K36" s="447">
        <f>B36+D36+F36+H36+J36</f>
        <v>120.59375719349583</v>
      </c>
      <c r="L36" s="356"/>
      <c r="M36" s="255"/>
    </row>
    <row r="37" spans="1:13" ht="13.5">
      <c r="A37" s="689" t="s">
        <v>267</v>
      </c>
      <c r="B37" s="689"/>
      <c r="C37" s="381"/>
      <c r="D37" s="449"/>
      <c r="E37" s="450"/>
      <c r="F37" s="449"/>
      <c r="G37" s="449"/>
      <c r="H37" s="449"/>
      <c r="I37" s="451"/>
      <c r="J37" s="451"/>
      <c r="K37" s="452"/>
      <c r="L37" s="356"/>
      <c r="M37" s="255"/>
    </row>
    <row r="38" spans="1:13" ht="13.5">
      <c r="A38" s="288" t="s">
        <v>24</v>
      </c>
      <c r="B38" s="288"/>
      <c r="C38" s="288"/>
      <c r="D38" s="288"/>
      <c r="E38" s="288"/>
      <c r="F38" s="288"/>
      <c r="G38" s="288"/>
      <c r="H38" s="321"/>
      <c r="I38" s="321"/>
      <c r="J38" s="321"/>
      <c r="K38" s="321"/>
      <c r="L38" s="255"/>
      <c r="M38" s="255"/>
    </row>
    <row r="39" spans="1:13" ht="13.5">
      <c r="A39" s="318"/>
      <c r="B39" s="335"/>
      <c r="C39" s="335" t="s">
        <v>24</v>
      </c>
      <c r="D39" s="335" t="s">
        <v>24</v>
      </c>
      <c r="E39" s="351" t="s">
        <v>24</v>
      </c>
      <c r="F39" s="453" t="s">
        <v>24</v>
      </c>
      <c r="G39" s="454"/>
      <c r="H39" s="454"/>
      <c r="I39" s="454"/>
      <c r="J39" s="454"/>
      <c r="K39" s="454"/>
      <c r="L39" s="455"/>
      <c r="M39" s="255"/>
    </row>
    <row r="40" spans="1:13" ht="18">
      <c r="A40" s="456" t="s">
        <v>268</v>
      </c>
      <c r="B40" s="317"/>
      <c r="C40" s="457"/>
      <c r="D40" s="457"/>
      <c r="E40" s="458"/>
      <c r="F40" s="458"/>
      <c r="G40" s="459"/>
      <c r="H40" s="458"/>
      <c r="I40" s="458"/>
      <c r="J40" s="458"/>
      <c r="K40" s="458"/>
      <c r="L40" s="460"/>
      <c r="M40" s="255"/>
    </row>
    <row r="41" spans="1:13" ht="69">
      <c r="A41" s="461" t="s">
        <v>7</v>
      </c>
      <c r="B41" s="461" t="s">
        <v>28</v>
      </c>
      <c r="C41" s="461" t="s">
        <v>27</v>
      </c>
      <c r="D41" s="461" t="s">
        <v>34</v>
      </c>
      <c r="E41" s="461" t="s">
        <v>289</v>
      </c>
      <c r="F41" s="461" t="s">
        <v>22</v>
      </c>
      <c r="G41" s="461" t="s">
        <v>290</v>
      </c>
      <c r="H41" s="461" t="s">
        <v>339</v>
      </c>
      <c r="I41" s="462" t="s">
        <v>23</v>
      </c>
      <c r="J41" s="462" t="s">
        <v>269</v>
      </c>
      <c r="K41" s="462" t="s">
        <v>340</v>
      </c>
      <c r="L41" s="463" t="s">
        <v>270</v>
      </c>
      <c r="M41" s="461" t="s">
        <v>7</v>
      </c>
    </row>
    <row r="42" spans="1:13" ht="13.5">
      <c r="A42" s="327" t="s">
        <v>16</v>
      </c>
      <c r="B42" s="464" t="s">
        <v>29</v>
      </c>
      <c r="C42" s="464" t="s">
        <v>39</v>
      </c>
      <c r="D42" s="464"/>
      <c r="E42" s="465">
        <v>2610</v>
      </c>
      <c r="F42" s="466">
        <f>G42/E42</f>
        <v>1.003831417624521</v>
      </c>
      <c r="G42" s="467">
        <v>2620</v>
      </c>
      <c r="H42" s="378">
        <f>0.8*'BRA Load Pricing Results'!H40</f>
        <v>60.03803430380363</v>
      </c>
      <c r="I42" s="468">
        <f>$B$10</f>
        <v>1.019632641439628</v>
      </c>
      <c r="J42" s="468">
        <f>I42*F42</f>
        <v>1.0235392799125766</v>
      </c>
      <c r="K42" s="469">
        <f>E42*J42*$B$6+H42</f>
        <v>2974.843512999722</v>
      </c>
      <c r="L42" s="470">
        <f>K17</f>
        <v>120.71110133742307</v>
      </c>
      <c r="M42" s="571" t="s">
        <v>16</v>
      </c>
    </row>
    <row r="43" spans="1:13" ht="13.5">
      <c r="A43" s="327" t="s">
        <v>271</v>
      </c>
      <c r="B43" s="464"/>
      <c r="C43" s="464"/>
      <c r="D43" s="464"/>
      <c r="E43" s="472">
        <v>10960</v>
      </c>
      <c r="F43" s="466">
        <v>1.0137082601054481</v>
      </c>
      <c r="G43" s="473">
        <f>E43*F43</f>
        <v>11110.242530755711</v>
      </c>
      <c r="H43" s="378">
        <f>0.8*'BRA Load Pricing Results'!H41</f>
        <v>246.82030477156965</v>
      </c>
      <c r="I43" s="468">
        <f aca="true" t="shared" si="2" ref="I43:I61">$B$10</f>
        <v>1.019632641439628</v>
      </c>
      <c r="J43" s="468">
        <f>I43*F43</f>
        <v>1.0336100309004874</v>
      </c>
      <c r="K43" s="469">
        <f>E43*J43*$B$6+H43</f>
        <v>12607.200380453687</v>
      </c>
      <c r="L43" s="470">
        <f>K15</f>
        <v>120.59375719349583</v>
      </c>
      <c r="M43" s="571" t="s">
        <v>31</v>
      </c>
    </row>
    <row r="44" spans="1:13" ht="13.5">
      <c r="A44" s="327" t="s">
        <v>19</v>
      </c>
      <c r="B44" s="464" t="s">
        <v>24</v>
      </c>
      <c r="C44" s="464"/>
      <c r="D44" s="464"/>
      <c r="E44" s="472">
        <v>8350</v>
      </c>
      <c r="F44" s="466">
        <f>G44/E44</f>
        <v>1.0336526946107785</v>
      </c>
      <c r="G44" s="473">
        <v>8631</v>
      </c>
      <c r="H44" s="378">
        <f>0.8*'BRA Load Pricing Results'!H42</f>
        <v>193.01682228361014</v>
      </c>
      <c r="I44" s="468">
        <f t="shared" si="2"/>
        <v>1.019632641439628</v>
      </c>
      <c r="J44" s="468">
        <f>I44*F44</f>
        <v>1.0539460273371772</v>
      </c>
      <c r="K44" s="469">
        <f>E44*J44*$B$6+H44</f>
        <v>9795.18708435402</v>
      </c>
      <c r="L44" s="470">
        <f>K15</f>
        <v>120.59375719349583</v>
      </c>
      <c r="M44" s="571" t="s">
        <v>19</v>
      </c>
    </row>
    <row r="45" spans="1:13" ht="13.5">
      <c r="A45" s="327" t="s">
        <v>49</v>
      </c>
      <c r="B45" s="464"/>
      <c r="C45" s="464"/>
      <c r="D45" s="464" t="s">
        <v>49</v>
      </c>
      <c r="E45" s="472">
        <v>12760</v>
      </c>
      <c r="F45" s="466">
        <f>G45/E45</f>
        <v>1.0118338557993731</v>
      </c>
      <c r="G45" s="473">
        <v>12911</v>
      </c>
      <c r="H45" s="378">
        <f>0.8*'BRA Load Pricing Results'!H43</f>
        <v>285.62821919878655</v>
      </c>
      <c r="I45" s="468">
        <f t="shared" si="2"/>
        <v>1.019632641439628</v>
      </c>
      <c r="J45" s="468">
        <f>I45*F45</f>
        <v>1.0316988270867584</v>
      </c>
      <c r="K45" s="469">
        <f>E45*J45*$B$6+H45</f>
        <v>14649.389110589247</v>
      </c>
      <c r="L45" s="470">
        <f>K36</f>
        <v>120.59375719349583</v>
      </c>
      <c r="M45" s="571" t="s">
        <v>49</v>
      </c>
    </row>
    <row r="46" spans="1:13" ht="13.5">
      <c r="A46" s="327" t="s">
        <v>11</v>
      </c>
      <c r="B46" s="464" t="s">
        <v>29</v>
      </c>
      <c r="C46" s="464" t="s">
        <v>5</v>
      </c>
      <c r="D46" s="471" t="s">
        <v>11</v>
      </c>
      <c r="E46" s="465">
        <v>6940</v>
      </c>
      <c r="F46" s="466">
        <f>G46/E46</f>
        <v>1.0113832853025937</v>
      </c>
      <c r="G46" s="473">
        <v>7019</v>
      </c>
      <c r="H46" s="378">
        <f>0.8*'BRA Load Pricing Results'!H44</f>
        <v>158.3257544622487</v>
      </c>
      <c r="I46" s="468">
        <f t="shared" si="2"/>
        <v>1.019632641439628</v>
      </c>
      <c r="J46" s="468">
        <f>I46*F46</f>
        <v>1.0312394107009724</v>
      </c>
      <c r="K46" s="469">
        <f aca="true" t="shared" si="3" ref="K46:K61">E46*J46*$B$6+H46</f>
        <v>7967.111882312114</v>
      </c>
      <c r="L46" s="470">
        <f>K21</f>
        <v>120.71110133742307</v>
      </c>
      <c r="M46" s="571" t="s">
        <v>11</v>
      </c>
    </row>
    <row r="47" spans="1:13" ht="13.5">
      <c r="A47" s="327" t="s">
        <v>291</v>
      </c>
      <c r="B47" s="464"/>
      <c r="C47" s="464"/>
      <c r="D47" s="471" t="s">
        <v>20</v>
      </c>
      <c r="E47" s="465">
        <v>21641.5</v>
      </c>
      <c r="F47" s="466">
        <v>1.0334547109695038</v>
      </c>
      <c r="G47" s="473">
        <f>E47*F47</f>
        <v>22365.510127446516</v>
      </c>
      <c r="H47" s="378">
        <f>0.8*'BRA Load Pricing Results'!H45</f>
        <v>503.63171195276567</v>
      </c>
      <c r="I47" s="468">
        <f t="shared" si="2"/>
        <v>1.019632641439628</v>
      </c>
      <c r="J47" s="468">
        <f aca="true" t="shared" si="4" ref="J47:J60">I47*F47</f>
        <v>1.0537441567540624</v>
      </c>
      <c r="K47" s="469">
        <f t="shared" si="3"/>
        <v>25385.735320086413</v>
      </c>
      <c r="L47" s="470">
        <f>K20</f>
        <v>120.59375719349583</v>
      </c>
      <c r="M47" s="571" t="s">
        <v>20</v>
      </c>
    </row>
    <row r="48" spans="1:13" ht="13.5">
      <c r="A48" s="327" t="s">
        <v>21</v>
      </c>
      <c r="B48" s="464"/>
      <c r="C48" s="464"/>
      <c r="D48" s="464"/>
      <c r="E48" s="465">
        <v>3290</v>
      </c>
      <c r="F48" s="466">
        <f>G48/E48</f>
        <v>1.0537993920972644</v>
      </c>
      <c r="G48" s="467">
        <v>3467</v>
      </c>
      <c r="H48" s="378">
        <f>0.8*'BRA Load Pricing Results'!H46</f>
        <v>76.47753969680876</v>
      </c>
      <c r="I48" s="468">
        <f t="shared" si="2"/>
        <v>1.019632641439628</v>
      </c>
      <c r="J48" s="468">
        <f t="shared" si="4"/>
        <v>1.074488257711608</v>
      </c>
      <c r="K48" s="469">
        <f t="shared" si="3"/>
        <v>3933.5884536810645</v>
      </c>
      <c r="L48" s="470">
        <f>K15</f>
        <v>120.59375719349583</v>
      </c>
      <c r="M48" s="571" t="s">
        <v>21</v>
      </c>
    </row>
    <row r="49" spans="1:13" ht="13.5">
      <c r="A49" s="327" t="s">
        <v>272</v>
      </c>
      <c r="B49" s="464"/>
      <c r="C49" s="464"/>
      <c r="D49" s="464"/>
      <c r="E49" s="465">
        <v>4450.6</v>
      </c>
      <c r="F49" s="466">
        <v>1.0169491525423728</v>
      </c>
      <c r="G49" s="473">
        <f>E49*F49</f>
        <v>4526.033898305085</v>
      </c>
      <c r="H49" s="378">
        <f>0.8*'BRA Load Pricing Results'!H47</f>
        <v>101.0839991147828</v>
      </c>
      <c r="I49" s="468">
        <f t="shared" si="2"/>
        <v>1.019632641439628</v>
      </c>
      <c r="J49" s="468">
        <f>I49*F49</f>
        <v>1.0369145506165707</v>
      </c>
      <c r="K49" s="469">
        <f>E49*J49*$B$6+H49</f>
        <v>5136.392550085434</v>
      </c>
      <c r="L49" s="470">
        <f>K15</f>
        <v>120.59375719349583</v>
      </c>
      <c r="M49" s="571" t="s">
        <v>63</v>
      </c>
    </row>
    <row r="50" spans="1:13" ht="13.5">
      <c r="A50" s="327" t="s">
        <v>48</v>
      </c>
      <c r="B50" s="464"/>
      <c r="C50" s="464"/>
      <c r="D50" s="464"/>
      <c r="E50" s="465">
        <v>2830</v>
      </c>
      <c r="F50" s="466">
        <f aca="true" t="shared" si="5" ref="F50:F61">G50/E50</f>
        <v>1.0226148409893994</v>
      </c>
      <c r="G50" s="467">
        <v>2894</v>
      </c>
      <c r="H50" s="378">
        <f>0.8*'BRA Load Pricing Results'!H48</f>
        <v>64.97206912295259</v>
      </c>
      <c r="I50" s="468">
        <f t="shared" si="2"/>
        <v>1.019632641439628</v>
      </c>
      <c r="J50" s="468">
        <f t="shared" si="4"/>
        <v>1.0426914714933864</v>
      </c>
      <c r="K50" s="469">
        <f t="shared" si="3"/>
        <v>3284.6083497893605</v>
      </c>
      <c r="L50" s="470">
        <f>K15</f>
        <v>120.59375719349583</v>
      </c>
      <c r="M50" s="571" t="s">
        <v>48</v>
      </c>
    </row>
    <row r="51" spans="1:13" ht="13.5">
      <c r="A51" s="327" t="s">
        <v>32</v>
      </c>
      <c r="B51" s="464"/>
      <c r="C51" s="464"/>
      <c r="D51" s="464"/>
      <c r="E51" s="465">
        <v>19090</v>
      </c>
      <c r="F51" s="466">
        <f t="shared" si="5"/>
        <v>1.0587742273441592</v>
      </c>
      <c r="G51" s="467">
        <v>20212</v>
      </c>
      <c r="H51" s="378">
        <f>0.8*'BRA Load Pricing Results'!H49</f>
        <v>457.9919576818882</v>
      </c>
      <c r="I51" s="468">
        <f t="shared" si="2"/>
        <v>1.019632641439628</v>
      </c>
      <c r="J51" s="468">
        <f t="shared" si="4"/>
        <v>1.0795607621151262</v>
      </c>
      <c r="K51" s="469">
        <f t="shared" si="3"/>
        <v>22944.2699482933</v>
      </c>
      <c r="L51" s="470">
        <f>K15</f>
        <v>120.59375719349583</v>
      </c>
      <c r="M51" s="571" t="s">
        <v>32</v>
      </c>
    </row>
    <row r="52" spans="1:13" ht="13.5">
      <c r="A52" s="327" t="s">
        <v>17</v>
      </c>
      <c r="B52" s="464" t="s">
        <v>29</v>
      </c>
      <c r="C52" s="464" t="s">
        <v>39</v>
      </c>
      <c r="D52" s="464" t="s">
        <v>17</v>
      </c>
      <c r="E52" s="465">
        <v>4020</v>
      </c>
      <c r="F52" s="466">
        <f>G52/E52</f>
        <v>1.027363184079602</v>
      </c>
      <c r="G52" s="467">
        <v>4130</v>
      </c>
      <c r="H52" s="378">
        <f>0.8*'BRA Load Pricing Results'!H50</f>
        <v>91.34514019167797</v>
      </c>
      <c r="I52" s="468">
        <f t="shared" si="2"/>
        <v>1.019632641439628</v>
      </c>
      <c r="J52" s="468">
        <f t="shared" si="4"/>
        <v>1.0475330371009113</v>
      </c>
      <c r="K52" s="469">
        <f t="shared" si="3"/>
        <v>4686.057593250512</v>
      </c>
      <c r="L52" s="470">
        <f>K33</f>
        <v>120.71110133742307</v>
      </c>
      <c r="M52" s="571" t="s">
        <v>17</v>
      </c>
    </row>
    <row r="53" spans="1:13" ht="13.5">
      <c r="A53" s="327" t="s">
        <v>273</v>
      </c>
      <c r="B53" s="464"/>
      <c r="C53" s="464"/>
      <c r="D53" s="464"/>
      <c r="E53" s="465">
        <v>2124.2</v>
      </c>
      <c r="F53" s="466">
        <v>1.0454545454545454</v>
      </c>
      <c r="G53" s="473">
        <f>E53*F53</f>
        <v>2220.754545454545</v>
      </c>
      <c r="H53" s="378">
        <f>0.8*'BRA Load Pricing Results'!H51</f>
        <v>46.38598760956538</v>
      </c>
      <c r="I53" s="468">
        <f t="shared" si="2"/>
        <v>1.019632641439628</v>
      </c>
      <c r="J53" s="468">
        <f t="shared" si="4"/>
        <v>1.0659795796868836</v>
      </c>
      <c r="K53" s="469">
        <f>E53*J53*$B$6+H53</f>
        <v>2517.0224440713105</v>
      </c>
      <c r="L53" s="470">
        <f>K15</f>
        <v>120.59375719349583</v>
      </c>
      <c r="M53" s="571" t="s">
        <v>160</v>
      </c>
    </row>
    <row r="54" spans="1:13" ht="13.5">
      <c r="A54" s="327" t="s">
        <v>12</v>
      </c>
      <c r="B54" s="464" t="s">
        <v>29</v>
      </c>
      <c r="C54" s="464" t="s">
        <v>39</v>
      </c>
      <c r="D54" s="464"/>
      <c r="E54" s="465">
        <v>6090</v>
      </c>
      <c r="F54" s="466">
        <f t="shared" si="5"/>
        <v>1.016256157635468</v>
      </c>
      <c r="G54" s="467">
        <v>6189</v>
      </c>
      <c r="H54" s="378">
        <f>0.8*'BRA Load Pricing Results'!H52</f>
        <v>139.04808744760922</v>
      </c>
      <c r="I54" s="468">
        <f t="shared" si="2"/>
        <v>1.019632641439628</v>
      </c>
      <c r="J54" s="468">
        <f t="shared" si="4"/>
        <v>1.0362079503891393</v>
      </c>
      <c r="K54" s="469">
        <f t="shared" si="3"/>
        <v>7024.441639985411</v>
      </c>
      <c r="L54" s="470">
        <f>K17</f>
        <v>120.71110133742307</v>
      </c>
      <c r="M54" s="571" t="s">
        <v>12</v>
      </c>
    </row>
    <row r="55" spans="1:13" ht="13.5">
      <c r="A55" s="327" t="s">
        <v>13</v>
      </c>
      <c r="B55" s="464" t="s">
        <v>29</v>
      </c>
      <c r="C55" s="464"/>
      <c r="D55" s="464"/>
      <c r="E55" s="465">
        <v>2850</v>
      </c>
      <c r="F55" s="466">
        <f t="shared" si="5"/>
        <v>1.0263157894736843</v>
      </c>
      <c r="G55" s="467">
        <v>2925</v>
      </c>
      <c r="H55" s="378">
        <f>0.8*'BRA Load Pricing Results'!H53</f>
        <v>66.82779018325196</v>
      </c>
      <c r="I55" s="468">
        <f t="shared" si="2"/>
        <v>1.019632641439628</v>
      </c>
      <c r="J55" s="468">
        <f t="shared" si="4"/>
        <v>1.0464650793722499</v>
      </c>
      <c r="K55" s="469">
        <f t="shared" si="3"/>
        <v>3320.952227276978</v>
      </c>
      <c r="L55" s="470">
        <f>K16</f>
        <v>120.71110133742307</v>
      </c>
      <c r="M55" s="571" t="s">
        <v>13</v>
      </c>
    </row>
    <row r="56" spans="1:13" ht="13.5">
      <c r="A56" s="327" t="s">
        <v>9</v>
      </c>
      <c r="B56" s="464" t="s">
        <v>29</v>
      </c>
      <c r="C56" s="464" t="s">
        <v>39</v>
      </c>
      <c r="D56" s="464"/>
      <c r="E56" s="465">
        <v>8380</v>
      </c>
      <c r="F56" s="466">
        <f t="shared" si="5"/>
        <v>1.0192124105011933</v>
      </c>
      <c r="G56" s="467">
        <v>8541</v>
      </c>
      <c r="H56" s="378">
        <f>0.8*'BRA Load Pricing Results'!H54</f>
        <v>193.89010278257456</v>
      </c>
      <c r="I56" s="468">
        <f t="shared" si="2"/>
        <v>1.019632641439628</v>
      </c>
      <c r="J56" s="468">
        <f t="shared" si="4"/>
        <v>1.039222242307382</v>
      </c>
      <c r="K56" s="469">
        <f t="shared" si="3"/>
        <v>9695.933459096252</v>
      </c>
      <c r="L56" s="470">
        <f>K17</f>
        <v>120.71110133742307</v>
      </c>
      <c r="M56" s="571" t="s">
        <v>9</v>
      </c>
    </row>
    <row r="57" spans="1:13" ht="13.5">
      <c r="A57" s="327" t="s">
        <v>14</v>
      </c>
      <c r="B57" s="464" t="s">
        <v>29</v>
      </c>
      <c r="C57" s="464"/>
      <c r="D57" s="464"/>
      <c r="E57" s="465">
        <v>2770</v>
      </c>
      <c r="F57" s="466">
        <f t="shared" si="5"/>
        <v>1.0444043321299639</v>
      </c>
      <c r="G57" s="467">
        <v>2893</v>
      </c>
      <c r="H57" s="378">
        <f>0.8*'BRA Load Pricing Results'!H55</f>
        <v>66.041837734184</v>
      </c>
      <c r="I57" s="468">
        <f t="shared" si="2"/>
        <v>1.019632641439628</v>
      </c>
      <c r="J57" s="468">
        <f t="shared" si="4"/>
        <v>1.0649087479006656</v>
      </c>
      <c r="K57" s="469">
        <f t="shared" si="3"/>
        <v>3284.5655972255167</v>
      </c>
      <c r="L57" s="470">
        <f>K16</f>
        <v>120.71110133742307</v>
      </c>
      <c r="M57" s="571" t="s">
        <v>14</v>
      </c>
    </row>
    <row r="58" spans="1:13" ht="13.5">
      <c r="A58" s="327" t="s">
        <v>15</v>
      </c>
      <c r="B58" s="464" t="s">
        <v>29</v>
      </c>
      <c r="C58" s="464" t="s">
        <v>5</v>
      </c>
      <c r="D58" s="464" t="s">
        <v>15</v>
      </c>
      <c r="E58" s="465">
        <v>6540</v>
      </c>
      <c r="F58" s="466">
        <f t="shared" si="5"/>
        <v>0.9891437308868501</v>
      </c>
      <c r="G58" s="467">
        <v>6469</v>
      </c>
      <c r="H58" s="378">
        <f>0.8*'BRA Load Pricing Results'!H56</f>
        <v>146.90761193828897</v>
      </c>
      <c r="I58" s="468">
        <f t="shared" si="2"/>
        <v>1.019632641439628</v>
      </c>
      <c r="J58" s="468">
        <f t="shared" si="4"/>
        <v>1.0085632350876075</v>
      </c>
      <c r="K58" s="469">
        <f t="shared" si="3"/>
        <v>7343.807093497027</v>
      </c>
      <c r="L58" s="470">
        <f>K19</f>
        <v>120.71110133742307</v>
      </c>
      <c r="M58" s="571" t="s">
        <v>15</v>
      </c>
    </row>
    <row r="59" spans="1:13" ht="13.5">
      <c r="A59" s="327" t="s">
        <v>10</v>
      </c>
      <c r="B59" s="464" t="s">
        <v>29</v>
      </c>
      <c r="C59" s="464"/>
      <c r="D59" s="471" t="s">
        <v>10</v>
      </c>
      <c r="E59" s="465">
        <f>6960+185</f>
        <v>7145</v>
      </c>
      <c r="F59" s="466">
        <f t="shared" si="5"/>
        <v>1.0144156752974107</v>
      </c>
      <c r="G59" s="467">
        <f>7054+194</f>
        <v>7248</v>
      </c>
      <c r="H59" s="378">
        <f>0.8*'BRA Load Pricing Results'!H57</f>
        <v>164.11123776788796</v>
      </c>
      <c r="I59" s="468">
        <f t="shared" si="2"/>
        <v>1.019632641439628</v>
      </c>
      <c r="J59" s="468">
        <f t="shared" si="4"/>
        <v>1.0343313345212628</v>
      </c>
      <c r="K59" s="469">
        <f t="shared" si="3"/>
        <v>8227.66471470988</v>
      </c>
      <c r="L59" s="470">
        <f>K22</f>
        <v>118.9066403494277</v>
      </c>
      <c r="M59" s="571" t="s">
        <v>10</v>
      </c>
    </row>
    <row r="60" spans="1:13" ht="13.5">
      <c r="A60" s="327" t="s">
        <v>8</v>
      </c>
      <c r="B60" s="464" t="s">
        <v>29</v>
      </c>
      <c r="C60" s="464" t="s">
        <v>39</v>
      </c>
      <c r="D60" s="464" t="s">
        <v>8</v>
      </c>
      <c r="E60" s="465">
        <v>10160</v>
      </c>
      <c r="F60" s="466">
        <f t="shared" si="5"/>
        <v>0.9954724409448819</v>
      </c>
      <c r="G60" s="467">
        <v>10114</v>
      </c>
      <c r="H60" s="378">
        <f>0.8*'BRA Load Pricing Results'!H58</f>
        <v>228.581170603936</v>
      </c>
      <c r="I60" s="468">
        <f t="shared" si="2"/>
        <v>1.019632641439628</v>
      </c>
      <c r="J60" s="468">
        <f t="shared" si="4"/>
        <v>1.015016194440984</v>
      </c>
      <c r="K60" s="469">
        <f t="shared" si="3"/>
        <v>11480.620335310241</v>
      </c>
      <c r="L60" s="470">
        <f>K30</f>
        <v>215.66355083732503</v>
      </c>
      <c r="M60" s="571" t="s">
        <v>8</v>
      </c>
    </row>
    <row r="61" spans="1:13" ht="13.5">
      <c r="A61" s="327" t="s">
        <v>18</v>
      </c>
      <c r="B61" s="464" t="s">
        <v>29</v>
      </c>
      <c r="C61" s="464" t="s">
        <v>39</v>
      </c>
      <c r="D61" s="464"/>
      <c r="E61" s="465">
        <v>405</v>
      </c>
      <c r="F61" s="466">
        <f t="shared" si="5"/>
        <v>1.0123456790123457</v>
      </c>
      <c r="G61" s="467">
        <v>410</v>
      </c>
      <c r="H61" s="378">
        <f>0.8*'BRA Load Pricing Results'!H59</f>
        <v>9.0166211518076</v>
      </c>
      <c r="I61" s="468">
        <f t="shared" si="2"/>
        <v>1.019632641439628</v>
      </c>
      <c r="J61" s="468">
        <f>I61*F61</f>
        <v>1.0322206987413518</v>
      </c>
      <c r="K61" s="469">
        <f t="shared" si="3"/>
        <v>465.1503029324666</v>
      </c>
      <c r="L61" s="470">
        <f>K17</f>
        <v>120.71110133742307</v>
      </c>
      <c r="M61" s="571" t="s">
        <v>18</v>
      </c>
    </row>
    <row r="62" spans="1:13" ht="15" customHeight="1">
      <c r="A62" s="255"/>
      <c r="B62" s="336"/>
      <c r="C62" s="255"/>
      <c r="D62" s="255"/>
      <c r="E62" s="474">
        <f>SUM(E42:E61)</f>
        <v>143406.3</v>
      </c>
      <c r="F62" s="475"/>
      <c r="G62" s="474">
        <f>SUM(G42:G61)</f>
        <v>146895.54110196186</v>
      </c>
      <c r="H62" s="474">
        <f>SUM(H42:H61)</f>
        <v>3300.1420000000003</v>
      </c>
      <c r="I62" s="476"/>
      <c r="J62" s="476"/>
      <c r="K62" s="477">
        <f>SUM(K42:K61)</f>
        <v>166724.5419999999</v>
      </c>
      <c r="L62" s="690" t="s">
        <v>24</v>
      </c>
      <c r="M62" s="690"/>
    </row>
    <row r="63" spans="1:13" ht="13.5">
      <c r="A63" s="478" t="s">
        <v>82</v>
      </c>
      <c r="B63" s="336"/>
      <c r="C63" s="255"/>
      <c r="D63" s="255"/>
      <c r="E63" s="479" t="s">
        <v>24</v>
      </c>
      <c r="F63" s="480"/>
      <c r="G63" s="481" t="s">
        <v>24</v>
      </c>
      <c r="H63" s="481"/>
      <c r="I63" s="256"/>
      <c r="J63" s="256"/>
      <c r="K63" s="482"/>
      <c r="L63" s="483"/>
      <c r="M63" s="255"/>
    </row>
    <row r="64" spans="1:13" ht="13.5">
      <c r="A64" s="691" t="s">
        <v>274</v>
      </c>
      <c r="B64" s="691"/>
      <c r="C64" s="255"/>
      <c r="D64" s="255"/>
      <c r="E64" s="484" t="s">
        <v>24</v>
      </c>
      <c r="F64" s="255"/>
      <c r="G64" s="484" t="s">
        <v>24</v>
      </c>
      <c r="H64" s="255"/>
      <c r="I64" s="255"/>
      <c r="J64" s="255"/>
      <c r="K64" s="255"/>
      <c r="L64" s="483"/>
      <c r="M64" s="255"/>
    </row>
    <row r="65" spans="1:13" ht="13.5">
      <c r="A65" s="692" t="s">
        <v>275</v>
      </c>
      <c r="B65" s="692"/>
      <c r="C65" s="692"/>
      <c r="D65" s="692"/>
      <c r="E65" s="692"/>
      <c r="F65" s="692"/>
      <c r="G65" s="692"/>
      <c r="H65" s="692"/>
      <c r="I65" s="692"/>
      <c r="J65" s="692"/>
      <c r="K65" s="692"/>
      <c r="L65" s="692"/>
      <c r="M65" s="692"/>
    </row>
  </sheetData>
  <sheetProtection/>
  <mergeCells count="4">
    <mergeCell ref="A37:B37"/>
    <mergeCell ref="L62:M62"/>
    <mergeCell ref="A64:B64"/>
    <mergeCell ref="A65:M65"/>
  </mergeCells>
  <printOptions/>
  <pageMargins left="0.45" right="0.45" top="0.5" bottom="0.5" header="0.3" footer="0.3"/>
  <pageSetup fitToHeight="1" fitToWidth="1" horizontalDpi="600" verticalDpi="600" orientation="landscape" paperSize="17"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Keech</dc:creator>
  <cp:keywords/>
  <dc:description/>
  <cp:lastModifiedBy>Heun, Nicole A.</cp:lastModifiedBy>
  <cp:lastPrinted>2016-07-21T18:24:38Z</cp:lastPrinted>
  <dcterms:created xsi:type="dcterms:W3CDTF">2007-03-21T19:37:11Z</dcterms:created>
  <dcterms:modified xsi:type="dcterms:W3CDTF">2016-08-02T20:40:30Z</dcterms:modified>
  <cp:category/>
  <cp:version/>
  <cp:contentType/>
  <cp:contentStatus/>
</cp:coreProperties>
</file>