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8800" windowHeight="11700"/>
  </bookViews>
  <sheets>
    <sheet name="Summary" sheetId="2" r:id="rId1"/>
    <sheet name="Planning Parameters" sheetId="5" r:id="rId2"/>
  </sheets>
  <definedNames>
    <definedName name="_xlnm.Print_Area" localSheetId="0">Summary!#REF!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5" l="1"/>
  <c r="C14" i="5" s="1"/>
  <c r="P41" i="5"/>
  <c r="M41" i="5"/>
  <c r="L41" i="5"/>
  <c r="J41" i="5"/>
  <c r="F41" i="5"/>
  <c r="E41" i="5"/>
  <c r="D41" i="5"/>
  <c r="C41" i="5"/>
  <c r="P38" i="5"/>
  <c r="O38" i="5"/>
  <c r="N38" i="5"/>
  <c r="M38" i="5"/>
  <c r="L38" i="5"/>
  <c r="K38" i="5"/>
  <c r="J38" i="5"/>
  <c r="I38" i="5"/>
  <c r="H38" i="5"/>
  <c r="G38" i="5"/>
  <c r="F38" i="5"/>
  <c r="E38" i="5"/>
  <c r="D38" i="5"/>
  <c r="C38" i="5"/>
  <c r="B38" i="5"/>
  <c r="M32" i="5"/>
  <c r="I32" i="5"/>
  <c r="H32" i="5"/>
  <c r="E32" i="5"/>
  <c r="D32" i="5"/>
  <c r="C32" i="5"/>
  <c r="B32" i="5"/>
  <c r="E26" i="5"/>
  <c r="D26" i="5"/>
  <c r="C26" i="5"/>
  <c r="B26" i="5"/>
  <c r="P21" i="5"/>
  <c r="O21" i="5"/>
  <c r="N21" i="5"/>
  <c r="M21" i="5"/>
  <c r="M29" i="5" s="1"/>
  <c r="L21" i="5"/>
  <c r="K21" i="5"/>
  <c r="J21" i="5"/>
  <c r="I21" i="5"/>
  <c r="I29" i="5" s="1"/>
  <c r="H21" i="5"/>
  <c r="H29" i="5" s="1"/>
  <c r="G21" i="5"/>
  <c r="F21" i="5"/>
  <c r="E21" i="5"/>
  <c r="E29" i="5" s="1"/>
  <c r="D21" i="5"/>
  <c r="D29" i="5" s="1"/>
  <c r="C21" i="5"/>
  <c r="C29" i="5" s="1"/>
  <c r="B21" i="5"/>
  <c r="B29" i="5" s="1"/>
  <c r="M20" i="5"/>
  <c r="M28" i="5" s="1"/>
  <c r="P20" i="5"/>
  <c r="O20" i="5"/>
  <c r="N20" i="5"/>
  <c r="L20" i="5"/>
  <c r="K20" i="5"/>
  <c r="J20" i="5"/>
  <c r="I20" i="5"/>
  <c r="I28" i="5" s="1"/>
  <c r="H20" i="5"/>
  <c r="H28" i="5" s="1"/>
  <c r="G20" i="5"/>
  <c r="F20" i="5"/>
  <c r="E20" i="5"/>
  <c r="E28" i="5" s="1"/>
  <c r="D20" i="5"/>
  <c r="D28" i="5" s="1"/>
  <c r="C20" i="5"/>
  <c r="C28" i="5" s="1"/>
  <c r="B20" i="5"/>
  <c r="B28" i="5" s="1"/>
  <c r="P13" i="5"/>
  <c r="P14" i="5" s="1"/>
  <c r="P15" i="5" s="1"/>
  <c r="O13" i="5"/>
  <c r="O14" i="5" s="1"/>
  <c r="O15" i="5" s="1"/>
  <c r="N13" i="5"/>
  <c r="N14" i="5" s="1"/>
  <c r="N15" i="5" s="1"/>
  <c r="M13" i="5"/>
  <c r="M14" i="5" s="1"/>
  <c r="M15" i="5" s="1"/>
  <c r="M24" i="5" s="1"/>
  <c r="M34" i="5" s="1"/>
  <c r="L13" i="5"/>
  <c r="L14" i="5" s="1"/>
  <c r="L15" i="5" s="1"/>
  <c r="K13" i="5"/>
  <c r="K14" i="5" s="1"/>
  <c r="K15" i="5" s="1"/>
  <c r="J13" i="5"/>
  <c r="J14" i="5" s="1"/>
  <c r="I13" i="5"/>
  <c r="I14" i="5" s="1"/>
  <c r="I15" i="5" s="1"/>
  <c r="H13" i="5"/>
  <c r="H14" i="5" s="1"/>
  <c r="H15" i="5" s="1"/>
  <c r="G13" i="5"/>
  <c r="G14" i="5" s="1"/>
  <c r="G15" i="5" s="1"/>
  <c r="F13" i="5"/>
  <c r="F14" i="5" s="1"/>
  <c r="E13" i="5"/>
  <c r="E14" i="5" s="1"/>
  <c r="E15" i="5" s="1"/>
  <c r="D13" i="5"/>
  <c r="D14" i="5" s="1"/>
  <c r="D15" i="5" s="1"/>
  <c r="B13" i="5"/>
  <c r="B14" i="5" s="1"/>
  <c r="B7" i="5"/>
  <c r="B12" i="5" s="1"/>
  <c r="J15" i="5" l="1"/>
  <c r="J24" i="5" s="1"/>
  <c r="F15" i="5"/>
  <c r="C15" i="5"/>
  <c r="B15" i="5"/>
  <c r="G24" i="5"/>
  <c r="G25" i="5"/>
  <c r="G23" i="5"/>
  <c r="F25" i="5"/>
  <c r="F24" i="5"/>
  <c r="F23" i="5"/>
  <c r="H24" i="5"/>
  <c r="H34" i="5" s="1"/>
  <c r="H25" i="5"/>
  <c r="H23" i="5"/>
  <c r="H33" i="5" s="1"/>
  <c r="K23" i="5"/>
  <c r="K24" i="5"/>
  <c r="K25" i="5"/>
  <c r="I25" i="5"/>
  <c r="I24" i="5"/>
  <c r="I34" i="5" s="1"/>
  <c r="I23" i="5"/>
  <c r="I33" i="5" s="1"/>
  <c r="L24" i="5"/>
  <c r="L23" i="5"/>
  <c r="L25" i="5"/>
  <c r="P23" i="5"/>
  <c r="P25" i="5"/>
  <c r="P24" i="5"/>
  <c r="N24" i="5"/>
  <c r="N23" i="5"/>
  <c r="N25" i="5"/>
  <c r="B24" i="5"/>
  <c r="B34" i="5" s="1"/>
  <c r="B23" i="5"/>
  <c r="B33" i="5" s="1"/>
  <c r="B25" i="5"/>
  <c r="O23" i="5"/>
  <c r="O25" i="5"/>
  <c r="O24" i="5"/>
  <c r="D23" i="5"/>
  <c r="D33" i="5" s="1"/>
  <c r="D25" i="5"/>
  <c r="D24" i="5"/>
  <c r="D34" i="5" s="1"/>
  <c r="E25" i="5"/>
  <c r="E23" i="5"/>
  <c r="E33" i="5" s="1"/>
  <c r="E24" i="5"/>
  <c r="E34" i="5" s="1"/>
  <c r="C23" i="5"/>
  <c r="C33" i="5" s="1"/>
  <c r="C25" i="5"/>
  <c r="C24" i="5"/>
  <c r="C34" i="5" s="1"/>
  <c r="M25" i="5"/>
  <c r="M23" i="5"/>
  <c r="M33" i="5" s="1"/>
  <c r="J23" i="5" l="1"/>
  <c r="J25" i="5"/>
  <c r="M36" i="5"/>
  <c r="M35" i="5" s="1"/>
  <c r="M37" i="5"/>
  <c r="B37" i="5"/>
  <c r="B36" i="5"/>
  <c r="B35" i="5" s="1"/>
  <c r="C36" i="5"/>
  <c r="C35" i="5" s="1"/>
  <c r="C37" i="5"/>
  <c r="E36" i="5"/>
  <c r="E35" i="5" s="1"/>
  <c r="E37" i="5"/>
  <c r="I36" i="5"/>
  <c r="I35" i="5" s="1"/>
  <c r="I37" i="5"/>
  <c r="D36" i="5"/>
  <c r="D35" i="5" s="1"/>
  <c r="D37" i="5"/>
  <c r="H36" i="5"/>
  <c r="H35" i="5" s="1"/>
  <c r="H37" i="5"/>
</calcChain>
</file>

<file path=xl/sharedStrings.xml><?xml version="1.0" encoding="utf-8"?>
<sst xmlns="http://schemas.openxmlformats.org/spreadsheetml/2006/main" count="570" uniqueCount="140">
  <si>
    <t>*** Obligation affected by FRR quantities.</t>
  </si>
  <si>
    <t xml:space="preserve">Final Zonal Capacity Prices &amp; Adjusted Zonal CTR Credit Rates are determined based on the results of the Base Residual Auction, 1st, 2nd, and 3rd IncrementalAuctions for the DY. </t>
  </si>
  <si>
    <t>Total</t>
  </si>
  <si>
    <t>RECO</t>
  </si>
  <si>
    <t>PS</t>
  </si>
  <si>
    <t>PL</t>
  </si>
  <si>
    <t>PEPCO</t>
  </si>
  <si>
    <t>PENLC</t>
  </si>
  <si>
    <t>PECO</t>
  </si>
  <si>
    <t>OVEC</t>
  </si>
  <si>
    <t>METED</t>
  </si>
  <si>
    <t>JCPL</t>
  </si>
  <si>
    <t>EKPC ***</t>
  </si>
  <si>
    <t>DPL</t>
  </si>
  <si>
    <t>DOM</t>
  </si>
  <si>
    <t>DLCO</t>
  </si>
  <si>
    <t>DEOK ***</t>
  </si>
  <si>
    <t>DAYTON</t>
  </si>
  <si>
    <t>COMED</t>
  </si>
  <si>
    <t>BGE</t>
  </si>
  <si>
    <t>ATSI</t>
  </si>
  <si>
    <t>APS</t>
  </si>
  <si>
    <t>AEP ***</t>
  </si>
  <si>
    <t>AE</t>
  </si>
  <si>
    <t>Preliminary Zonal Net Load Price         ($/MW-day)</t>
  </si>
  <si>
    <t>Base Zonal CTR Credit Rate ($/MW-UCAP Obligation-day)</t>
  </si>
  <si>
    <t>Adjusted Preliminary Zonal Capacity Price          ($/MW-day)</t>
  </si>
  <si>
    <t>Base Zonal UCAP Obligation (MW)</t>
  </si>
  <si>
    <t>Base Residual Auction</t>
  </si>
  <si>
    <t>Zone</t>
  </si>
  <si>
    <t>Zonal UCAP Obligations, Zonal Capacity Prices, &amp; Zonal CTR Credit Rates</t>
  </si>
  <si>
    <t>* A negative net participant buy bid/sell offer cleared represents a net sale of capacity by participants.</t>
  </si>
  <si>
    <t>* A positive net particpant buy bid/sell offer cleared represents a net purchase of capacity by participants.</t>
  </si>
  <si>
    <t>DEOK</t>
  </si>
  <si>
    <t>ATSI-CLEVELAND</t>
  </si>
  <si>
    <t>DPLSOUTH</t>
  </si>
  <si>
    <t>PSNORTH</t>
  </si>
  <si>
    <t>SWMAAC</t>
  </si>
  <si>
    <t>EMAAC</t>
  </si>
  <si>
    <t>MAAC</t>
  </si>
  <si>
    <t>RTO</t>
  </si>
  <si>
    <t>Participant Sell Offers Cleared</t>
  </si>
  <si>
    <t>LDA</t>
  </si>
  <si>
    <t>Participant Buy Bids/Sell Offers Cleared [Equivalent Annual Resources in MW]</t>
  </si>
  <si>
    <t xml:space="preserve"> </t>
  </si>
  <si>
    <t>Resource Clearing Prices [$/MW-day]</t>
  </si>
  <si>
    <t>Notes:</t>
  </si>
  <si>
    <t xml:space="preserve">Installed Reserve Margin (IRM) </t>
  </si>
  <si>
    <t>2021 IRM Study, endorsed at the October 20, 2021 MRC meeting</t>
  </si>
  <si>
    <t>Pool-Wide Average EFORd</t>
  </si>
  <si>
    <t>2021 IRM Study, endorsed at the October 20, 2021 MRC meeting.</t>
  </si>
  <si>
    <t>Forecast Pool Requirement (FPR)</t>
  </si>
  <si>
    <t>Preliminary Forecast Peak Load</t>
  </si>
  <si>
    <t>2022 Load Report with adjustments for load served outside PJM.</t>
  </si>
  <si>
    <t>Locational Deliverability Area</t>
  </si>
  <si>
    <t>PS NORTH</t>
  </si>
  <si>
    <t>DPL SOUTH</t>
  </si>
  <si>
    <t>ATSI-Cleveland</t>
  </si>
  <si>
    <t>CETO</t>
  </si>
  <si>
    <t>NA</t>
  </si>
  <si>
    <t>CETL</t>
  </si>
  <si>
    <t>Reliability Requirement</t>
  </si>
  <si>
    <t>Total Peak Load of FRR Entities</t>
  </si>
  <si>
    <t>Preliminary FRR Obligation</t>
  </si>
  <si>
    <t>Reliability Requirement adjusted for FRR</t>
  </si>
  <si>
    <t>Gross CONE, $/MW-Day (UCAP Price)</t>
  </si>
  <si>
    <t>Net CONE, $/MW-Day (UCAP Price)</t>
  </si>
  <si>
    <t>EE Addback (UCAP)</t>
  </si>
  <si>
    <t>Variable Resource Requirement Curve:</t>
  </si>
  <si>
    <t>Point (a) UCAP Price, $/MW-Day</t>
  </si>
  <si>
    <t>Point (b) UCAP Price, $/MW-Day</t>
  </si>
  <si>
    <t>Point (c) UCAP Price, $/MW-Day</t>
  </si>
  <si>
    <t>Point (a) UCAP Level, MW</t>
  </si>
  <si>
    <t>Point (b) UCAP Level, MW</t>
  </si>
  <si>
    <t>Point (c) UCAP Level, MW</t>
  </si>
  <si>
    <t>Nominated PRD Value,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</si>
  <si>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</si>
  <si>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</si>
  <si>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</si>
  <si>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</si>
  <si>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</si>
  <si>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</si>
  <si>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</si>
  <si>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</si>
  <si>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</si>
  <si>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</si>
  <si>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</si>
  <si>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</si>
  <si>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</si>
  <si>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</si>
  <si>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</si>
  <si>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CETO (Capacity Emergency Transfer Objective)</t>
  </si>
  <si>
    <t>CETL (Capacity Emergency Transfer Limit)</t>
  </si>
  <si>
    <t>CETL to CETO Ratio %</t>
  </si>
  <si>
    <t>2021 Zonal W/N Coincident Peak Loads</t>
  </si>
  <si>
    <t>Preliminary Zonal Peak Load Forecast</t>
  </si>
  <si>
    <t>Base Zonal FRR Scaling Factor</t>
  </si>
  <si>
    <t xml:space="preserve">FRR Portion of the Preliminary Peak Load Forecast       </t>
  </si>
  <si>
    <t>Preliminary Zonal Peak Load Forecast less FRR load</t>
  </si>
  <si>
    <t>&gt;2,001.0</t>
  </si>
  <si>
    <t>&gt;115%</t>
  </si>
  <si>
    <t>AEP</t>
  </si>
  <si>
    <t>*</t>
  </si>
  <si>
    <t>&gt;1,725.0</t>
  </si>
  <si>
    <t>&gt;1,794.0</t>
  </si>
  <si>
    <t>&gt;3,231.5</t>
  </si>
  <si>
    <t>&gt;793.5</t>
  </si>
  <si>
    <t>EKPC</t>
  </si>
  <si>
    <t>&gt;1,426.0</t>
  </si>
  <si>
    <t>&gt;3,530.5</t>
  </si>
  <si>
    <t>&gt;1,127.0</t>
  </si>
  <si>
    <t>&gt;2,909.5</t>
  </si>
  <si>
    <t>PL (incl. UGI)</t>
  </si>
  <si>
    <t xml:space="preserve">  </t>
  </si>
  <si>
    <t>Western MAAC</t>
  </si>
  <si>
    <t>Western PJM</t>
  </si>
  <si>
    <t>* LDA has adequate internal resources to meet the reliability criterion.</t>
  </si>
  <si>
    <t>Limiting conditions at the CETL for modeled LDAs:</t>
  </si>
  <si>
    <t xml:space="preserve">LDA      </t>
  </si>
  <si>
    <t>Violation</t>
  </si>
  <si>
    <t>Limiting Facility</t>
  </si>
  <si>
    <t xml:space="preserve">Thermal </t>
  </si>
  <si>
    <t>Doubs - Brighton 500 kV for the loss of Burches Hill - Possum Point 500 kV</t>
  </si>
  <si>
    <t>Voltage</t>
  </si>
  <si>
    <t>Voltage drop at Black Oak 500 kV for the loss of the 500/138 kV transformer, SVC and Capacitor at Black Oak</t>
  </si>
  <si>
    <t>Voltage collapse for the loss of Conastone - Brighton 500 kV line</t>
  </si>
  <si>
    <t>Thermal</t>
  </si>
  <si>
    <t>Brunswick - Meadow Road 230 kV ckt Z2331 for the loss of Metuchen -Pierson Ave - Meadow Rd- Deans 230 kV ckt s2219
Aldene - Stanley Terrance  230kV  for the loss of WEST ORANGE - ORANGE HEIGHTS 230 kV
Roseland - Williams 230 kV for the loss of Roseland - Cedar Grove 230 kV</t>
  </si>
  <si>
    <t>Aldene - Stanley Terrance  230kV   for the loss of WEST ORANGE - ORANGE HEIGHTS 230 kV
Aldene - Stanley Terrance  230kV   for the loss of ALDENE TO SPRINGFIELD ROAD 230 kV
ROSELAND - Williams PIPE   230 kV for the loss of Roseland - Cedar Grove 230 kV</t>
  </si>
  <si>
    <t>Cedar Creek - Silver Run 230 kV for the loss of Cartanza - Silver Run 230 kV
Keeney - Rock Springs 500 kV for the loss of Peach Bottom - Limerick 500 kV</t>
  </si>
  <si>
    <t>Brighton - Waugh Chapel 500 kV  for the loss of  Burches Hill - Possum Point 500 kV
Chalk Point 500/230 kV transformer for the loss 223983 CHALK230      230  1 for Chalk Point 230 kV bus tie
safe Horbor - Graceton 230 kV for the loss of Peach Bottom - Conastone 500 kV
North West - Conastone 230 kV ckt 2310 for the loss of the  North West - Conastone 230 kV ckt 2322</t>
  </si>
  <si>
    <t>TIDD  - Collier  345 kV  for the loss of Wylie Ridge - Toronto 345 kV line</t>
  </si>
  <si>
    <t>Voltage drop at Crestwood Q-1 and Crestwood Q-3 for the loss of ATSI_P1-2_CEI-138-006A_SRT-A</t>
  </si>
  <si>
    <t>Mitchell-Wilson 138 kV line for the loss of the Cabot-Keystone 500 kV line
Bosserman-Michigan City 138 kV line for the loss of the Bosserman-Trail Creek 138 kV line
New Carlisle-Bosserman 138 kV circuit No. 2 for the loss of the New Carlisle-Bosserman 138 kV circuit No.1
South Bend 138 kV bus tie for the loss of the Olive 345/138 kV No. 2 transformer
Gosney Hill-Stull Run 138 kV for the loss of the Kammer 765/500 kV No. 5 transformer
Krendale-Shanor Manor 138 kV for the loss of the Cabot-Cranberry 500 kV line</t>
  </si>
  <si>
    <t>Voltage collapse for the loss of the Conastone - Brighton 500 kV line</t>
  </si>
  <si>
    <t>Eldred - Sunbury 230 kV for the loss of Montour - Columbia 230 kV
Wescosville 500/230 kV transformer pre-contingency</t>
  </si>
  <si>
    <t xml:space="preserve">Shelby - Sidney 138 kV for the loss of the Miami - West Milton -Miami Fort 345 kV </t>
  </si>
  <si>
    <t>PeachBottom-Conastone 500 kv Line pre contingency
Beckjord - Pierce 138kV line for the loss of Pierce - Foster 345 kv line</t>
  </si>
  <si>
    <t>2024/2025 BRA Summary of Auction Results - Recalculated</t>
  </si>
  <si>
    <t>2024-2025 RPM Recalculated Base Residual Auction Planning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</si>
</sst>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_);_(* \(#,##0.0\);_(* &quot;-&quot;??_);_(@_)"/>
    <numFmt numFmtId="165" formatCode="0.0000"/>
    <numFmt numFmtId="166" formatCode="&quot;$&quot;#,##0.00"/>
    <numFmt numFmtId="167" formatCode="#,##0.0"/>
    <numFmt numFmtId="168" formatCode="0.0%"/>
    <numFmt numFmtId="169" formatCode="0.0"/>
    <numFmt numFmtId="170" formatCode="0.00000"/>
  </numFmts>
  <fonts count="20" x14ac:knownFonts="1">
    <font>
      <sz val="11"/>
      <color theme="1"/>
      <name val="Calibri"/>
      <family val="2"/>
      <scheme val="minor"/>
    </font>
    <font>
      <sz val="11"/>
      <color theme="1"/>
      <name val="Calibri"/>
      <family val="2"/>
      <scheme val="minor"/>
    </font>
    <font>
      <sz val="10"/>
      <name val="Arial"/>
    </font>
    <font>
      <i/>
      <sz val="10"/>
      <name val="Calibri"/>
      <family val="2"/>
      <scheme val="minor"/>
    </font>
    <font>
      <b/>
      <sz val="10"/>
      <name val="Calibri"/>
      <family val="2"/>
      <scheme val="minor"/>
    </font>
    <font>
      <sz val="10"/>
      <name val="Calibri"/>
      <family val="2"/>
      <scheme val="minor"/>
    </font>
    <font>
      <sz val="10"/>
      <name val="Arial"/>
      <family val="2"/>
    </font>
    <font>
      <b/>
      <i/>
      <sz val="12"/>
      <name val="Calibri"/>
      <family val="2"/>
      <scheme val="minor"/>
    </font>
    <font>
      <b/>
      <sz val="12"/>
      <name val="Calibri"/>
      <family val="2"/>
      <scheme val="minor"/>
    </font>
    <font>
      <b/>
      <sz val="14"/>
      <name val="Calibri"/>
      <family val="2"/>
      <scheme val="minor"/>
    </font>
    <font>
      <b/>
      <sz val="14"/>
      <name val="Arial"/>
      <family val="2"/>
    </font>
    <font>
      <b/>
      <sz val="14"/>
      <color rgb="FFFF0000"/>
      <name val="Arial"/>
      <family val="2"/>
    </font>
    <font>
      <b/>
      <sz val="12"/>
      <name val="Arial"/>
      <family val="2"/>
    </font>
    <font>
      <b/>
      <sz val="12"/>
      <color rgb="FFFF0000"/>
      <name val="Arial"/>
      <family val="2"/>
    </font>
    <font>
      <sz val="12"/>
      <name val="Arial"/>
      <family val="2"/>
    </font>
    <font>
      <sz val="12"/>
      <color theme="1"/>
      <name val="Arial"/>
      <family val="2"/>
    </font>
    <font>
      <b/>
      <sz val="10"/>
      <name val="Arial"/>
      <family val="2"/>
    </font>
    <font>
      <b/>
      <sz val="12"/>
      <color theme="1"/>
      <name val="Arial"/>
      <family val="2"/>
    </font>
    <font>
      <sz val="11"/>
      <name val="Arial"/>
      <family val="2"/>
    </font>
    <font>
      <sz val="10"/>
      <color rgb="FFFF000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E4DFEC"/>
        <bgColor indexed="64"/>
      </patternFill>
    </fill>
    <fill>
      <patternFill patternType="solid">
        <fgColor rgb="FFEEE4EC"/>
        <bgColor indexed="64"/>
      </patternFill>
    </fill>
    <fill>
      <patternFill patternType="solid">
        <fgColor theme="9"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6" fillId="0" borderId="0" applyFont="0" applyFill="0" applyBorder="0" applyAlignment="0" applyProtection="0"/>
  </cellStyleXfs>
  <cellXfs count="177">
    <xf numFmtId="0" fontId="0" fillId="0" borderId="0" xfId="0"/>
    <xf numFmtId="0" fontId="2" fillId="0" borderId="0" xfId="3"/>
    <xf numFmtId="0" fontId="3" fillId="0" borderId="0" xfId="3" applyFont="1" applyFill="1" applyBorder="1" applyAlignment="1">
      <alignment horizontal="left"/>
    </xf>
    <xf numFmtId="0" fontId="2" fillId="0" borderId="0" xfId="3" applyFill="1" applyBorder="1"/>
    <xf numFmtId="0" fontId="2" fillId="0" borderId="0" xfId="3" applyFill="1" applyBorder="1" applyAlignment="1"/>
    <xf numFmtId="0" fontId="3" fillId="0" borderId="0" xfId="3" applyFont="1" applyFill="1" applyBorder="1" applyAlignment="1">
      <alignment horizontal="left" vertical="top"/>
    </xf>
    <xf numFmtId="0" fontId="4" fillId="0" borderId="0" xfId="3" applyFont="1" applyBorder="1" applyAlignment="1">
      <alignment horizontal="center" vertical="center"/>
    </xf>
    <xf numFmtId="0" fontId="5" fillId="0" borderId="0" xfId="3" applyFont="1" applyAlignment="1">
      <alignment vertical="center"/>
    </xf>
    <xf numFmtId="164" fontId="4" fillId="2" borderId="1" xfId="3" applyNumberFormat="1" applyFont="1" applyFill="1" applyBorder="1" applyAlignment="1">
      <alignment vertical="center"/>
    </xf>
    <xf numFmtId="0" fontId="4" fillId="0" borderId="2" xfId="3" applyFont="1" applyBorder="1" applyAlignment="1">
      <alignment horizontal="right" vertical="center"/>
    </xf>
    <xf numFmtId="166" fontId="5" fillId="2" borderId="1" xfId="3" applyNumberFormat="1" applyFont="1" applyFill="1" applyBorder="1" applyAlignment="1">
      <alignment vertical="center"/>
    </xf>
    <xf numFmtId="166" fontId="5" fillId="2" borderId="1" xfId="4" applyNumberFormat="1" applyFont="1" applyFill="1" applyBorder="1" applyAlignment="1">
      <alignment vertical="center"/>
    </xf>
    <xf numFmtId="164" fontId="5" fillId="2" borderId="1" xfId="4" applyNumberFormat="1" applyFont="1" applyFill="1" applyBorder="1" applyAlignment="1">
      <alignment vertical="center"/>
    </xf>
    <xf numFmtId="0" fontId="5" fillId="3" borderId="1" xfId="3"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0" fontId="7" fillId="0" borderId="0" xfId="3" applyFont="1" applyBorder="1" applyAlignment="1">
      <alignment horizontal="left" vertical="center"/>
    </xf>
    <xf numFmtId="167" fontId="5" fillId="0" borderId="0" xfId="4" applyNumberFormat="1" applyFont="1" applyFill="1" applyBorder="1"/>
    <xf numFmtId="0" fontId="5" fillId="0" borderId="0" xfId="3" applyFont="1" applyFill="1" applyBorder="1" applyAlignment="1">
      <alignment vertical="center"/>
    </xf>
    <xf numFmtId="0" fontId="5" fillId="0" borderId="0" xfId="3" applyFont="1"/>
    <xf numFmtId="167" fontId="5" fillId="2" borderId="1" xfId="4" applyNumberFormat="1" applyFont="1" applyFill="1" applyBorder="1"/>
    <xf numFmtId="0" fontId="5" fillId="3" borderId="1" xfId="3" applyFont="1" applyFill="1" applyBorder="1" applyAlignment="1">
      <alignment horizontal="center"/>
    </xf>
    <xf numFmtId="0" fontId="4" fillId="2" borderId="1" xfId="3" applyFont="1" applyFill="1" applyBorder="1" applyAlignment="1">
      <alignment horizontal="center" vertical="center" wrapText="1"/>
    </xf>
    <xf numFmtId="0" fontId="5" fillId="0" borderId="0" xfId="3" applyFont="1" applyFill="1" applyBorder="1" applyAlignment="1">
      <alignment horizontal="left"/>
    </xf>
    <xf numFmtId="0" fontId="4" fillId="0" borderId="0" xfId="3" applyFont="1" applyBorder="1" applyAlignment="1">
      <alignment horizontal="center"/>
    </xf>
    <xf numFmtId="0" fontId="5" fillId="0" borderId="6" xfId="3" applyFont="1" applyFill="1" applyBorder="1" applyAlignment="1">
      <alignment horizontal="left"/>
    </xf>
    <xf numFmtId="166" fontId="5" fillId="2" borderId="1" xfId="4" applyNumberFormat="1" applyFont="1" applyFill="1" applyBorder="1"/>
    <xf numFmtId="0" fontId="4" fillId="3" borderId="2" xfId="3" applyFont="1" applyFill="1" applyBorder="1" applyAlignment="1">
      <alignment horizontal="center" vertical="center" wrapText="1"/>
    </xf>
    <xf numFmtId="0" fontId="8" fillId="0" borderId="0" xfId="3" applyFont="1"/>
    <xf numFmtId="0" fontId="9" fillId="0" borderId="0" xfId="3" applyFont="1" applyBorder="1"/>
    <xf numFmtId="0" fontId="9" fillId="5" borderId="0" xfId="3" applyFont="1" applyFill="1" applyBorder="1"/>
    <xf numFmtId="0" fontId="10" fillId="0" borderId="0" xfId="0" applyFont="1" applyBorder="1" applyAlignment="1">
      <alignment horizontal="left" vertical="center"/>
    </xf>
    <xf numFmtId="14" fontId="10"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xf>
    <xf numFmtId="167"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1" fontId="13" fillId="0" borderId="0" xfId="0" applyNumberFormat="1" applyFont="1" applyBorder="1" applyAlignment="1">
      <alignment horizontal="left" vertical="center"/>
    </xf>
    <xf numFmtId="166" fontId="13" fillId="0" borderId="0" xfId="0" applyNumberFormat="1" applyFont="1" applyBorder="1" applyAlignment="1">
      <alignment horizontal="left" vertical="center"/>
    </xf>
    <xf numFmtId="0" fontId="14" fillId="0" borderId="1" xfId="0" applyFont="1" applyBorder="1" applyAlignment="1">
      <alignment horizontal="left" vertical="center"/>
    </xf>
    <xf numFmtId="0" fontId="10" fillId="0" borderId="5" xfId="0" applyFont="1" applyBorder="1" applyAlignment="1">
      <alignment horizontal="center"/>
    </xf>
    <xf numFmtId="168" fontId="14" fillId="0" borderId="5" xfId="0" applyNumberFormat="1" applyFont="1" applyFill="1" applyBorder="1" applyAlignment="1">
      <alignment horizontal="right" vertical="center"/>
    </xf>
    <xf numFmtId="10" fontId="14" fillId="0" borderId="5" xfId="0" applyNumberFormat="1" applyFont="1" applyFill="1" applyBorder="1" applyAlignment="1">
      <alignment horizontal="right" vertical="center"/>
    </xf>
    <xf numFmtId="165" fontId="14" fillId="0" borderId="5" xfId="0" applyNumberFormat="1" applyFont="1" applyFill="1" applyBorder="1" applyAlignment="1">
      <alignment horizontal="right" vertical="center"/>
    </xf>
    <xf numFmtId="167" fontId="15" fillId="0" borderId="5" xfId="0" applyNumberFormat="1" applyFont="1" applyFill="1" applyBorder="1" applyAlignment="1">
      <alignment horizontal="right" vertical="center"/>
    </xf>
    <xf numFmtId="166" fontId="14" fillId="0" borderId="1" xfId="0" applyNumberFormat="1" applyFont="1" applyBorder="1" applyAlignment="1">
      <alignment horizontal="center" vertical="center"/>
    </xf>
    <xf numFmtId="0" fontId="16" fillId="0" borderId="7" xfId="0" applyFont="1" applyBorder="1" applyAlignment="1">
      <alignment horizontal="center" vertical="center" wrapTex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4" fillId="0" borderId="9" xfId="0" applyFont="1" applyFill="1" applyBorder="1" applyAlignment="1">
      <alignment horizontal="left" vertical="center" wrapText="1"/>
    </xf>
    <xf numFmtId="167" fontId="14" fillId="0" borderId="1" xfId="0" applyNumberFormat="1" applyFont="1" applyBorder="1" applyAlignment="1">
      <alignment horizontal="right" vertical="center" wrapText="1"/>
    </xf>
    <xf numFmtId="167" fontId="15" fillId="0" borderId="1" xfId="0" applyNumberFormat="1" applyFont="1" applyFill="1" applyBorder="1" applyAlignment="1">
      <alignment horizontal="right" vertical="center" wrapText="1"/>
    </xf>
    <xf numFmtId="167" fontId="15" fillId="0" borderId="1" xfId="0" applyNumberFormat="1" applyFont="1" applyBorder="1" applyAlignment="1">
      <alignment horizontal="right" vertical="center"/>
    </xf>
    <xf numFmtId="167" fontId="15" fillId="0" borderId="1" xfId="0" applyNumberFormat="1" applyFont="1" applyFill="1" applyBorder="1" applyAlignment="1">
      <alignment horizontal="right" vertical="center"/>
    </xf>
    <xf numFmtId="1" fontId="14" fillId="0" borderId="9" xfId="0" applyNumberFormat="1" applyFont="1" applyFill="1" applyBorder="1" applyAlignment="1">
      <alignment horizontal="left" vertical="center" wrapText="1"/>
    </xf>
    <xf numFmtId="167" fontId="15" fillId="0" borderId="1" xfId="2" applyNumberFormat="1" applyFont="1" applyBorder="1" applyAlignment="1">
      <alignment horizontal="right" vertical="center"/>
    </xf>
    <xf numFmtId="167" fontId="15" fillId="0" borderId="1" xfId="2" applyNumberFormat="1" applyFont="1" applyFill="1" applyBorder="1" applyAlignment="1">
      <alignment horizontal="right" vertical="center"/>
    </xf>
    <xf numFmtId="167" fontId="14" fillId="0" borderId="1" xfId="0" applyNumberFormat="1" applyFont="1" applyBorder="1" applyAlignment="1">
      <alignment horizontal="right" vertical="center"/>
    </xf>
    <xf numFmtId="3" fontId="14" fillId="0" borderId="1" xfId="0" applyNumberFormat="1" applyFont="1" applyBorder="1" applyAlignment="1">
      <alignment horizontal="right" vertical="center"/>
    </xf>
    <xf numFmtId="167" fontId="14" fillId="0" borderId="1" xfId="0" applyNumberFormat="1" applyFont="1" applyFill="1" applyBorder="1" applyAlignment="1">
      <alignment horizontal="right" vertical="center"/>
    </xf>
    <xf numFmtId="167" fontId="0" fillId="0" borderId="0" xfId="0" applyNumberFormat="1"/>
    <xf numFmtId="3" fontId="14" fillId="0" borderId="0" xfId="0" applyNumberFormat="1" applyFont="1" applyFill="1" applyBorder="1" applyAlignment="1">
      <alignment horizontal="right" vertical="center"/>
    </xf>
    <xf numFmtId="1" fontId="14" fillId="0" borderId="9" xfId="0" applyNumberFormat="1" applyFont="1" applyFill="1" applyBorder="1" applyAlignment="1">
      <alignment horizontal="left" vertical="center"/>
    </xf>
    <xf numFmtId="167" fontId="12" fillId="0" borderId="1" xfId="0" applyNumberFormat="1" applyFont="1" applyBorder="1" applyAlignment="1">
      <alignment horizontal="right" vertical="center" wrapText="1"/>
    </xf>
    <xf numFmtId="0" fontId="14" fillId="0" borderId="1" xfId="0" applyFont="1" applyFill="1" applyBorder="1" applyAlignment="1">
      <alignment horizontal="left" vertical="center" wrapText="1"/>
    </xf>
    <xf numFmtId="166" fontId="14" fillId="0" borderId="1" xfId="0" applyNumberFormat="1" applyFont="1" applyBorder="1" applyAlignment="1">
      <alignment horizontal="right" vertical="center" wrapText="1"/>
    </xf>
    <xf numFmtId="166" fontId="12" fillId="0" borderId="1" xfId="0" applyNumberFormat="1" applyFont="1" applyBorder="1" applyAlignment="1">
      <alignment horizontal="right" vertical="center" wrapText="1"/>
    </xf>
    <xf numFmtId="1" fontId="14" fillId="0" borderId="3" xfId="0" applyNumberFormat="1" applyFont="1" applyFill="1" applyBorder="1" applyAlignment="1">
      <alignment horizontal="left" vertical="center"/>
    </xf>
    <xf numFmtId="0" fontId="14" fillId="3" borderId="10" xfId="0" applyFont="1" applyFill="1" applyBorder="1" applyAlignment="1">
      <alignment horizontal="left" vertical="center" wrapText="1"/>
    </xf>
    <xf numFmtId="166" fontId="14" fillId="3" borderId="11" xfId="0" applyNumberFormat="1" applyFont="1" applyFill="1" applyBorder="1" applyAlignment="1">
      <alignment horizontal="right" vertical="center" wrapText="1"/>
    </xf>
    <xf numFmtId="166" fontId="14" fillId="3" borderId="12" xfId="0" applyNumberFormat="1" applyFont="1" applyFill="1" applyBorder="1" applyAlignment="1">
      <alignment horizontal="right" vertical="center" wrapText="1"/>
    </xf>
    <xf numFmtId="0" fontId="14" fillId="3" borderId="9" xfId="0" applyFont="1" applyFill="1" applyBorder="1" applyAlignment="1">
      <alignment horizontal="left" vertical="center" wrapText="1"/>
    </xf>
    <xf numFmtId="166" fontId="14" fillId="3" borderId="1" xfId="0" applyNumberFormat="1" applyFont="1" applyFill="1" applyBorder="1" applyAlignment="1">
      <alignment horizontal="right" vertical="center" wrapText="1"/>
    </xf>
    <xf numFmtId="166" fontId="14" fillId="3" borderId="13" xfId="0" applyNumberFormat="1" applyFont="1" applyFill="1" applyBorder="1" applyAlignment="1">
      <alignment horizontal="right" vertical="center" wrapText="1"/>
    </xf>
    <xf numFmtId="167" fontId="14" fillId="3" borderId="1" xfId="0" applyNumberFormat="1" applyFont="1" applyFill="1" applyBorder="1" applyAlignment="1">
      <alignment horizontal="right" vertical="center" wrapText="1"/>
    </xf>
    <xf numFmtId="167" fontId="14" fillId="3" borderId="13" xfId="0" applyNumberFormat="1" applyFont="1" applyFill="1" applyBorder="1" applyAlignment="1">
      <alignment horizontal="right" vertical="center" wrapText="1"/>
    </xf>
    <xf numFmtId="0" fontId="14" fillId="3" borderId="14" xfId="0" applyFont="1" applyFill="1" applyBorder="1" applyAlignment="1">
      <alignment horizontal="left" vertical="center" wrapText="1"/>
    </xf>
    <xf numFmtId="167" fontId="14" fillId="3" borderId="15" xfId="0" applyNumberFormat="1" applyFont="1" applyFill="1" applyBorder="1" applyAlignment="1">
      <alignment horizontal="right" vertical="center" wrapText="1"/>
    </xf>
    <xf numFmtId="167" fontId="14" fillId="3" borderId="16" xfId="0" applyNumberFormat="1" applyFont="1" applyFill="1" applyBorder="1" applyAlignment="1">
      <alignment horizontal="right" vertical="center" wrapText="1"/>
    </xf>
    <xf numFmtId="0" fontId="12" fillId="6" borderId="7" xfId="0" applyFont="1" applyFill="1" applyBorder="1" applyAlignment="1">
      <alignment horizontal="left" vertical="center" wrapText="1"/>
    </xf>
    <xf numFmtId="167" fontId="14" fillId="7" borderId="8" xfId="0" applyNumberFormat="1" applyFont="1" applyFill="1" applyBorder="1" applyAlignment="1">
      <alignment horizontal="right" vertical="center" wrapText="1"/>
    </xf>
    <xf numFmtId="0" fontId="14" fillId="8" borderId="10" xfId="0" applyFont="1" applyFill="1" applyBorder="1" applyAlignment="1">
      <alignment horizontal="left" vertical="center" wrapText="1"/>
    </xf>
    <xf numFmtId="166" fontId="14" fillId="8" borderId="11" xfId="0" applyNumberFormat="1" applyFont="1" applyFill="1" applyBorder="1" applyAlignment="1">
      <alignment horizontal="right" vertical="center" wrapText="1"/>
    </xf>
    <xf numFmtId="166" fontId="14" fillId="8" borderId="12" xfId="0" applyNumberFormat="1" applyFont="1" applyFill="1" applyBorder="1" applyAlignment="1">
      <alignment horizontal="right" vertical="center" wrapText="1"/>
    </xf>
    <xf numFmtId="0" fontId="14" fillId="8" borderId="9" xfId="0" applyFont="1" applyFill="1" applyBorder="1" applyAlignment="1">
      <alignment horizontal="left" vertical="center" wrapText="1"/>
    </xf>
    <xf numFmtId="166" fontId="14" fillId="8" borderId="1" xfId="0" applyNumberFormat="1" applyFont="1" applyFill="1" applyBorder="1" applyAlignment="1">
      <alignment horizontal="right" vertical="center" wrapText="1"/>
    </xf>
    <xf numFmtId="166" fontId="14" fillId="8" borderId="13" xfId="0" applyNumberFormat="1" applyFont="1" applyFill="1" applyBorder="1" applyAlignment="1">
      <alignment horizontal="right" vertical="center" wrapText="1"/>
    </xf>
    <xf numFmtId="0" fontId="14" fillId="8" borderId="14" xfId="0" applyFont="1" applyFill="1" applyBorder="1" applyAlignment="1">
      <alignment horizontal="left" vertical="center" wrapText="1"/>
    </xf>
    <xf numFmtId="166" fontId="14" fillId="8" borderId="15" xfId="0" applyNumberFormat="1" applyFont="1" applyFill="1" applyBorder="1" applyAlignment="1">
      <alignment horizontal="right" vertical="center" wrapText="1"/>
    </xf>
    <xf numFmtId="166" fontId="14" fillId="8" borderId="16" xfId="0" applyNumberFormat="1" applyFont="1" applyFill="1" applyBorder="1" applyAlignment="1">
      <alignment horizontal="right" vertical="center" wrapText="1"/>
    </xf>
    <xf numFmtId="0" fontId="14" fillId="4" borderId="10" xfId="0" applyFont="1" applyFill="1" applyBorder="1" applyAlignment="1">
      <alignment horizontal="left" vertical="center" wrapText="1"/>
    </xf>
    <xf numFmtId="167" fontId="14" fillId="4" borderId="11" xfId="0" applyNumberFormat="1" applyFont="1" applyFill="1" applyBorder="1" applyAlignment="1">
      <alignment horizontal="right" vertical="center" wrapText="1"/>
    </xf>
    <xf numFmtId="0" fontId="14" fillId="4" borderId="9" xfId="0" applyFont="1" applyFill="1" applyBorder="1" applyAlignment="1">
      <alignment horizontal="left" vertical="center" wrapText="1"/>
    </xf>
    <xf numFmtId="167" fontId="14" fillId="4" borderId="1" xfId="0" applyNumberFormat="1" applyFont="1" applyFill="1" applyBorder="1" applyAlignment="1">
      <alignment horizontal="right" vertical="center" wrapText="1"/>
    </xf>
    <xf numFmtId="0" fontId="14" fillId="4" borderId="14" xfId="0" applyFont="1" applyFill="1" applyBorder="1" applyAlignment="1">
      <alignment horizontal="left" vertical="center" wrapText="1"/>
    </xf>
    <xf numFmtId="167" fontId="14" fillId="4" borderId="15" xfId="0" applyNumberFormat="1" applyFont="1" applyFill="1" applyBorder="1" applyAlignment="1">
      <alignment horizontal="right" vertical="center" wrapText="1"/>
    </xf>
    <xf numFmtId="0" fontId="12" fillId="0" borderId="7" xfId="0" applyFont="1" applyFill="1" applyBorder="1" applyAlignment="1">
      <alignment horizontal="left" vertical="center" wrapText="1"/>
    </xf>
    <xf numFmtId="166" fontId="15" fillId="0" borderId="8" xfId="0" applyNumberFormat="1" applyFont="1" applyFill="1" applyBorder="1" applyAlignment="1">
      <alignment horizontal="right" vertical="center"/>
    </xf>
    <xf numFmtId="0" fontId="14" fillId="0" borderId="9" xfId="0" applyFont="1" applyBorder="1" applyAlignment="1">
      <alignment horizontal="left" vertical="center" wrapText="1"/>
    </xf>
    <xf numFmtId="168" fontId="14" fillId="0" borderId="1" xfId="0" applyNumberFormat="1" applyFont="1" applyBorder="1" applyAlignment="1">
      <alignment horizontal="right" vertical="center" wrapText="1"/>
    </xf>
    <xf numFmtId="169" fontId="14" fillId="0" borderId="1" xfId="0" applyNumberFormat="1" applyFont="1" applyBorder="1" applyAlignment="1">
      <alignment horizontal="right" vertical="center"/>
    </xf>
    <xf numFmtId="169" fontId="14" fillId="0" borderId="1" xfId="0" applyNumberFormat="1" applyFont="1" applyFill="1" applyBorder="1" applyAlignment="1">
      <alignment horizontal="right" vertical="center"/>
    </xf>
    <xf numFmtId="168" fontId="14" fillId="0" borderId="1" xfId="2" applyNumberFormat="1" applyFont="1" applyFill="1" applyBorder="1" applyAlignment="1">
      <alignment horizontal="right" vertical="center"/>
    </xf>
    <xf numFmtId="168" fontId="14" fillId="0" borderId="1" xfId="2" applyNumberFormat="1" applyFont="1" applyBorder="1" applyAlignment="1">
      <alignment horizontal="right" vertical="center"/>
    </xf>
    <xf numFmtId="0" fontId="14" fillId="0" borderId="17" xfId="0" applyFont="1" applyFill="1" applyBorder="1" applyAlignment="1">
      <alignment horizontal="left" vertical="center"/>
    </xf>
    <xf numFmtId="0" fontId="12" fillId="0" borderId="6" xfId="0" applyFont="1" applyFill="1" applyBorder="1" applyAlignment="1">
      <alignment horizontal="left" vertical="center"/>
    </xf>
    <xf numFmtId="167" fontId="0" fillId="0" borderId="0" xfId="0" applyNumberFormat="1" applyBorder="1" applyAlignment="1">
      <alignment horizontal="left"/>
    </xf>
    <xf numFmtId="0" fontId="6" fillId="0" borderId="0" xfId="0" applyFont="1"/>
    <xf numFmtId="0" fontId="6" fillId="0" borderId="0" xfId="0" applyFont="1" applyFill="1" applyBorder="1"/>
    <xf numFmtId="0" fontId="12" fillId="0" borderId="1"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6" fillId="0" borderId="0" xfId="0" applyFont="1" applyFill="1" applyBorder="1" applyAlignment="1">
      <alignment vertical="center"/>
    </xf>
    <xf numFmtId="0" fontId="14" fillId="0" borderId="1" xfId="0" applyFont="1" applyBorder="1" applyAlignment="1">
      <alignment horizontal="right" vertical="center" wrapText="1"/>
    </xf>
    <xf numFmtId="0" fontId="14" fillId="0" borderId="1" xfId="0" applyFont="1" applyFill="1" applyBorder="1" applyAlignment="1">
      <alignment horizontal="right" vertical="center" wrapText="1"/>
    </xf>
    <xf numFmtId="167" fontId="14" fillId="0" borderId="1" xfId="0" applyNumberFormat="1" applyFont="1" applyFill="1" applyBorder="1" applyAlignment="1">
      <alignment horizontal="right" vertical="center" wrapText="1"/>
    </xf>
    <xf numFmtId="167" fontId="12" fillId="0" borderId="2" xfId="0" applyNumberFormat="1" applyFont="1" applyFill="1" applyBorder="1" applyAlignment="1">
      <alignment horizontal="right" vertical="center" wrapText="1"/>
    </xf>
    <xf numFmtId="167" fontId="17" fillId="0" borderId="1" xfId="0" applyNumberFormat="1" applyFont="1" applyFill="1" applyBorder="1" applyAlignment="1">
      <alignment horizontal="right" vertical="center" wrapText="1"/>
    </xf>
    <xf numFmtId="169" fontId="1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0" fontId="14" fillId="0" borderId="1" xfId="0" applyFont="1" applyBorder="1" applyAlignment="1">
      <alignment horizontal="right" vertical="center"/>
    </xf>
    <xf numFmtId="167" fontId="15" fillId="0" borderId="3" xfId="2" applyNumberFormat="1" applyFont="1" applyFill="1" applyBorder="1" applyAlignment="1">
      <alignment horizontal="right" vertical="center"/>
    </xf>
    <xf numFmtId="170" fontId="15" fillId="0" borderId="1" xfId="2" applyNumberFormat="1" applyFont="1" applyBorder="1" applyAlignment="1">
      <alignment horizontal="right" vertical="center"/>
    </xf>
    <xf numFmtId="167" fontId="14" fillId="0" borderId="1" xfId="2" applyNumberFormat="1" applyFont="1" applyBorder="1" applyAlignment="1">
      <alignment horizontal="right" vertical="center"/>
    </xf>
    <xf numFmtId="0" fontId="6" fillId="0" borderId="0" xfId="0" applyFont="1" applyFill="1" applyBorder="1" applyAlignment="1">
      <alignment vertical="center" wrapText="1"/>
    </xf>
    <xf numFmtId="0" fontId="14" fillId="0" borderId="1" xfId="0" applyFont="1" applyFill="1" applyBorder="1" applyAlignment="1">
      <alignment horizontal="right" vertical="center"/>
    </xf>
    <xf numFmtId="0" fontId="14" fillId="0" borderId="1" xfId="0" applyFont="1" applyFill="1" applyBorder="1" applyAlignment="1">
      <alignment horizontal="left" vertical="center"/>
    </xf>
    <xf numFmtId="167" fontId="14" fillId="0" borderId="8" xfId="2" applyNumberFormat="1" applyFont="1" applyFill="1" applyBorder="1" applyAlignment="1">
      <alignment horizontal="right" vertical="center"/>
    </xf>
    <xf numFmtId="170" fontId="14" fillId="0" borderId="1" xfId="2" applyNumberFormat="1" applyFont="1" applyBorder="1" applyAlignment="1">
      <alignment horizontal="right" vertical="center"/>
    </xf>
    <xf numFmtId="167" fontId="12" fillId="0" borderId="1" xfId="1" applyNumberFormat="1" applyFont="1" applyFill="1" applyBorder="1" applyAlignment="1">
      <alignment horizontal="right" vertical="center"/>
    </xf>
    <xf numFmtId="9" fontId="14" fillId="0" borderId="1" xfId="2" applyFont="1" applyFill="1" applyBorder="1" applyAlignment="1">
      <alignment horizontal="right" vertical="center" wrapText="1"/>
    </xf>
    <xf numFmtId="167" fontId="14" fillId="0" borderId="1" xfId="2" applyNumberFormat="1" applyFont="1" applyFill="1" applyBorder="1" applyAlignment="1">
      <alignment horizontal="right" vertical="center"/>
    </xf>
    <xf numFmtId="167" fontId="17" fillId="0" borderId="1" xfId="1" applyNumberFormat="1" applyFont="1" applyFill="1" applyBorder="1" applyAlignment="1">
      <alignment horizontal="right" vertical="center"/>
    </xf>
    <xf numFmtId="167" fontId="12" fillId="0" borderId="1" xfId="0" applyNumberFormat="1" applyFont="1" applyFill="1" applyBorder="1" applyAlignment="1">
      <alignment horizontal="right" vertical="center"/>
    </xf>
    <xf numFmtId="167" fontId="6" fillId="0" borderId="0" xfId="0" applyNumberFormat="1" applyFont="1" applyFill="1" applyBorder="1" applyAlignment="1">
      <alignment vertical="center"/>
    </xf>
    <xf numFmtId="169" fontId="14" fillId="0" borderId="1" xfId="2" applyNumberFormat="1" applyFont="1" applyBorder="1" applyAlignment="1">
      <alignment horizontal="right" vertical="center"/>
    </xf>
    <xf numFmtId="0" fontId="14" fillId="0" borderId="0" xfId="0" applyFont="1" applyBorder="1"/>
    <xf numFmtId="0" fontId="10" fillId="5" borderId="0" xfId="0" applyFont="1" applyFill="1" applyBorder="1" applyAlignment="1">
      <alignment vertical="center"/>
    </xf>
    <xf numFmtId="0" fontId="10" fillId="5" borderId="0" xfId="0" applyFont="1" applyFill="1" applyBorder="1" applyAlignment="1">
      <alignment horizontal="left" vertical="center"/>
    </xf>
    <xf numFmtId="167" fontId="15" fillId="9" borderId="1" xfId="0" applyNumberFormat="1" applyFont="1" applyFill="1" applyBorder="1" applyAlignment="1">
      <alignment horizontal="right" vertical="center"/>
    </xf>
    <xf numFmtId="167" fontId="15" fillId="9" borderId="1" xfId="2" applyNumberFormat="1"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6" xfId="0" applyFont="1" applyBorder="1" applyAlignment="1">
      <alignment horizontal="left" vertical="center"/>
    </xf>
    <xf numFmtId="0" fontId="12" fillId="0" borderId="1" xfId="0"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1" xfId="3" applyNumberFormat="1" applyFont="1" applyFill="1" applyBorder="1" applyAlignment="1">
      <alignment horizontal="center" vertical="center" wrapText="1"/>
    </xf>
    <xf numFmtId="0" fontId="4" fillId="2" borderId="5"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3" xfId="3" applyFont="1" applyFill="1" applyBorder="1" applyAlignment="1">
      <alignment horizontal="center"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 xfId="0" applyFont="1" applyBorder="1" applyAlignment="1">
      <alignment vertical="center"/>
    </xf>
    <xf numFmtId="0" fontId="14" fillId="0" borderId="1" xfId="0" applyFont="1" applyBorder="1" applyAlignment="1">
      <alignment vertical="center"/>
    </xf>
    <xf numFmtId="0" fontId="15"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xf>
    <xf numFmtId="167" fontId="18" fillId="0" borderId="2" xfId="2" applyNumberFormat="1" applyFont="1" applyBorder="1" applyAlignment="1">
      <alignment horizontal="center" vertical="center" wrapText="1"/>
    </xf>
    <xf numFmtId="167" fontId="18" fillId="0" borderId="18" xfId="0" applyNumberFormat="1" applyFont="1" applyBorder="1" applyAlignment="1">
      <alignment horizontal="center" vertical="center" wrapText="1"/>
    </xf>
    <xf numFmtId="167" fontId="18" fillId="0" borderId="8" xfId="0" applyNumberFormat="1" applyFont="1" applyBorder="1" applyAlignment="1">
      <alignment horizontal="center" vertical="center" wrapText="1"/>
    </xf>
    <xf numFmtId="0" fontId="19" fillId="0" borderId="19" xfId="0" applyFont="1" applyBorder="1" applyAlignment="1">
      <alignment horizontal="left"/>
    </xf>
    <xf numFmtId="0" fontId="19" fillId="0" borderId="20" xfId="0" applyFont="1" applyBorder="1" applyAlignment="1">
      <alignment horizontal="left"/>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67" fontId="14" fillId="0" borderId="5" xfId="0" applyNumberFormat="1" applyFont="1" applyFill="1" applyBorder="1" applyAlignment="1">
      <alignment horizontal="center" vertical="center"/>
    </xf>
    <xf numFmtId="167" fontId="14" fillId="0" borderId="3" xfId="0" applyNumberFormat="1" applyFont="1" applyFill="1" applyBorder="1" applyAlignment="1">
      <alignment horizontal="center" vertical="center"/>
    </xf>
    <xf numFmtId="167" fontId="14" fillId="0" borderId="5" xfId="0" applyNumberFormat="1" applyFont="1" applyFill="1" applyBorder="1" applyAlignment="1">
      <alignment horizontal="center" vertical="center" wrapText="1"/>
    </xf>
    <xf numFmtId="167" fontId="14" fillId="0" borderId="4" xfId="0" applyNumberFormat="1" applyFont="1" applyFill="1" applyBorder="1" applyAlignment="1">
      <alignment horizontal="center" vertical="center" wrapText="1"/>
    </xf>
    <xf numFmtId="167" fontId="14" fillId="0" borderId="3" xfId="0" applyNumberFormat="1" applyFont="1" applyFill="1" applyBorder="1" applyAlignment="1">
      <alignment horizontal="center" vertical="center" wrapText="1"/>
    </xf>
    <xf numFmtId="167" fontId="14" fillId="0" borderId="4" xfId="0" applyNumberFormat="1" applyFont="1" applyFill="1" applyBorder="1" applyAlignment="1">
      <alignment horizontal="center" vertical="center"/>
    </xf>
    <xf numFmtId="167" fontId="14" fillId="0" borderId="5" xfId="0" quotePrefix="1" applyNumberFormat="1" applyFont="1" applyFill="1" applyBorder="1" applyAlignment="1">
      <alignment horizontal="center" vertical="center" wrapText="1"/>
    </xf>
  </cellXfs>
  <cellStyles count="5">
    <cellStyle name="Comma" xfId="1" builtinId="3"/>
    <cellStyle name="Comma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828675</xdr:colOff>
      <xdr:row>4</xdr:row>
      <xdr:rowOff>76200</xdr:rowOff>
    </xdr:from>
    <xdr:to>
      <xdr:col>8</xdr:col>
      <xdr:colOff>552450</xdr:colOff>
      <xdr:row>17</xdr:row>
      <xdr:rowOff>0</xdr:rowOff>
    </xdr:to>
    <xdr:sp macro="" textlink="">
      <xdr:nvSpPr>
        <xdr:cNvPr id="2" name="TextBox 1"/>
        <xdr:cNvSpPr txBox="1"/>
      </xdr:nvSpPr>
      <xdr:spPr>
        <a:xfrm>
          <a:off x="3057525" y="1000125"/>
          <a:ext cx="6410325" cy="20288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Disclaimer:</a:t>
          </a:r>
        </a:p>
        <a:p>
          <a:r>
            <a:rPr lang="en-US" sz="1100">
              <a:solidFill>
                <a:schemeClr val="dk1"/>
              </a:solidFill>
              <a:effectLst/>
              <a:latin typeface="+mn-lt"/>
              <a:ea typeface="+mn-ea"/>
              <a:cs typeface="+mn-cs"/>
            </a:rPr>
            <a:t>The data contained in this informational posting is of potential updated Base Residual Auction results for the 2024/2025 Delivery Year and is intended to be used for general informational purposes only. The final 2024/2025 Base Residual Auction will only be updated if directed by FERC. This informational posting is subject to change and is not intended to be a substitute for the final auction results that may be updated and posted upon FERC directive. PJM is not responsible for any reliance on the data contained in this informational posting. PJM specifically disclaims all implied warranties and all warranties arising from course of dealing, usage, or trade practice. PJM makes no warranty of any kind that the data is accurate, complete, or error free. In no event will PJM be liable for any reason under any legal or equitable theory, including, but not limited to, breach of contract, tort (including negligence), strict liability, and otherwise, for the use of any data contained in this informational posting.</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119062</xdr:colOff>
      <xdr:row>0</xdr:row>
      <xdr:rowOff>59531</xdr:rowOff>
    </xdr:from>
    <xdr:to>
      <xdr:col>17</xdr:col>
      <xdr:colOff>309562</xdr:colOff>
      <xdr:row>6</xdr:row>
      <xdr:rowOff>83343</xdr:rowOff>
    </xdr:to>
    <xdr:sp macro="" textlink="">
      <xdr:nvSpPr>
        <xdr:cNvPr id="2" name="TextBox 1"/>
        <xdr:cNvSpPr txBox="1"/>
      </xdr:nvSpPr>
      <xdr:spPr>
        <a:xfrm>
          <a:off x="9775031" y="59531"/>
          <a:ext cx="11989594" cy="125015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Disclaimer:</a:t>
          </a:r>
        </a:p>
        <a:p>
          <a:r>
            <a:rPr lang="en-US" sz="1100">
              <a:solidFill>
                <a:schemeClr val="dk1"/>
              </a:solidFill>
              <a:effectLst/>
              <a:latin typeface="+mn-lt"/>
              <a:ea typeface="+mn-ea"/>
              <a:cs typeface="+mn-cs"/>
            </a:rPr>
            <a:t>The data contained in this informational posting is of potential updated Base Residual Auction results for the 2024/2025 Delivery Year and is intended to be used for general informational purposes only. The final 2024/2025 Base Residual Auction will only be updated if directed by FERC. This informational posting is subject to change and is not intended to be a substitute for the final auction results that may be updated and posted upon FERC directive. PJM is not responsible for any reliance on the data contained in this informational posting. PJM specifically disclaims all implied warranties and all warranties arising from course of dealing, usage, or trade practice. PJM makes no warranty of any kind that the data is accurate, complete, or error free. In no event will PJM be liable for any reason under any legal or equitable theory, including, but not limited to, breach of contract, tort (including negligence), strict liability, and otherwise, for the use of any data contained in this informational posting.</a:t>
          </a:r>
        </a:p>
        <a:p>
          <a:endParaRPr lang="en-US" sz="1100"/>
        </a:p>
      </xdr:txBody>
    </xdr:sp>
    <xdr:clientData/>
  </xdr:twoCellAnchor>
  <xdr:twoCellAnchor>
    <xdr:from>
      <xdr:col>0</xdr:col>
      <xdr:colOff>2202656</xdr:colOff>
      <xdr:row>7</xdr:row>
      <xdr:rowOff>107156</xdr:rowOff>
    </xdr:from>
    <xdr:to>
      <xdr:col>0</xdr:col>
      <xdr:colOff>3905250</xdr:colOff>
      <xdr:row>11</xdr:row>
      <xdr:rowOff>154782</xdr:rowOff>
    </xdr:to>
    <xdr:sp macro="" textlink="">
      <xdr:nvSpPr>
        <xdr:cNvPr id="3" name="TextBox 2"/>
        <xdr:cNvSpPr txBox="1"/>
      </xdr:nvSpPr>
      <xdr:spPr>
        <a:xfrm>
          <a:off x="2202656" y="1524000"/>
          <a:ext cx="1702594" cy="8334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DPL-South CETL and Reliability Requirement</a:t>
          </a:r>
          <a:r>
            <a:rPr lang="en-US" sz="1100" baseline="0"/>
            <a:t> change in Recalculated</a:t>
          </a:r>
        </a:p>
        <a:p>
          <a:r>
            <a:rPr lang="en-US" sz="1100" baseline="0"/>
            <a:t>case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pane xSplit="1" topLeftCell="B1" activePane="topRight" state="frozen"/>
      <selection pane="topRight"/>
    </sheetView>
  </sheetViews>
  <sheetFormatPr defaultRowHeight="12.75" x14ac:dyDescent="0.2"/>
  <cols>
    <col min="1" max="13" width="16.7109375" style="1" customWidth="1"/>
    <col min="14" max="14" width="12.7109375" style="1" customWidth="1"/>
    <col min="15" max="16384" width="9.140625" style="1"/>
  </cols>
  <sheetData>
    <row r="1" spans="1:10" ht="18.75" x14ac:dyDescent="0.3">
      <c r="A1" s="29" t="s">
        <v>138</v>
      </c>
      <c r="B1" s="29"/>
      <c r="C1" s="29"/>
      <c r="D1" s="29"/>
      <c r="E1" s="29"/>
      <c r="F1" s="28"/>
      <c r="G1" s="27"/>
      <c r="H1" s="27"/>
      <c r="I1" s="27"/>
      <c r="J1" s="27"/>
    </row>
    <row r="2" spans="1:10" x14ac:dyDescent="0.2">
      <c r="A2" s="18"/>
      <c r="B2" s="18"/>
      <c r="C2" s="18"/>
      <c r="D2" s="18"/>
      <c r="E2" s="18"/>
      <c r="F2" s="18"/>
      <c r="G2" s="18"/>
      <c r="H2" s="18"/>
      <c r="I2" s="18"/>
      <c r="J2" s="18"/>
    </row>
    <row r="3" spans="1:10" ht="15.75" x14ac:dyDescent="0.2">
      <c r="A3" s="15" t="s">
        <v>45</v>
      </c>
      <c r="B3" s="6"/>
      <c r="C3" s="6"/>
      <c r="D3" s="6"/>
      <c r="E3" s="6"/>
      <c r="F3" s="23"/>
      <c r="G3" s="23"/>
      <c r="H3" s="23"/>
      <c r="I3" s="23"/>
      <c r="J3" s="23"/>
    </row>
    <row r="4" spans="1:10" ht="25.5" x14ac:dyDescent="0.2">
      <c r="A4" s="26" t="s">
        <v>42</v>
      </c>
      <c r="B4" s="21" t="s">
        <v>28</v>
      </c>
    </row>
    <row r="5" spans="1:10" x14ac:dyDescent="0.2">
      <c r="A5" s="20" t="s">
        <v>40</v>
      </c>
      <c r="B5" s="25">
        <v>28.92</v>
      </c>
    </row>
    <row r="6" spans="1:10" x14ac:dyDescent="0.2">
      <c r="A6" s="20" t="s">
        <v>39</v>
      </c>
      <c r="B6" s="25">
        <v>49.49</v>
      </c>
    </row>
    <row r="7" spans="1:10" x14ac:dyDescent="0.2">
      <c r="A7" s="20" t="s">
        <v>38</v>
      </c>
      <c r="B7" s="25">
        <v>53.6</v>
      </c>
    </row>
    <row r="8" spans="1:10" x14ac:dyDescent="0.2">
      <c r="A8" s="20" t="s">
        <v>37</v>
      </c>
      <c r="B8" s="25">
        <v>49.49</v>
      </c>
    </row>
    <row r="9" spans="1:10" x14ac:dyDescent="0.2">
      <c r="A9" s="20" t="s">
        <v>4</v>
      </c>
      <c r="B9" s="25">
        <v>53.6</v>
      </c>
    </row>
    <row r="10" spans="1:10" x14ac:dyDescent="0.2">
      <c r="A10" s="20" t="s">
        <v>36</v>
      </c>
      <c r="B10" s="25">
        <v>53.6</v>
      </c>
    </row>
    <row r="11" spans="1:10" x14ac:dyDescent="0.2">
      <c r="A11" s="20" t="s">
        <v>35</v>
      </c>
      <c r="B11" s="25">
        <v>426.17</v>
      </c>
    </row>
    <row r="12" spans="1:10" x14ac:dyDescent="0.2">
      <c r="A12" s="20" t="s">
        <v>6</v>
      </c>
      <c r="B12" s="25">
        <v>49.49</v>
      </c>
    </row>
    <row r="13" spans="1:10" x14ac:dyDescent="0.2">
      <c r="A13" s="20" t="s">
        <v>20</v>
      </c>
      <c r="B13" s="25">
        <v>28.92</v>
      </c>
    </row>
    <row r="14" spans="1:10" x14ac:dyDescent="0.2">
      <c r="A14" s="20" t="s">
        <v>34</v>
      </c>
      <c r="B14" s="25">
        <v>28.92</v>
      </c>
    </row>
    <row r="15" spans="1:10" x14ac:dyDescent="0.2">
      <c r="A15" s="20" t="s">
        <v>18</v>
      </c>
      <c r="B15" s="25">
        <v>28.92</v>
      </c>
    </row>
    <row r="16" spans="1:10" x14ac:dyDescent="0.2">
      <c r="A16" s="20" t="s">
        <v>19</v>
      </c>
      <c r="B16" s="25">
        <v>73</v>
      </c>
    </row>
    <row r="17" spans="1:10" x14ac:dyDescent="0.2">
      <c r="A17" s="20" t="s">
        <v>5</v>
      </c>
      <c r="B17" s="25">
        <v>49.49</v>
      </c>
    </row>
    <row r="18" spans="1:10" x14ac:dyDescent="0.2">
      <c r="A18" s="20" t="s">
        <v>17</v>
      </c>
      <c r="B18" s="25">
        <v>28.92</v>
      </c>
    </row>
    <row r="19" spans="1:10" x14ac:dyDescent="0.2">
      <c r="A19" s="20" t="s">
        <v>33</v>
      </c>
      <c r="B19" s="25">
        <v>96.24</v>
      </c>
    </row>
    <row r="20" spans="1:10" x14ac:dyDescent="0.2">
      <c r="A20" s="24" t="s">
        <v>44</v>
      </c>
      <c r="B20" s="24"/>
      <c r="D20" s="22"/>
      <c r="E20" s="22"/>
      <c r="F20" s="22"/>
      <c r="G20" s="22"/>
      <c r="H20" s="22"/>
      <c r="I20" s="22"/>
      <c r="J20" s="22"/>
    </row>
    <row r="21" spans="1:10" ht="15.75" x14ac:dyDescent="0.2">
      <c r="A21" s="15" t="s">
        <v>43</v>
      </c>
      <c r="B21" s="23"/>
      <c r="C21" s="23"/>
      <c r="D21" s="23"/>
      <c r="E21" s="23"/>
      <c r="F21" s="18"/>
      <c r="G21" s="18"/>
      <c r="H21" s="18"/>
      <c r="I21" s="18"/>
      <c r="J21" s="22"/>
    </row>
    <row r="22" spans="1:10" ht="25.5" x14ac:dyDescent="0.2">
      <c r="A22" s="147" t="s">
        <v>42</v>
      </c>
      <c r="B22" s="21" t="s">
        <v>28</v>
      </c>
    </row>
    <row r="23" spans="1:10" ht="25.5" x14ac:dyDescent="0.2">
      <c r="A23" s="147"/>
      <c r="B23" s="21" t="s">
        <v>41</v>
      </c>
    </row>
    <row r="24" spans="1:10" x14ac:dyDescent="0.2">
      <c r="A24" s="20" t="s">
        <v>40</v>
      </c>
      <c r="B24" s="19">
        <v>147477.4</v>
      </c>
    </row>
    <row r="25" spans="1:10" x14ac:dyDescent="0.2">
      <c r="A25" s="20" t="s">
        <v>39</v>
      </c>
      <c r="B25" s="19">
        <v>64199.299999999996</v>
      </c>
    </row>
    <row r="26" spans="1:10" x14ac:dyDescent="0.2">
      <c r="A26" s="20" t="s">
        <v>38</v>
      </c>
      <c r="B26" s="19">
        <v>30681</v>
      </c>
    </row>
    <row r="27" spans="1:10" x14ac:dyDescent="0.2">
      <c r="A27" s="20" t="s">
        <v>37</v>
      </c>
      <c r="B27" s="19">
        <v>8468.4</v>
      </c>
    </row>
    <row r="28" spans="1:10" x14ac:dyDescent="0.2">
      <c r="A28" s="20" t="s">
        <v>4</v>
      </c>
      <c r="B28" s="19">
        <v>6111.8</v>
      </c>
    </row>
    <row r="29" spans="1:10" x14ac:dyDescent="0.2">
      <c r="A29" s="20" t="s">
        <v>36</v>
      </c>
      <c r="B29" s="19">
        <v>3470.8</v>
      </c>
    </row>
    <row r="30" spans="1:10" x14ac:dyDescent="0.2">
      <c r="A30" s="20" t="s">
        <v>35</v>
      </c>
      <c r="B30" s="19">
        <v>1448.5</v>
      </c>
    </row>
    <row r="31" spans="1:10" x14ac:dyDescent="0.2">
      <c r="A31" s="20" t="s">
        <v>6</v>
      </c>
      <c r="B31" s="19">
        <v>3416.9</v>
      </c>
    </row>
    <row r="32" spans="1:10" x14ac:dyDescent="0.2">
      <c r="A32" s="20" t="s">
        <v>20</v>
      </c>
      <c r="B32" s="19">
        <v>9716.7000000000007</v>
      </c>
    </row>
    <row r="33" spans="1:10" x14ac:dyDescent="0.2">
      <c r="A33" s="20" t="s">
        <v>34</v>
      </c>
      <c r="B33" s="19">
        <v>1885.2</v>
      </c>
    </row>
    <row r="34" spans="1:10" x14ac:dyDescent="0.2">
      <c r="A34" s="20" t="s">
        <v>18</v>
      </c>
      <c r="B34" s="19">
        <v>25152</v>
      </c>
    </row>
    <row r="35" spans="1:10" x14ac:dyDescent="0.2">
      <c r="A35" s="20" t="s">
        <v>19</v>
      </c>
      <c r="B35" s="19">
        <v>2671.6</v>
      </c>
    </row>
    <row r="36" spans="1:10" x14ac:dyDescent="0.2">
      <c r="A36" s="20" t="s">
        <v>5</v>
      </c>
      <c r="B36" s="19">
        <v>9997.7000000000007</v>
      </c>
    </row>
    <row r="37" spans="1:10" x14ac:dyDescent="0.2">
      <c r="A37" s="20" t="s">
        <v>17</v>
      </c>
      <c r="B37" s="19">
        <v>985.4</v>
      </c>
    </row>
    <row r="38" spans="1:10" x14ac:dyDescent="0.2">
      <c r="A38" s="20" t="s">
        <v>33</v>
      </c>
      <c r="B38" s="19">
        <v>2060</v>
      </c>
    </row>
    <row r="39" spans="1:10" x14ac:dyDescent="0.2">
      <c r="A39" s="17" t="s">
        <v>32</v>
      </c>
      <c r="B39" s="16"/>
      <c r="C39" s="16"/>
      <c r="D39" s="16"/>
      <c r="E39" s="16"/>
      <c r="F39" s="16"/>
      <c r="G39" s="16"/>
      <c r="H39" s="16"/>
      <c r="I39" s="16"/>
      <c r="J39" s="18"/>
    </row>
    <row r="40" spans="1:10" x14ac:dyDescent="0.2">
      <c r="A40" s="17" t="s">
        <v>31</v>
      </c>
      <c r="B40" s="16"/>
      <c r="C40" s="16"/>
      <c r="D40" s="16"/>
      <c r="E40" s="16"/>
      <c r="F40" s="16"/>
      <c r="G40" s="16"/>
      <c r="H40" s="16"/>
      <c r="I40" s="16"/>
      <c r="J40" s="6"/>
    </row>
    <row r="41" spans="1:10" ht="15.75" x14ac:dyDescent="0.2">
      <c r="A41" s="15"/>
      <c r="B41" s="6"/>
      <c r="C41" s="6"/>
      <c r="D41" s="6"/>
      <c r="E41" s="6"/>
      <c r="F41" s="6"/>
      <c r="G41" s="6"/>
      <c r="H41" s="6"/>
      <c r="I41" s="6"/>
      <c r="J41" s="6"/>
    </row>
    <row r="42" spans="1:10" ht="15.75" x14ac:dyDescent="0.2">
      <c r="A42" s="15" t="s">
        <v>30</v>
      </c>
      <c r="B42" s="6"/>
      <c r="C42" s="6"/>
      <c r="D42" s="6"/>
      <c r="E42" s="6"/>
      <c r="F42" s="6"/>
      <c r="G42" s="6"/>
      <c r="H42" s="6"/>
      <c r="I42" s="6"/>
      <c r="J42" s="6"/>
    </row>
    <row r="43" spans="1:10" x14ac:dyDescent="0.2">
      <c r="A43" s="148" t="s">
        <v>29</v>
      </c>
      <c r="B43" s="149" t="s">
        <v>28</v>
      </c>
      <c r="C43" s="150"/>
      <c r="D43" s="150"/>
      <c r="E43" s="151"/>
      <c r="F43" s="6"/>
      <c r="G43" s="6"/>
      <c r="H43" s="6"/>
      <c r="I43" s="6"/>
      <c r="J43" s="6"/>
    </row>
    <row r="44" spans="1:10" ht="51" x14ac:dyDescent="0.2">
      <c r="A44" s="148"/>
      <c r="B44" s="14" t="s">
        <v>27</v>
      </c>
      <c r="C44" s="14" t="s">
        <v>26</v>
      </c>
      <c r="D44" s="14" t="s">
        <v>25</v>
      </c>
      <c r="E44" s="14" t="s">
        <v>24</v>
      </c>
      <c r="F44" s="6"/>
      <c r="G44" s="6"/>
      <c r="H44" s="6"/>
      <c r="I44" s="6"/>
      <c r="J44" s="6"/>
    </row>
    <row r="45" spans="1:10" x14ac:dyDescent="0.2">
      <c r="A45" s="13" t="s">
        <v>23</v>
      </c>
      <c r="B45" s="12">
        <v>2918.6775054358359</v>
      </c>
      <c r="C45" s="11">
        <v>53.790942356899443</v>
      </c>
      <c r="D45" s="11">
        <v>0.48465117497361043</v>
      </c>
      <c r="E45" s="11">
        <v>53.306291181925829</v>
      </c>
      <c r="F45" s="6"/>
      <c r="G45" s="6"/>
      <c r="H45" s="6"/>
      <c r="I45" s="6"/>
      <c r="J45" s="6"/>
    </row>
    <row r="46" spans="1:10" x14ac:dyDescent="0.2">
      <c r="A46" s="13" t="s">
        <v>22</v>
      </c>
      <c r="B46" s="12">
        <v>13441.157259316604</v>
      </c>
      <c r="C46" s="11">
        <v>28.992949552103212</v>
      </c>
      <c r="D46" s="11">
        <v>0</v>
      </c>
      <c r="E46" s="10">
        <v>28.992949552103212</v>
      </c>
      <c r="F46" s="6"/>
      <c r="G46" s="6"/>
      <c r="H46" s="6"/>
      <c r="I46" s="6"/>
      <c r="J46" s="6"/>
    </row>
    <row r="47" spans="1:10" x14ac:dyDescent="0.2">
      <c r="A47" s="13" t="s">
        <v>21</v>
      </c>
      <c r="B47" s="12">
        <v>10383.873492661467</v>
      </c>
      <c r="C47" s="11">
        <v>28.992949552103212</v>
      </c>
      <c r="D47" s="11">
        <v>0</v>
      </c>
      <c r="E47" s="10">
        <v>28.992949552103212</v>
      </c>
      <c r="F47" s="6"/>
      <c r="G47" s="6"/>
      <c r="H47" s="6"/>
      <c r="I47" s="6"/>
      <c r="J47" s="6"/>
    </row>
    <row r="48" spans="1:10" x14ac:dyDescent="0.2">
      <c r="A48" s="13" t="s">
        <v>20</v>
      </c>
      <c r="B48" s="12">
        <v>14616.503355692425</v>
      </c>
      <c r="C48" s="11">
        <v>28.992949552103212</v>
      </c>
      <c r="D48" s="11">
        <v>0</v>
      </c>
      <c r="E48" s="10">
        <v>28.992949552103212</v>
      </c>
      <c r="F48" s="6"/>
      <c r="G48" s="6"/>
      <c r="H48" s="6"/>
      <c r="I48" s="6"/>
      <c r="J48" s="6"/>
    </row>
    <row r="49" spans="1:10" x14ac:dyDescent="0.2">
      <c r="A49" s="13" t="s">
        <v>19</v>
      </c>
      <c r="B49" s="12">
        <v>7556.4426787252914</v>
      </c>
      <c r="C49" s="11">
        <v>73.872094079130122</v>
      </c>
      <c r="D49" s="11">
        <v>14.041525740089444</v>
      </c>
      <c r="E49" s="10">
        <v>59.830568339040681</v>
      </c>
      <c r="F49" s="6"/>
      <c r="G49" s="6"/>
      <c r="H49" s="6"/>
      <c r="I49" s="6"/>
      <c r="J49" s="6"/>
    </row>
    <row r="50" spans="1:10" x14ac:dyDescent="0.2">
      <c r="A50" s="13" t="s">
        <v>18</v>
      </c>
      <c r="B50" s="12">
        <v>24121.975364850485</v>
      </c>
      <c r="C50" s="11">
        <v>28.992949552103212</v>
      </c>
      <c r="D50" s="11">
        <v>0</v>
      </c>
      <c r="E50" s="10">
        <v>28.992949552103212</v>
      </c>
      <c r="F50" s="6"/>
      <c r="G50" s="6"/>
      <c r="H50" s="6"/>
      <c r="I50" s="6"/>
      <c r="J50" s="6"/>
    </row>
    <row r="51" spans="1:10" x14ac:dyDescent="0.2">
      <c r="A51" s="13" t="s">
        <v>17</v>
      </c>
      <c r="B51" s="12">
        <v>3831.1444204324498</v>
      </c>
      <c r="C51" s="11">
        <v>28.992949552103212</v>
      </c>
      <c r="D51" s="11">
        <v>0</v>
      </c>
      <c r="E51" s="10">
        <v>28.992949552103212</v>
      </c>
      <c r="F51" s="6"/>
      <c r="G51" s="6"/>
      <c r="H51" s="6"/>
      <c r="I51" s="6"/>
      <c r="J51" s="6"/>
    </row>
    <row r="52" spans="1:10" x14ac:dyDescent="0.2">
      <c r="A52" s="13" t="s">
        <v>16</v>
      </c>
      <c r="B52" s="12">
        <v>5230.3524446039564</v>
      </c>
      <c r="C52" s="11">
        <v>96.312949552103206</v>
      </c>
      <c r="D52" s="11">
        <v>38.810678385576566</v>
      </c>
      <c r="E52" s="10">
        <v>57.50227116652664</v>
      </c>
      <c r="F52" s="6"/>
      <c r="G52" s="6"/>
      <c r="H52" s="6"/>
      <c r="I52" s="6"/>
      <c r="J52" s="6"/>
    </row>
    <row r="53" spans="1:10" x14ac:dyDescent="0.2">
      <c r="A53" s="13" t="s">
        <v>15</v>
      </c>
      <c r="B53" s="12">
        <v>3258.1151978145763</v>
      </c>
      <c r="C53" s="11">
        <v>28.992949552103212</v>
      </c>
      <c r="D53" s="11">
        <v>0</v>
      </c>
      <c r="E53" s="10">
        <v>28.992949552103212</v>
      </c>
      <c r="F53" s="6"/>
      <c r="G53" s="6"/>
      <c r="H53" s="6"/>
      <c r="I53" s="6"/>
      <c r="J53" s="6"/>
    </row>
    <row r="54" spans="1:10" x14ac:dyDescent="0.2">
      <c r="A54" s="13" t="s">
        <v>14</v>
      </c>
      <c r="B54" s="12">
        <v>3805.5144217288639</v>
      </c>
      <c r="C54" s="11">
        <v>28.992949552103212</v>
      </c>
      <c r="D54" s="11">
        <v>0</v>
      </c>
      <c r="E54" s="10">
        <v>28.992949552103212</v>
      </c>
      <c r="F54" s="6"/>
      <c r="G54" s="6"/>
      <c r="H54" s="6"/>
      <c r="I54" s="6"/>
      <c r="J54" s="6"/>
    </row>
    <row r="55" spans="1:10" x14ac:dyDescent="0.2">
      <c r="A55" s="13" t="s">
        <v>13</v>
      </c>
      <c r="B55" s="12">
        <v>4607.3496094562361</v>
      </c>
      <c r="C55" s="11">
        <v>165.61482189477522</v>
      </c>
      <c r="D55" s="11">
        <v>-5.8780345550946693</v>
      </c>
      <c r="E55" s="10">
        <v>171.49285644986989</v>
      </c>
      <c r="F55" s="6"/>
      <c r="G55" s="6"/>
      <c r="H55" s="6"/>
      <c r="I55" s="6"/>
      <c r="J55" s="6"/>
    </row>
    <row r="56" spans="1:10" x14ac:dyDescent="0.2">
      <c r="A56" s="13" t="s">
        <v>12</v>
      </c>
      <c r="B56" s="12">
        <v>2906.2195350369948</v>
      </c>
      <c r="C56" s="11">
        <v>28.992949552103212</v>
      </c>
      <c r="D56" s="11">
        <v>0</v>
      </c>
      <c r="E56" s="10">
        <v>28.992949552103212</v>
      </c>
      <c r="F56" s="6"/>
      <c r="G56" s="6"/>
      <c r="H56" s="6"/>
      <c r="I56" s="6"/>
      <c r="J56" s="6"/>
    </row>
    <row r="57" spans="1:10" x14ac:dyDescent="0.2">
      <c r="A57" s="13" t="s">
        <v>11</v>
      </c>
      <c r="B57" s="12">
        <v>6794.8369603414521</v>
      </c>
      <c r="C57" s="11">
        <v>53.790942356899443</v>
      </c>
      <c r="D57" s="11">
        <v>0.48465117497361049</v>
      </c>
      <c r="E57" s="10">
        <v>53.306291181925829</v>
      </c>
      <c r="F57" s="6"/>
      <c r="G57" s="6"/>
      <c r="H57" s="6"/>
      <c r="I57" s="6"/>
      <c r="J57" s="6"/>
    </row>
    <row r="58" spans="1:10" x14ac:dyDescent="0.2">
      <c r="A58" s="13" t="s">
        <v>10</v>
      </c>
      <c r="B58" s="12">
        <v>3478.3238799670917</v>
      </c>
      <c r="C58" s="11">
        <v>49.678961768309364</v>
      </c>
      <c r="D58" s="11">
        <v>0</v>
      </c>
      <c r="E58" s="10">
        <v>49.678961768309364</v>
      </c>
      <c r="F58" s="6"/>
      <c r="G58" s="6"/>
      <c r="H58" s="6"/>
      <c r="I58" s="6"/>
      <c r="J58" s="6"/>
    </row>
    <row r="59" spans="1:10" x14ac:dyDescent="0.2">
      <c r="A59" s="13" t="s">
        <v>9</v>
      </c>
      <c r="B59" s="12">
        <v>85.163578733017303</v>
      </c>
      <c r="C59" s="11">
        <v>28.992949552103212</v>
      </c>
      <c r="D59" s="11">
        <v>0</v>
      </c>
      <c r="E59" s="10">
        <v>28.992949552103212</v>
      </c>
      <c r="F59" s="6"/>
      <c r="G59" s="6"/>
      <c r="H59" s="6"/>
      <c r="I59" s="6"/>
      <c r="J59" s="6"/>
    </row>
    <row r="60" spans="1:10" x14ac:dyDescent="0.2">
      <c r="A60" s="13" t="s">
        <v>8</v>
      </c>
      <c r="B60" s="12">
        <v>9892.3579811166219</v>
      </c>
      <c r="C60" s="11">
        <v>53.790942356899443</v>
      </c>
      <c r="D60" s="11">
        <v>0.48465117497361032</v>
      </c>
      <c r="E60" s="10">
        <v>53.306291181925829</v>
      </c>
      <c r="F60" s="6"/>
      <c r="G60" s="6"/>
      <c r="H60" s="6"/>
      <c r="I60" s="6"/>
      <c r="J60" s="6"/>
    </row>
    <row r="61" spans="1:10" x14ac:dyDescent="0.2">
      <c r="A61" s="13" t="s">
        <v>7</v>
      </c>
      <c r="B61" s="12">
        <v>3294.6138744144405</v>
      </c>
      <c r="C61" s="11">
        <v>49.678961768309364</v>
      </c>
      <c r="D61" s="11">
        <v>0</v>
      </c>
      <c r="E61" s="10">
        <v>49.678961768309364</v>
      </c>
      <c r="F61" s="6"/>
      <c r="G61" s="6"/>
      <c r="H61" s="6"/>
      <c r="I61" s="6"/>
      <c r="J61" s="6"/>
    </row>
    <row r="62" spans="1:10" x14ac:dyDescent="0.2">
      <c r="A62" s="13" t="s">
        <v>6</v>
      </c>
      <c r="B62" s="12">
        <v>6976.1137207874453</v>
      </c>
      <c r="C62" s="11">
        <v>49.678961768309364</v>
      </c>
      <c r="D62" s="11">
        <v>0</v>
      </c>
      <c r="E62" s="10">
        <v>49.678961768309364</v>
      </c>
      <c r="F62" s="6"/>
      <c r="G62" s="6"/>
      <c r="H62" s="6"/>
      <c r="I62" s="6"/>
      <c r="J62" s="6"/>
    </row>
    <row r="63" spans="1:10" x14ac:dyDescent="0.2">
      <c r="A63" s="13" t="s">
        <v>5</v>
      </c>
      <c r="B63" s="12">
        <v>8552.8565499015931</v>
      </c>
      <c r="C63" s="11">
        <v>49.678961768309364</v>
      </c>
      <c r="D63" s="11">
        <v>0</v>
      </c>
      <c r="E63" s="10">
        <v>49.678961768309364</v>
      </c>
      <c r="F63" s="6"/>
      <c r="G63" s="6"/>
      <c r="H63" s="6"/>
      <c r="I63" s="6"/>
      <c r="J63" s="6"/>
    </row>
    <row r="64" spans="1:10" x14ac:dyDescent="0.2">
      <c r="A64" s="13" t="s">
        <v>4</v>
      </c>
      <c r="B64" s="12">
        <v>11270.791334038175</v>
      </c>
      <c r="C64" s="11">
        <v>53.790942356899443</v>
      </c>
      <c r="D64" s="11">
        <v>0.48465117497361049</v>
      </c>
      <c r="E64" s="10">
        <v>53.306291181925829</v>
      </c>
      <c r="F64" s="6"/>
      <c r="G64" s="6"/>
      <c r="H64" s="6"/>
      <c r="I64" s="6"/>
      <c r="J64" s="6"/>
    </row>
    <row r="65" spans="1:10" x14ac:dyDescent="0.2">
      <c r="A65" s="13" t="s">
        <v>3</v>
      </c>
      <c r="B65" s="12">
        <v>455.01683494497809</v>
      </c>
      <c r="C65" s="11">
        <v>53.790942356899443</v>
      </c>
      <c r="D65" s="11">
        <v>0.48465117497361049</v>
      </c>
      <c r="E65" s="10">
        <v>53.306291181925829</v>
      </c>
      <c r="F65" s="6"/>
      <c r="G65" s="6"/>
      <c r="H65" s="6"/>
      <c r="I65" s="6"/>
      <c r="J65" s="6"/>
    </row>
    <row r="66" spans="1:10" x14ac:dyDescent="0.2">
      <c r="A66" s="9" t="s">
        <v>2</v>
      </c>
      <c r="B66" s="8">
        <v>147477.4</v>
      </c>
      <c r="C66" s="7"/>
      <c r="D66" s="7"/>
      <c r="E66" s="7"/>
      <c r="F66" s="6"/>
      <c r="G66" s="6"/>
      <c r="H66" s="6"/>
      <c r="I66" s="6"/>
      <c r="J66" s="6"/>
    </row>
    <row r="67" spans="1:10" x14ac:dyDescent="0.2">
      <c r="A67" s="5" t="s">
        <v>1</v>
      </c>
      <c r="B67" s="4"/>
      <c r="C67" s="4"/>
      <c r="D67" s="4"/>
      <c r="E67" s="4"/>
      <c r="F67" s="4"/>
      <c r="G67" s="4"/>
      <c r="H67" s="4"/>
      <c r="I67" s="4"/>
      <c r="J67" s="3"/>
    </row>
    <row r="68" spans="1:10" x14ac:dyDescent="0.2">
      <c r="A68" s="2" t="s">
        <v>0</v>
      </c>
      <c r="B68" s="2"/>
      <c r="C68" s="2"/>
      <c r="D68" s="2"/>
      <c r="E68" s="2"/>
      <c r="F68" s="2"/>
      <c r="G68" s="2"/>
      <c r="H68" s="2"/>
      <c r="I68" s="2"/>
      <c r="J68" s="2"/>
    </row>
  </sheetData>
  <mergeCells count="3">
    <mergeCell ref="A22:A23"/>
    <mergeCell ref="A43:A44"/>
    <mergeCell ref="B43:E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zoomScale="80" zoomScaleNormal="80" workbookViewId="0"/>
  </sheetViews>
  <sheetFormatPr defaultRowHeight="15" x14ac:dyDescent="0.25"/>
  <cols>
    <col min="1" max="1" width="60.85546875" customWidth="1"/>
    <col min="2" max="16" width="16.85546875" customWidth="1"/>
  </cols>
  <sheetData>
    <row r="1" spans="1:19" ht="18" x14ac:dyDescent="0.25">
      <c r="A1" s="140" t="s">
        <v>139</v>
      </c>
      <c r="B1" s="140"/>
      <c r="C1" s="141"/>
      <c r="D1" s="31"/>
      <c r="E1" s="30"/>
      <c r="F1" s="32" t="s">
        <v>44</v>
      </c>
      <c r="G1" s="33"/>
      <c r="H1" s="34"/>
      <c r="I1" s="35"/>
      <c r="J1" s="36"/>
    </row>
    <row r="2" spans="1:19" ht="15.75" x14ac:dyDescent="0.25">
      <c r="A2" s="37" t="s">
        <v>44</v>
      </c>
      <c r="B2" s="38"/>
      <c r="C2" s="38"/>
      <c r="D2" s="38"/>
      <c r="E2" s="38"/>
      <c r="F2" s="38"/>
      <c r="G2" s="38"/>
      <c r="H2" s="36"/>
      <c r="I2" s="36"/>
      <c r="J2" s="39"/>
      <c r="K2" s="36"/>
      <c r="L2" s="38"/>
      <c r="M2" s="40" t="s">
        <v>44</v>
      </c>
      <c r="N2" s="38"/>
    </row>
    <row r="3" spans="1:19" ht="18" x14ac:dyDescent="0.25">
      <c r="A3" s="41" t="s">
        <v>44</v>
      </c>
      <c r="B3" s="42" t="s">
        <v>40</v>
      </c>
      <c r="C3" s="154" t="s">
        <v>46</v>
      </c>
      <c r="D3" s="154"/>
      <c r="E3" s="154"/>
      <c r="F3" s="154"/>
      <c r="G3" s="154"/>
      <c r="H3" s="154"/>
      <c r="I3" s="154"/>
      <c r="J3" s="154"/>
      <c r="K3" s="154"/>
      <c r="L3" s="154"/>
      <c r="M3" s="154"/>
      <c r="N3" s="154"/>
      <c r="O3" s="154"/>
      <c r="P3" s="154"/>
    </row>
    <row r="4" spans="1:19" x14ac:dyDescent="0.25">
      <c r="A4" s="41" t="s">
        <v>47</v>
      </c>
      <c r="B4" s="43">
        <v>0.14699999999999999</v>
      </c>
      <c r="C4" s="155" t="s">
        <v>48</v>
      </c>
      <c r="D4" s="155"/>
      <c r="E4" s="155"/>
      <c r="F4" s="155"/>
      <c r="G4" s="155"/>
      <c r="H4" s="155"/>
      <c r="I4" s="155"/>
      <c r="J4" s="155"/>
      <c r="K4" s="155"/>
      <c r="L4" s="155"/>
      <c r="M4" s="155"/>
      <c r="N4" s="155"/>
      <c r="O4" s="155"/>
      <c r="P4" s="155"/>
    </row>
    <row r="5" spans="1:19" x14ac:dyDescent="0.25">
      <c r="A5" s="41" t="s">
        <v>49</v>
      </c>
      <c r="B5" s="44">
        <v>5.0200000000000002E-2</v>
      </c>
      <c r="C5" s="155" t="s">
        <v>50</v>
      </c>
      <c r="D5" s="155"/>
      <c r="E5" s="155"/>
      <c r="F5" s="155"/>
      <c r="G5" s="155"/>
      <c r="H5" s="155"/>
      <c r="I5" s="155"/>
      <c r="J5" s="155"/>
      <c r="K5" s="155"/>
      <c r="L5" s="155"/>
      <c r="M5" s="155"/>
      <c r="N5" s="155"/>
      <c r="O5" s="155"/>
      <c r="P5" s="155"/>
    </row>
    <row r="6" spans="1:19" x14ac:dyDescent="0.25">
      <c r="A6" s="41" t="s">
        <v>51</v>
      </c>
      <c r="B6" s="45">
        <v>1.0893999999999999</v>
      </c>
      <c r="C6" s="155" t="s">
        <v>50</v>
      </c>
      <c r="D6" s="155"/>
      <c r="E6" s="155"/>
      <c r="F6" s="155"/>
      <c r="G6" s="155"/>
      <c r="H6" s="155"/>
      <c r="I6" s="155"/>
      <c r="J6" s="155"/>
      <c r="K6" s="155"/>
      <c r="L6" s="155"/>
      <c r="M6" s="155"/>
      <c r="N6" s="155"/>
      <c r="O6" s="155"/>
      <c r="P6" s="155"/>
    </row>
    <row r="7" spans="1:19" x14ac:dyDescent="0.25">
      <c r="A7" s="41" t="s">
        <v>52</v>
      </c>
      <c r="B7" s="46">
        <f>F45</f>
        <v>150640.31537688442</v>
      </c>
      <c r="C7" s="156" t="s">
        <v>53</v>
      </c>
      <c r="D7" s="156"/>
      <c r="E7" s="156"/>
      <c r="F7" s="156"/>
      <c r="G7" s="156"/>
      <c r="H7" s="156"/>
      <c r="I7" s="156"/>
      <c r="J7" s="156"/>
      <c r="K7" s="156"/>
      <c r="L7" s="156"/>
      <c r="M7" s="156"/>
      <c r="N7" s="156"/>
      <c r="O7" s="156"/>
      <c r="P7" s="156"/>
    </row>
    <row r="8" spans="1:19" ht="15.75" x14ac:dyDescent="0.25">
      <c r="A8" s="41" t="s">
        <v>44</v>
      </c>
      <c r="B8" s="47" t="s">
        <v>44</v>
      </c>
      <c r="C8" s="157" t="s">
        <v>54</v>
      </c>
      <c r="D8" s="157"/>
      <c r="E8" s="157"/>
      <c r="F8" s="157"/>
      <c r="G8" s="157"/>
      <c r="H8" s="157"/>
      <c r="I8" s="157"/>
      <c r="J8" s="157"/>
      <c r="K8" s="157"/>
      <c r="L8" s="157"/>
      <c r="M8" s="157"/>
      <c r="N8" s="157"/>
      <c r="O8" s="157"/>
      <c r="P8" s="157"/>
    </row>
    <row r="9" spans="1:19" ht="15.75" x14ac:dyDescent="0.25">
      <c r="A9" s="48" t="s">
        <v>44</v>
      </c>
      <c r="B9" s="49" t="s">
        <v>40</v>
      </c>
      <c r="C9" s="49" t="s">
        <v>39</v>
      </c>
      <c r="D9" s="49" t="s">
        <v>38</v>
      </c>
      <c r="E9" s="49" t="s">
        <v>37</v>
      </c>
      <c r="F9" s="49" t="s">
        <v>4</v>
      </c>
      <c r="G9" s="49" t="s">
        <v>55</v>
      </c>
      <c r="H9" s="49" t="s">
        <v>56</v>
      </c>
      <c r="I9" s="49" t="s">
        <v>6</v>
      </c>
      <c r="J9" s="50" t="s">
        <v>20</v>
      </c>
      <c r="K9" s="50" t="s">
        <v>57</v>
      </c>
      <c r="L9" s="51" t="s">
        <v>18</v>
      </c>
      <c r="M9" s="51" t="s">
        <v>19</v>
      </c>
      <c r="N9" s="51" t="s">
        <v>5</v>
      </c>
      <c r="O9" s="51" t="s">
        <v>17</v>
      </c>
      <c r="P9" s="51" t="s">
        <v>33</v>
      </c>
    </row>
    <row r="10" spans="1:19" x14ac:dyDescent="0.25">
      <c r="A10" s="52" t="s">
        <v>58</v>
      </c>
      <c r="B10" s="53" t="s">
        <v>59</v>
      </c>
      <c r="C10" s="54">
        <v>-4760</v>
      </c>
      <c r="D10" s="55">
        <v>2740</v>
      </c>
      <c r="E10" s="56">
        <v>6060</v>
      </c>
      <c r="F10" s="55">
        <v>5630</v>
      </c>
      <c r="G10" s="55">
        <v>2560</v>
      </c>
      <c r="H10" s="55">
        <v>1120</v>
      </c>
      <c r="I10" s="55">
        <v>4220</v>
      </c>
      <c r="J10" s="55">
        <v>5080</v>
      </c>
      <c r="K10" s="55">
        <v>3560</v>
      </c>
      <c r="L10" s="55">
        <v>-4570</v>
      </c>
      <c r="M10" s="56">
        <v>4660</v>
      </c>
      <c r="N10" s="55">
        <v>-30</v>
      </c>
      <c r="O10" s="55">
        <v>2470</v>
      </c>
      <c r="P10" s="55">
        <v>3270</v>
      </c>
    </row>
    <row r="11" spans="1:19" x14ac:dyDescent="0.25">
      <c r="A11" s="52" t="s">
        <v>60</v>
      </c>
      <c r="B11" s="53" t="s">
        <v>59</v>
      </c>
      <c r="C11" s="54">
        <v>5965</v>
      </c>
      <c r="D11" s="56">
        <v>8594</v>
      </c>
      <c r="E11" s="56">
        <v>7947</v>
      </c>
      <c r="F11" s="56">
        <v>8287</v>
      </c>
      <c r="G11" s="56">
        <v>4253</v>
      </c>
      <c r="H11" s="142">
        <v>2009</v>
      </c>
      <c r="I11" s="56">
        <v>7033</v>
      </c>
      <c r="J11" s="56">
        <v>10465</v>
      </c>
      <c r="K11" s="56">
        <v>4941</v>
      </c>
      <c r="L11" s="56">
        <v>4640.3999999999996</v>
      </c>
      <c r="M11" s="56">
        <v>5397</v>
      </c>
      <c r="N11" s="56">
        <v>4337</v>
      </c>
      <c r="O11" s="56">
        <v>3918</v>
      </c>
      <c r="P11" s="56">
        <v>4999</v>
      </c>
    </row>
    <row r="12" spans="1:19" x14ac:dyDescent="0.25">
      <c r="A12" s="57" t="s">
        <v>61</v>
      </c>
      <c r="B12" s="53">
        <f>ROUND((B7*B6),1)</f>
        <v>164107.6</v>
      </c>
      <c r="C12" s="54">
        <v>63518</v>
      </c>
      <c r="D12" s="58">
        <v>35415</v>
      </c>
      <c r="E12" s="59">
        <v>14299</v>
      </c>
      <c r="F12" s="58">
        <v>11166</v>
      </c>
      <c r="G12" s="58">
        <v>5715</v>
      </c>
      <c r="H12" s="143">
        <v>3514</v>
      </c>
      <c r="I12" s="58">
        <v>7151</v>
      </c>
      <c r="J12" s="58">
        <v>14434</v>
      </c>
      <c r="K12" s="58">
        <v>5374</v>
      </c>
      <c r="L12" s="58">
        <v>23859</v>
      </c>
      <c r="M12" s="59">
        <v>7514</v>
      </c>
      <c r="N12" s="58">
        <v>10214</v>
      </c>
      <c r="O12" s="58">
        <v>3922</v>
      </c>
      <c r="P12" s="58">
        <v>6881</v>
      </c>
    </row>
    <row r="13" spans="1:19" x14ac:dyDescent="0.25">
      <c r="A13" s="52" t="s">
        <v>62</v>
      </c>
      <c r="B13" s="60">
        <f>H45</f>
        <v>29421.618915533316</v>
      </c>
      <c r="C13" s="61">
        <f>H73</f>
        <v>0</v>
      </c>
      <c r="D13" s="61">
        <f>H70</f>
        <v>0</v>
      </c>
      <c r="E13" s="61">
        <f>H71</f>
        <v>0</v>
      </c>
      <c r="F13" s="61">
        <f>H67</f>
        <v>0</v>
      </c>
      <c r="G13" s="61">
        <f>H68</f>
        <v>0</v>
      </c>
      <c r="H13" s="61">
        <f>H58</f>
        <v>0</v>
      </c>
      <c r="I13" s="61">
        <f>H65</f>
        <v>0</v>
      </c>
      <c r="J13" s="61">
        <f>H49</f>
        <v>0</v>
      </c>
      <c r="K13" s="61">
        <f>H50</f>
        <v>0</v>
      </c>
      <c r="L13" s="60">
        <f>H52</f>
        <v>0</v>
      </c>
      <c r="M13" s="61">
        <f>H51</f>
        <v>0</v>
      </c>
      <c r="N13" s="61">
        <f>H66</f>
        <v>0</v>
      </c>
      <c r="O13" s="61">
        <f>H53</f>
        <v>0</v>
      </c>
      <c r="P13" s="62">
        <f>H54</f>
        <v>787.92430861723449</v>
      </c>
    </row>
    <row r="14" spans="1:19" x14ac:dyDescent="0.25">
      <c r="A14" s="52" t="s">
        <v>63</v>
      </c>
      <c r="B14" s="60">
        <f t="shared" ref="B14:O14" si="0">ROUND(B13*$B$6,1)</f>
        <v>32051.9</v>
      </c>
      <c r="C14" s="61">
        <f t="shared" si="0"/>
        <v>0</v>
      </c>
      <c r="D14" s="61">
        <f t="shared" si="0"/>
        <v>0</v>
      </c>
      <c r="E14" s="61">
        <f t="shared" si="0"/>
        <v>0</v>
      </c>
      <c r="F14" s="61">
        <f t="shared" si="0"/>
        <v>0</v>
      </c>
      <c r="G14" s="61">
        <f t="shared" si="0"/>
        <v>0</v>
      </c>
      <c r="H14" s="61">
        <f t="shared" si="0"/>
        <v>0</v>
      </c>
      <c r="I14" s="61">
        <f t="shared" si="0"/>
        <v>0</v>
      </c>
      <c r="J14" s="61">
        <f t="shared" si="0"/>
        <v>0</v>
      </c>
      <c r="K14" s="61">
        <f t="shared" si="0"/>
        <v>0</v>
      </c>
      <c r="L14" s="60">
        <f t="shared" si="0"/>
        <v>0</v>
      </c>
      <c r="M14" s="61">
        <f t="shared" si="0"/>
        <v>0</v>
      </c>
      <c r="N14" s="61">
        <f t="shared" si="0"/>
        <v>0</v>
      </c>
      <c r="O14" s="61">
        <f t="shared" si="0"/>
        <v>0</v>
      </c>
      <c r="P14" s="62">
        <f>ROUND(P13*$B$6,1)</f>
        <v>858.4</v>
      </c>
      <c r="Q14" s="63"/>
      <c r="R14" s="64"/>
      <c r="S14" s="63"/>
    </row>
    <row r="15" spans="1:19" ht="15.75" x14ac:dyDescent="0.25">
      <c r="A15" s="65" t="s">
        <v>64</v>
      </c>
      <c r="B15" s="66">
        <f>B12-B14</f>
        <v>132055.70000000001</v>
      </c>
      <c r="C15" s="66">
        <f>C12-C14*C41</f>
        <v>63518</v>
      </c>
      <c r="D15" s="66">
        <f>D12-D14*D41</f>
        <v>35415</v>
      </c>
      <c r="E15" s="66">
        <f>E12-E14*E41</f>
        <v>14299</v>
      </c>
      <c r="F15" s="66">
        <f>F12-F14*F41</f>
        <v>11166</v>
      </c>
      <c r="G15" s="66">
        <f>G12-G14</f>
        <v>5715</v>
      </c>
      <c r="H15" s="66">
        <f>H12-H14</f>
        <v>3514</v>
      </c>
      <c r="I15" s="66">
        <f>I12-I14</f>
        <v>7151</v>
      </c>
      <c r="J15" s="66">
        <f>J12-J14*J41</f>
        <v>14434</v>
      </c>
      <c r="K15" s="66">
        <f>K12-K14</f>
        <v>5374</v>
      </c>
      <c r="L15" s="66">
        <f>L12-L14*L41</f>
        <v>23859</v>
      </c>
      <c r="M15" s="66">
        <f>M12-M14*M41</f>
        <v>7514</v>
      </c>
      <c r="N15" s="66">
        <f>N12-N14</f>
        <v>10214</v>
      </c>
      <c r="O15" s="66">
        <f>O12-O14</f>
        <v>3922</v>
      </c>
      <c r="P15" s="66">
        <f>P12-P14*P41</f>
        <v>6589.1440000000002</v>
      </c>
    </row>
    <row r="16" spans="1:19" x14ac:dyDescent="0.25">
      <c r="A16" s="67" t="s">
        <v>65</v>
      </c>
      <c r="B16" s="68">
        <v>348.94</v>
      </c>
      <c r="C16" s="68">
        <v>351.93</v>
      </c>
      <c r="D16" s="68">
        <v>355.14</v>
      </c>
      <c r="E16" s="68">
        <v>357.45</v>
      </c>
      <c r="F16" s="68">
        <v>355.14</v>
      </c>
      <c r="G16" s="68">
        <v>355.14</v>
      </c>
      <c r="H16" s="68">
        <v>355.14</v>
      </c>
      <c r="I16" s="68">
        <v>357.45</v>
      </c>
      <c r="J16" s="68">
        <v>341.33</v>
      </c>
      <c r="K16" s="68">
        <v>341.33</v>
      </c>
      <c r="L16" s="68">
        <v>341.33</v>
      </c>
      <c r="M16" s="68">
        <v>357.45</v>
      </c>
      <c r="N16" s="68">
        <v>341.83</v>
      </c>
      <c r="O16" s="68">
        <v>341.33</v>
      </c>
      <c r="P16" s="68">
        <v>341.33</v>
      </c>
    </row>
    <row r="17" spans="1:16" ht="15.75" x14ac:dyDescent="0.25">
      <c r="A17" s="144" t="s">
        <v>66</v>
      </c>
      <c r="B17" s="69">
        <v>293.19</v>
      </c>
      <c r="C17" s="69">
        <v>294.06</v>
      </c>
      <c r="D17" s="69">
        <v>312.39</v>
      </c>
      <c r="E17" s="69">
        <v>261.07</v>
      </c>
      <c r="F17" s="69">
        <v>321.20999999999998</v>
      </c>
      <c r="G17" s="69">
        <v>321.20999999999998</v>
      </c>
      <c r="H17" s="69">
        <v>284.11</v>
      </c>
      <c r="I17" s="69">
        <v>288.07</v>
      </c>
      <c r="J17" s="69">
        <v>279.35000000000002</v>
      </c>
      <c r="K17" s="69">
        <v>279.35000000000002</v>
      </c>
      <c r="L17" s="69">
        <v>302.76</v>
      </c>
      <c r="M17" s="69">
        <v>234.07</v>
      </c>
      <c r="N17" s="69">
        <v>297.25</v>
      </c>
      <c r="O17" s="69">
        <v>262.17</v>
      </c>
      <c r="P17" s="69">
        <v>268.26</v>
      </c>
    </row>
    <row r="18" spans="1:16" x14ac:dyDescent="0.25">
      <c r="A18" s="70" t="s">
        <v>67</v>
      </c>
      <c r="B18" s="53">
        <v>7667.2000000000007</v>
      </c>
      <c r="C18" s="53">
        <v>3392.3</v>
      </c>
      <c r="D18" s="53">
        <v>1906.6999999999998</v>
      </c>
      <c r="E18" s="53">
        <v>766.2</v>
      </c>
      <c r="F18" s="53">
        <v>676.5</v>
      </c>
      <c r="G18" s="53">
        <v>329.50000000000006</v>
      </c>
      <c r="H18" s="53">
        <v>99.800000000000011</v>
      </c>
      <c r="I18" s="53">
        <v>387.6</v>
      </c>
      <c r="J18" s="53">
        <v>579.59999999999991</v>
      </c>
      <c r="K18" s="53">
        <v>54.9</v>
      </c>
      <c r="L18" s="53">
        <v>1063.3</v>
      </c>
      <c r="M18" s="53">
        <v>378.59999999999997</v>
      </c>
      <c r="N18" s="53">
        <v>377.59999999999997</v>
      </c>
      <c r="O18" s="53">
        <v>126.99999999999999</v>
      </c>
      <c r="P18" s="53">
        <v>183.9</v>
      </c>
    </row>
    <row r="19" spans="1:16" ht="16.5" thickBot="1" x14ac:dyDescent="0.3">
      <c r="A19" s="158" t="s">
        <v>68</v>
      </c>
      <c r="B19" s="158"/>
      <c r="C19" s="158"/>
      <c r="D19" s="158"/>
      <c r="E19" s="158"/>
      <c r="F19" s="158"/>
      <c r="G19" s="158"/>
      <c r="H19" s="158"/>
      <c r="I19" s="158"/>
      <c r="J19" s="158"/>
      <c r="K19" s="158"/>
      <c r="L19" s="158"/>
      <c r="M19" s="158"/>
      <c r="N19" s="158"/>
      <c r="O19" s="158"/>
      <c r="P19" s="158"/>
    </row>
    <row r="20" spans="1:16" x14ac:dyDescent="0.25">
      <c r="A20" s="71" t="s">
        <v>69</v>
      </c>
      <c r="B20" s="72">
        <f t="shared" ref="B20:P20" si="1">ROUND(MAX(B16,1.5*B17),2)</f>
        <v>439.79</v>
      </c>
      <c r="C20" s="72">
        <f t="shared" si="1"/>
        <v>441.09</v>
      </c>
      <c r="D20" s="72">
        <f t="shared" si="1"/>
        <v>468.59</v>
      </c>
      <c r="E20" s="72">
        <f t="shared" si="1"/>
        <v>391.61</v>
      </c>
      <c r="F20" s="72">
        <f t="shared" si="1"/>
        <v>481.82</v>
      </c>
      <c r="G20" s="72">
        <f t="shared" si="1"/>
        <v>481.82</v>
      </c>
      <c r="H20" s="72">
        <f>ROUND(MAX(H16,1.5*H17),2)</f>
        <v>426.17</v>
      </c>
      <c r="I20" s="72">
        <f t="shared" si="1"/>
        <v>432.11</v>
      </c>
      <c r="J20" s="72">
        <f t="shared" si="1"/>
        <v>419.03</v>
      </c>
      <c r="K20" s="72">
        <f t="shared" si="1"/>
        <v>419.03</v>
      </c>
      <c r="L20" s="72">
        <f t="shared" si="1"/>
        <v>454.14</v>
      </c>
      <c r="M20" s="72">
        <f t="shared" si="1"/>
        <v>357.45</v>
      </c>
      <c r="N20" s="72">
        <f t="shared" si="1"/>
        <v>445.88</v>
      </c>
      <c r="O20" s="72">
        <f t="shared" si="1"/>
        <v>393.26</v>
      </c>
      <c r="P20" s="73">
        <f t="shared" si="1"/>
        <v>402.39</v>
      </c>
    </row>
    <row r="21" spans="1:16" x14ac:dyDescent="0.25">
      <c r="A21" s="74" t="s">
        <v>70</v>
      </c>
      <c r="B21" s="75">
        <f t="shared" ref="B21:P21" si="2">ROUND(B$17*0.75,2)</f>
        <v>219.89</v>
      </c>
      <c r="C21" s="75">
        <f t="shared" si="2"/>
        <v>220.55</v>
      </c>
      <c r="D21" s="75">
        <f t="shared" si="2"/>
        <v>234.29</v>
      </c>
      <c r="E21" s="75">
        <f t="shared" si="2"/>
        <v>195.8</v>
      </c>
      <c r="F21" s="75">
        <f t="shared" si="2"/>
        <v>240.91</v>
      </c>
      <c r="G21" s="75">
        <f t="shared" si="2"/>
        <v>240.91</v>
      </c>
      <c r="H21" s="75">
        <f t="shared" si="2"/>
        <v>213.08</v>
      </c>
      <c r="I21" s="75">
        <f t="shared" si="2"/>
        <v>216.05</v>
      </c>
      <c r="J21" s="75">
        <f t="shared" si="2"/>
        <v>209.51</v>
      </c>
      <c r="K21" s="75">
        <f t="shared" si="2"/>
        <v>209.51</v>
      </c>
      <c r="L21" s="75">
        <f t="shared" si="2"/>
        <v>227.07</v>
      </c>
      <c r="M21" s="75">
        <f t="shared" si="2"/>
        <v>175.55</v>
      </c>
      <c r="N21" s="75">
        <f t="shared" si="2"/>
        <v>222.94</v>
      </c>
      <c r="O21" s="75">
        <f t="shared" si="2"/>
        <v>196.63</v>
      </c>
      <c r="P21" s="76">
        <f t="shared" si="2"/>
        <v>201.2</v>
      </c>
    </row>
    <row r="22" spans="1:16" x14ac:dyDescent="0.25">
      <c r="A22" s="74" t="s">
        <v>71</v>
      </c>
      <c r="B22" s="75">
        <v>0</v>
      </c>
      <c r="C22" s="75">
        <v>0</v>
      </c>
      <c r="D22" s="75">
        <v>0</v>
      </c>
      <c r="E22" s="75">
        <v>0</v>
      </c>
      <c r="F22" s="75">
        <v>0</v>
      </c>
      <c r="G22" s="75">
        <v>0</v>
      </c>
      <c r="H22" s="75">
        <v>0</v>
      </c>
      <c r="I22" s="75">
        <v>0</v>
      </c>
      <c r="J22" s="75">
        <v>0</v>
      </c>
      <c r="K22" s="75">
        <v>0</v>
      </c>
      <c r="L22" s="75">
        <v>0</v>
      </c>
      <c r="M22" s="75">
        <v>0</v>
      </c>
      <c r="N22" s="75">
        <v>0</v>
      </c>
      <c r="O22" s="75">
        <v>0</v>
      </c>
      <c r="P22" s="76">
        <v>0</v>
      </c>
    </row>
    <row r="23" spans="1:16" x14ac:dyDescent="0.25">
      <c r="A23" s="74" t="s">
        <v>72</v>
      </c>
      <c r="B23" s="77">
        <f t="shared" ref="B23:P23" si="3">ROUND(B$15*(1+$B$4-1.2%)/(1+$B$4),1)+B$18</f>
        <v>138341.30000000002</v>
      </c>
      <c r="C23" s="77">
        <f t="shared" si="3"/>
        <v>66245.8</v>
      </c>
      <c r="D23" s="77">
        <f t="shared" si="3"/>
        <v>36951.199999999997</v>
      </c>
      <c r="E23" s="77">
        <f t="shared" si="3"/>
        <v>14915.6</v>
      </c>
      <c r="F23" s="77">
        <f t="shared" si="3"/>
        <v>11725.7</v>
      </c>
      <c r="G23" s="77">
        <f t="shared" si="3"/>
        <v>5984.7</v>
      </c>
      <c r="H23" s="77">
        <f>ROUND(H$15*(1+$B$4-1.2%)/(1+$B$4),1)+H$18</f>
        <v>3577</v>
      </c>
      <c r="I23" s="77">
        <f t="shared" si="3"/>
        <v>7463.8</v>
      </c>
      <c r="J23" s="77">
        <f t="shared" si="3"/>
        <v>14862.6</v>
      </c>
      <c r="K23" s="77">
        <f t="shared" si="3"/>
        <v>5372.7</v>
      </c>
      <c r="L23" s="77">
        <f t="shared" si="3"/>
        <v>24672.7</v>
      </c>
      <c r="M23" s="77">
        <f t="shared" si="3"/>
        <v>7814</v>
      </c>
      <c r="N23" s="77">
        <f t="shared" si="3"/>
        <v>10484.700000000001</v>
      </c>
      <c r="O23" s="77">
        <f t="shared" si="3"/>
        <v>4008</v>
      </c>
      <c r="P23" s="78">
        <f t="shared" si="3"/>
        <v>6704.0999999999995</v>
      </c>
    </row>
    <row r="24" spans="1:16" x14ac:dyDescent="0.25">
      <c r="A24" s="74" t="s">
        <v>73</v>
      </c>
      <c r="B24" s="77">
        <f t="shared" ref="B24:P24" si="4">ROUND(B$15*(1+$B$4+1.9%)/(1+$B$4),1)+B$18</f>
        <v>141910.40000000002</v>
      </c>
      <c r="C24" s="77">
        <f t="shared" si="4"/>
        <v>67962.5</v>
      </c>
      <c r="D24" s="77">
        <f t="shared" si="4"/>
        <v>37908.299999999996</v>
      </c>
      <c r="E24" s="77">
        <f t="shared" si="4"/>
        <v>15302.1</v>
      </c>
      <c r="F24" s="77">
        <f t="shared" si="4"/>
        <v>12027.5</v>
      </c>
      <c r="G24" s="77">
        <f t="shared" si="4"/>
        <v>6139.2</v>
      </c>
      <c r="H24" s="77">
        <f>ROUND(H$15*(1+$B$4+1.9%)/(1+$B$4),1)+H$18</f>
        <v>3672</v>
      </c>
      <c r="I24" s="77">
        <f t="shared" si="4"/>
        <v>7657.1</v>
      </c>
      <c r="J24" s="77">
        <f t="shared" si="4"/>
        <v>15252.7</v>
      </c>
      <c r="K24" s="77">
        <f t="shared" si="4"/>
        <v>5517.9</v>
      </c>
      <c r="L24" s="77">
        <f t="shared" si="4"/>
        <v>25317.5</v>
      </c>
      <c r="M24" s="77">
        <f t="shared" si="4"/>
        <v>8017.1</v>
      </c>
      <c r="N24" s="77">
        <f t="shared" si="4"/>
        <v>10760.800000000001</v>
      </c>
      <c r="O24" s="77">
        <f t="shared" si="4"/>
        <v>4114</v>
      </c>
      <c r="P24" s="78">
        <f t="shared" si="4"/>
        <v>6882.2</v>
      </c>
    </row>
    <row r="25" spans="1:16" ht="15.75" thickBot="1" x14ac:dyDescent="0.3">
      <c r="A25" s="79" t="s">
        <v>74</v>
      </c>
      <c r="B25" s="80">
        <f t="shared" ref="B25:P25" si="5">ROUND(B$15*(1+$B$4+7.8%)/(1+$B$4),1)+B$18</f>
        <v>148703.1</v>
      </c>
      <c r="C25" s="80">
        <f t="shared" si="5"/>
        <v>71229.7</v>
      </c>
      <c r="D25" s="80">
        <f t="shared" si="5"/>
        <v>39730</v>
      </c>
      <c r="E25" s="80">
        <f t="shared" si="5"/>
        <v>16037.6</v>
      </c>
      <c r="F25" s="80">
        <f t="shared" si="5"/>
        <v>12601.8</v>
      </c>
      <c r="G25" s="80">
        <f t="shared" si="5"/>
        <v>6433.1</v>
      </c>
      <c r="H25" s="80">
        <f>ROUND(H$15*(1+$B$4+7.8%)/(1+$B$4),1)+H$18</f>
        <v>3852.8</v>
      </c>
      <c r="I25" s="80">
        <f t="shared" si="5"/>
        <v>8024.9000000000005</v>
      </c>
      <c r="J25" s="80">
        <f t="shared" si="5"/>
        <v>15995.2</v>
      </c>
      <c r="K25" s="80">
        <f t="shared" si="5"/>
        <v>5794.4</v>
      </c>
      <c r="L25" s="80">
        <f t="shared" si="5"/>
        <v>26544.799999999999</v>
      </c>
      <c r="M25" s="80">
        <f t="shared" si="5"/>
        <v>8403.6</v>
      </c>
      <c r="N25" s="80">
        <f t="shared" si="5"/>
        <v>11286.2</v>
      </c>
      <c r="O25" s="80">
        <f t="shared" si="5"/>
        <v>4315.7</v>
      </c>
      <c r="P25" s="81">
        <f t="shared" si="5"/>
        <v>7221.0999999999995</v>
      </c>
    </row>
    <row r="26" spans="1:16" ht="15.75" x14ac:dyDescent="0.25">
      <c r="A26" s="82" t="s">
        <v>75</v>
      </c>
      <c r="B26" s="83">
        <f>C26+J26+L26+O26+P26</f>
        <v>305</v>
      </c>
      <c r="C26" s="83">
        <f>D26+E26+N26</f>
        <v>305</v>
      </c>
      <c r="D26" s="83">
        <f>22+H26</f>
        <v>35</v>
      </c>
      <c r="E26" s="83">
        <f>I26+M26</f>
        <v>270</v>
      </c>
      <c r="F26" s="83">
        <v>0</v>
      </c>
      <c r="G26" s="83">
        <v>0</v>
      </c>
      <c r="H26" s="83">
        <v>13</v>
      </c>
      <c r="I26" s="83">
        <v>110</v>
      </c>
      <c r="J26" s="83">
        <v>0</v>
      </c>
      <c r="K26" s="83">
        <v>0</v>
      </c>
      <c r="L26" s="83">
        <v>0</v>
      </c>
      <c r="M26" s="83">
        <v>160</v>
      </c>
      <c r="N26" s="83">
        <v>0</v>
      </c>
      <c r="O26" s="83">
        <v>0</v>
      </c>
      <c r="P26" s="83">
        <v>0</v>
      </c>
    </row>
    <row r="27" spans="1:16" ht="16.5" thickBot="1" x14ac:dyDescent="0.3">
      <c r="A27" s="159" t="s">
        <v>76</v>
      </c>
      <c r="B27" s="159"/>
      <c r="C27" s="159"/>
      <c r="D27" s="159"/>
      <c r="E27" s="159"/>
      <c r="F27" s="159"/>
      <c r="G27" s="159"/>
      <c r="H27" s="159"/>
      <c r="I27" s="159"/>
      <c r="J27" s="159"/>
      <c r="K27" s="159"/>
      <c r="L27" s="159"/>
      <c r="M27" s="159"/>
      <c r="N27" s="159"/>
      <c r="O27" s="159"/>
      <c r="P27" s="159"/>
    </row>
    <row r="28" spans="1:16" x14ac:dyDescent="0.25">
      <c r="A28" s="84" t="s">
        <v>77</v>
      </c>
      <c r="B28" s="85">
        <f t="shared" ref="B28:E29" si="6">B20</f>
        <v>439.79</v>
      </c>
      <c r="C28" s="85">
        <f t="shared" si="6"/>
        <v>441.09</v>
      </c>
      <c r="D28" s="85">
        <f t="shared" si="6"/>
        <v>468.59</v>
      </c>
      <c r="E28" s="85">
        <f t="shared" si="6"/>
        <v>391.61</v>
      </c>
      <c r="F28" s="85" t="s">
        <v>44</v>
      </c>
      <c r="G28" s="85" t="s">
        <v>44</v>
      </c>
      <c r="H28" s="85">
        <f>H20</f>
        <v>426.17</v>
      </c>
      <c r="I28" s="85">
        <f>I20</f>
        <v>432.11</v>
      </c>
      <c r="J28" s="85" t="s">
        <v>44</v>
      </c>
      <c r="K28" s="85" t="s">
        <v>44</v>
      </c>
      <c r="L28" s="85" t="s">
        <v>44</v>
      </c>
      <c r="M28" s="85">
        <f>M20</f>
        <v>357.45</v>
      </c>
      <c r="N28" s="85" t="s">
        <v>44</v>
      </c>
      <c r="O28" s="85" t="s">
        <v>44</v>
      </c>
      <c r="P28" s="86" t="s">
        <v>44</v>
      </c>
    </row>
    <row r="29" spans="1:16" x14ac:dyDescent="0.25">
      <c r="A29" s="87" t="s">
        <v>78</v>
      </c>
      <c r="B29" s="88">
        <f t="shared" si="6"/>
        <v>219.89</v>
      </c>
      <c r="C29" s="88">
        <f t="shared" si="6"/>
        <v>220.55</v>
      </c>
      <c r="D29" s="88">
        <f t="shared" si="6"/>
        <v>234.29</v>
      </c>
      <c r="E29" s="88">
        <f t="shared" si="6"/>
        <v>195.8</v>
      </c>
      <c r="F29" s="88" t="s">
        <v>44</v>
      </c>
      <c r="G29" s="88" t="s">
        <v>44</v>
      </c>
      <c r="H29" s="88">
        <f>H21</f>
        <v>213.08</v>
      </c>
      <c r="I29" s="88">
        <f>I21</f>
        <v>216.05</v>
      </c>
      <c r="J29" s="88" t="s">
        <v>44</v>
      </c>
      <c r="K29" s="88" t="s">
        <v>44</v>
      </c>
      <c r="L29" s="88" t="s">
        <v>44</v>
      </c>
      <c r="M29" s="88">
        <f>M21</f>
        <v>175.55</v>
      </c>
      <c r="N29" s="88" t="s">
        <v>44</v>
      </c>
      <c r="O29" s="88" t="s">
        <v>44</v>
      </c>
      <c r="P29" s="89" t="s">
        <v>44</v>
      </c>
    </row>
    <row r="30" spans="1:16" x14ac:dyDescent="0.25">
      <c r="A30" s="87" t="s">
        <v>79</v>
      </c>
      <c r="B30" s="88">
        <v>0.01</v>
      </c>
      <c r="C30" s="88">
        <v>0.01</v>
      </c>
      <c r="D30" s="88">
        <v>0.01</v>
      </c>
      <c r="E30" s="88">
        <v>0.01</v>
      </c>
      <c r="F30" s="88" t="s">
        <v>44</v>
      </c>
      <c r="G30" s="88" t="s">
        <v>44</v>
      </c>
      <c r="H30" s="88">
        <v>0.01</v>
      </c>
      <c r="I30" s="88">
        <v>0.01</v>
      </c>
      <c r="J30" s="88" t="s">
        <v>44</v>
      </c>
      <c r="K30" s="88" t="s">
        <v>44</v>
      </c>
      <c r="L30" s="88" t="s">
        <v>44</v>
      </c>
      <c r="M30" s="88">
        <v>0.01</v>
      </c>
      <c r="N30" s="88" t="s">
        <v>44</v>
      </c>
      <c r="O30" s="88" t="s">
        <v>44</v>
      </c>
      <c r="P30" s="89" t="s">
        <v>44</v>
      </c>
    </row>
    <row r="31" spans="1:16" x14ac:dyDescent="0.25">
      <c r="A31" s="87" t="s">
        <v>80</v>
      </c>
      <c r="B31" s="88">
        <v>0.01</v>
      </c>
      <c r="C31" s="88">
        <v>0.01</v>
      </c>
      <c r="D31" s="88">
        <v>0.01</v>
      </c>
      <c r="E31" s="88">
        <v>0.01</v>
      </c>
      <c r="F31" s="88" t="s">
        <v>44</v>
      </c>
      <c r="G31" s="88" t="s">
        <v>44</v>
      </c>
      <c r="H31" s="88">
        <v>0.01</v>
      </c>
      <c r="I31" s="88">
        <v>0.01</v>
      </c>
      <c r="J31" s="88" t="s">
        <v>44</v>
      </c>
      <c r="K31" s="88" t="s">
        <v>44</v>
      </c>
      <c r="L31" s="88" t="s">
        <v>44</v>
      </c>
      <c r="M31" s="88">
        <v>0.01</v>
      </c>
      <c r="N31" s="88" t="s">
        <v>44</v>
      </c>
      <c r="O31" s="88" t="s">
        <v>44</v>
      </c>
      <c r="P31" s="89" t="s">
        <v>44</v>
      </c>
    </row>
    <row r="32" spans="1:16" ht="15.75" thickBot="1" x14ac:dyDescent="0.3">
      <c r="A32" s="90" t="s">
        <v>71</v>
      </c>
      <c r="B32" s="91">
        <f>B22</f>
        <v>0</v>
      </c>
      <c r="C32" s="91">
        <f>C22</f>
        <v>0</v>
      </c>
      <c r="D32" s="91">
        <f>D22</f>
        <v>0</v>
      </c>
      <c r="E32" s="91">
        <f>E22</f>
        <v>0</v>
      </c>
      <c r="F32" s="91" t="s">
        <v>44</v>
      </c>
      <c r="G32" s="91" t="s">
        <v>44</v>
      </c>
      <c r="H32" s="91">
        <f>H22</f>
        <v>0</v>
      </c>
      <c r="I32" s="91">
        <f>I22</f>
        <v>0</v>
      </c>
      <c r="J32" s="91" t="s">
        <v>44</v>
      </c>
      <c r="K32" s="91" t="s">
        <v>44</v>
      </c>
      <c r="L32" s="91" t="s">
        <v>44</v>
      </c>
      <c r="M32" s="91">
        <f>M22</f>
        <v>0</v>
      </c>
      <c r="N32" s="91" t="s">
        <v>44</v>
      </c>
      <c r="O32" s="91" t="s">
        <v>44</v>
      </c>
      <c r="P32" s="92" t="s">
        <v>44</v>
      </c>
    </row>
    <row r="33" spans="1:16" x14ac:dyDescent="0.25">
      <c r="A33" s="93" t="s">
        <v>81</v>
      </c>
      <c r="B33" s="94">
        <f t="shared" ref="B33:E34" si="7">ROUND(B23-B$26*$B$6,1)</f>
        <v>138009</v>
      </c>
      <c r="C33" s="94">
        <f t="shared" si="7"/>
        <v>65913.5</v>
      </c>
      <c r="D33" s="94">
        <f t="shared" si="7"/>
        <v>36913.1</v>
      </c>
      <c r="E33" s="94">
        <f t="shared" si="7"/>
        <v>14621.5</v>
      </c>
      <c r="F33" s="94" t="s">
        <v>44</v>
      </c>
      <c r="G33" s="94" t="s">
        <v>44</v>
      </c>
      <c r="H33" s="94">
        <f>ROUND(H23-H$26*$B$6,1)</f>
        <v>3562.8</v>
      </c>
      <c r="I33" s="94">
        <f>ROUND(I23-I$26*$B$6,1)</f>
        <v>7344</v>
      </c>
      <c r="J33" s="94" t="s">
        <v>44</v>
      </c>
      <c r="K33" s="94" t="s">
        <v>44</v>
      </c>
      <c r="L33" s="94" t="s">
        <v>44</v>
      </c>
      <c r="M33" s="94">
        <f>ROUND(M23-M$26*$B$6,1)</f>
        <v>7639.7</v>
      </c>
      <c r="N33" s="94" t="s">
        <v>44</v>
      </c>
      <c r="O33" s="94" t="s">
        <v>44</v>
      </c>
      <c r="P33" s="94" t="s">
        <v>44</v>
      </c>
    </row>
    <row r="34" spans="1:16" x14ac:dyDescent="0.25">
      <c r="A34" s="95" t="s">
        <v>82</v>
      </c>
      <c r="B34" s="96">
        <f t="shared" si="7"/>
        <v>141578.1</v>
      </c>
      <c r="C34" s="96">
        <f t="shared" si="7"/>
        <v>67630.2</v>
      </c>
      <c r="D34" s="96">
        <f t="shared" si="7"/>
        <v>37870.199999999997</v>
      </c>
      <c r="E34" s="96">
        <f t="shared" si="7"/>
        <v>15008</v>
      </c>
      <c r="F34" s="96" t="s">
        <v>44</v>
      </c>
      <c r="G34" s="96" t="s">
        <v>44</v>
      </c>
      <c r="H34" s="96">
        <f>ROUND(H24-H$26*$B$6,1)</f>
        <v>3657.8</v>
      </c>
      <c r="I34" s="96">
        <f>ROUND(I24-I$26*$B$6,1)</f>
        <v>7537.3</v>
      </c>
      <c r="J34" s="96" t="s">
        <v>44</v>
      </c>
      <c r="K34" s="96" t="s">
        <v>44</v>
      </c>
      <c r="L34" s="96" t="s">
        <v>44</v>
      </c>
      <c r="M34" s="96">
        <f>ROUND(M24-M$26*$B$6,1)</f>
        <v>7842.8</v>
      </c>
      <c r="N34" s="96" t="s">
        <v>44</v>
      </c>
      <c r="O34" s="96" t="s">
        <v>44</v>
      </c>
      <c r="P34" s="96" t="s">
        <v>44</v>
      </c>
    </row>
    <row r="35" spans="1:16" x14ac:dyDescent="0.25">
      <c r="A35" s="95" t="s">
        <v>83</v>
      </c>
      <c r="B35" s="96">
        <f>ROUND(B36-B$26*$B$6,1)</f>
        <v>148370.5</v>
      </c>
      <c r="C35" s="96">
        <f>ROUND(C36-C$26*$B$6,1)</f>
        <v>70897.3</v>
      </c>
      <c r="D35" s="96">
        <f>ROUND(D36-D$26*$B$6,1)</f>
        <v>39691.800000000003</v>
      </c>
      <c r="E35" s="96">
        <f>ROUND(E36-E$26*$B$6,1)</f>
        <v>15743.5</v>
      </c>
      <c r="F35" s="96" t="s">
        <v>44</v>
      </c>
      <c r="G35" s="96" t="s">
        <v>44</v>
      </c>
      <c r="H35" s="96">
        <f>ROUND(H36-H$26*$B$6,1)</f>
        <v>3838.6</v>
      </c>
      <c r="I35" s="96">
        <f>ROUND(I36-I$26*$B$6,1)</f>
        <v>7905.1</v>
      </c>
      <c r="J35" s="96" t="s">
        <v>44</v>
      </c>
      <c r="K35" s="96" t="s">
        <v>44</v>
      </c>
      <c r="L35" s="96" t="s">
        <v>44</v>
      </c>
      <c r="M35" s="96">
        <f>ROUND(M36-M$26*$B$6,1)</f>
        <v>8229.2999999999993</v>
      </c>
      <c r="N35" s="96" t="s">
        <v>44</v>
      </c>
      <c r="O35" s="96" t="s">
        <v>44</v>
      </c>
      <c r="P35" s="96" t="s">
        <v>44</v>
      </c>
    </row>
    <row r="36" spans="1:16" x14ac:dyDescent="0.25">
      <c r="A36" s="95" t="s">
        <v>84</v>
      </c>
      <c r="B36" s="96">
        <f>ROUND(B25-B31*(B25-B24)/B21,1)</f>
        <v>148702.79999999999</v>
      </c>
      <c r="C36" s="96">
        <f>ROUND(C25-C31*(C25-C24)/C21,1)</f>
        <v>71229.600000000006</v>
      </c>
      <c r="D36" s="96">
        <f>ROUND(D25-D31*(D25-D24)/D21,1)</f>
        <v>39729.9</v>
      </c>
      <c r="E36" s="96">
        <f>ROUND(E25-E31*(E25-E24)/E21,1)</f>
        <v>16037.6</v>
      </c>
      <c r="F36" s="96" t="s">
        <v>44</v>
      </c>
      <c r="G36" s="96" t="s">
        <v>44</v>
      </c>
      <c r="H36" s="96">
        <f>ROUND(H25-H31*(H25-H24)/H21,1)</f>
        <v>3852.8</v>
      </c>
      <c r="I36" s="96">
        <f>ROUND(I25-I31*(I25-I24)/I21,1)</f>
        <v>8024.9</v>
      </c>
      <c r="J36" s="96" t="s">
        <v>44</v>
      </c>
      <c r="K36" s="96" t="s">
        <v>44</v>
      </c>
      <c r="L36" s="96" t="s">
        <v>44</v>
      </c>
      <c r="M36" s="96">
        <f>ROUND(M25-M31*(M25-M24)/M21,1)</f>
        <v>8403.6</v>
      </c>
      <c r="N36" s="96" t="s">
        <v>44</v>
      </c>
      <c r="O36" s="96" t="s">
        <v>44</v>
      </c>
      <c r="P36" s="96" t="s">
        <v>44</v>
      </c>
    </row>
    <row r="37" spans="1:16" ht="15.75" thickBot="1" x14ac:dyDescent="0.3">
      <c r="A37" s="97" t="s">
        <v>74</v>
      </c>
      <c r="B37" s="98">
        <f>B25</f>
        <v>148703.1</v>
      </c>
      <c r="C37" s="98">
        <f>C25</f>
        <v>71229.7</v>
      </c>
      <c r="D37" s="98">
        <f>D25</f>
        <v>39730</v>
      </c>
      <c r="E37" s="98">
        <f>E25</f>
        <v>16037.6</v>
      </c>
      <c r="F37" s="98" t="s">
        <v>44</v>
      </c>
      <c r="G37" s="98" t="s">
        <v>44</v>
      </c>
      <c r="H37" s="98">
        <f>H25</f>
        <v>3852.8</v>
      </c>
      <c r="I37" s="98">
        <f>I25</f>
        <v>8024.9000000000005</v>
      </c>
      <c r="J37" s="98" t="s">
        <v>44</v>
      </c>
      <c r="K37" s="98" t="s">
        <v>44</v>
      </c>
      <c r="L37" s="98" t="s">
        <v>44</v>
      </c>
      <c r="M37" s="98">
        <f>M25</f>
        <v>8403.6</v>
      </c>
      <c r="N37" s="98" t="s">
        <v>44</v>
      </c>
      <c r="O37" s="98" t="s">
        <v>44</v>
      </c>
      <c r="P37" s="98" t="s">
        <v>44</v>
      </c>
    </row>
    <row r="38" spans="1:16" ht="15.75" x14ac:dyDescent="0.25">
      <c r="A38" s="99" t="s">
        <v>85</v>
      </c>
      <c r="B38" s="100">
        <f t="shared" ref="B38:P38" si="8">ROUND(MAX(B$17*0.5, 20)*((DATE(LEFT($A$1,4)*1+1,5,31)-(DATE(LEFT($A$1,4)*1,6,1))+1)),2)</f>
        <v>53507.18</v>
      </c>
      <c r="C38" s="100">
        <f t="shared" si="8"/>
        <v>53665.95</v>
      </c>
      <c r="D38" s="100">
        <f t="shared" si="8"/>
        <v>57011.18</v>
      </c>
      <c r="E38" s="100">
        <f t="shared" si="8"/>
        <v>47645.279999999999</v>
      </c>
      <c r="F38" s="100">
        <f t="shared" si="8"/>
        <v>58620.83</v>
      </c>
      <c r="G38" s="100">
        <f t="shared" si="8"/>
        <v>58620.83</v>
      </c>
      <c r="H38" s="100">
        <f t="shared" si="8"/>
        <v>51850.080000000002</v>
      </c>
      <c r="I38" s="100">
        <f t="shared" si="8"/>
        <v>52572.78</v>
      </c>
      <c r="J38" s="100">
        <f t="shared" si="8"/>
        <v>50981.38</v>
      </c>
      <c r="K38" s="100">
        <f t="shared" si="8"/>
        <v>50981.38</v>
      </c>
      <c r="L38" s="100">
        <f t="shared" si="8"/>
        <v>55253.7</v>
      </c>
      <c r="M38" s="100">
        <f t="shared" si="8"/>
        <v>42717.78</v>
      </c>
      <c r="N38" s="100">
        <f t="shared" si="8"/>
        <v>54248.13</v>
      </c>
      <c r="O38" s="100">
        <f t="shared" si="8"/>
        <v>47846.03</v>
      </c>
      <c r="P38" s="100">
        <f t="shared" si="8"/>
        <v>48957.45</v>
      </c>
    </row>
    <row r="39" spans="1:16" x14ac:dyDescent="0.25">
      <c r="A39" s="101" t="s">
        <v>86</v>
      </c>
      <c r="B39" s="102" t="s">
        <v>59</v>
      </c>
      <c r="C39" s="103">
        <v>1557</v>
      </c>
      <c r="D39" s="103">
        <v>40</v>
      </c>
      <c r="E39" s="103" t="s">
        <v>59</v>
      </c>
      <c r="F39" s="103">
        <v>1070</v>
      </c>
      <c r="G39" s="103">
        <v>639</v>
      </c>
      <c r="H39" s="103">
        <v>72</v>
      </c>
      <c r="I39" s="103" t="s">
        <v>59</v>
      </c>
      <c r="J39" s="103" t="s">
        <v>59</v>
      </c>
      <c r="K39" s="103" t="s">
        <v>59</v>
      </c>
      <c r="L39" s="104">
        <v>1376</v>
      </c>
      <c r="M39" s="103">
        <v>65.7</v>
      </c>
      <c r="N39" s="103" t="s">
        <v>59</v>
      </c>
      <c r="O39" s="103" t="s">
        <v>59</v>
      </c>
      <c r="P39" s="103">
        <v>155</v>
      </c>
    </row>
    <row r="40" spans="1:16" ht="15.75" x14ac:dyDescent="0.25">
      <c r="A40" s="160" t="s">
        <v>87</v>
      </c>
      <c r="B40" s="160"/>
      <c r="C40" s="160"/>
      <c r="D40" s="160"/>
      <c r="E40" s="160"/>
      <c r="F40" s="160"/>
      <c r="G40" s="160"/>
      <c r="H40" s="160"/>
      <c r="I40" s="160"/>
      <c r="J40" s="160"/>
      <c r="K40" s="160"/>
      <c r="L40" s="160"/>
      <c r="M40" s="160"/>
      <c r="N40" s="160"/>
      <c r="O40" s="160"/>
      <c r="P40" s="160"/>
    </row>
    <row r="41" spans="1:16" x14ac:dyDescent="0.25">
      <c r="A41" s="101" t="s">
        <v>88</v>
      </c>
      <c r="B41" s="102" t="s">
        <v>59</v>
      </c>
      <c r="C41" s="105">
        <f>MIN(ROUND((C12-C11)/(F73*$B$6),3),100%)</f>
        <v>0.97699999999999998</v>
      </c>
      <c r="D41" s="106">
        <f>ROUND((D12-D11)/(F70*$B$6),3)</f>
        <v>0.83299999999999996</v>
      </c>
      <c r="E41" s="106">
        <f>ROUND((E12-E11)/(F71*$B$6),3)</f>
        <v>0.48799999999999999</v>
      </c>
      <c r="F41" s="106">
        <f>ROUND((F12-F11)/(F67*$B$6),3)</f>
        <v>0.28499999999999998</v>
      </c>
      <c r="G41" s="102" t="s">
        <v>59</v>
      </c>
      <c r="H41" s="102" t="s">
        <v>59</v>
      </c>
      <c r="I41" s="102" t="s">
        <v>59</v>
      </c>
      <c r="J41" s="106">
        <f>ROUND((J12-J11)/(F49*$B$6),3)</f>
        <v>0.30299999999999999</v>
      </c>
      <c r="K41" s="102" t="s">
        <v>59</v>
      </c>
      <c r="L41" s="106">
        <f>ROUND((L12-L11)/(F52*$B$6),3)</f>
        <v>0.89</v>
      </c>
      <c r="M41" s="106">
        <f>ROUND((M12-M11)/(F51*$B$6),3)</f>
        <v>0.313</v>
      </c>
      <c r="N41" s="102" t="s">
        <v>59</v>
      </c>
      <c r="O41" s="102" t="s">
        <v>59</v>
      </c>
      <c r="P41" s="106">
        <f>ROUND((P12-P11)/(F54*$B$6),3)</f>
        <v>0.34</v>
      </c>
    </row>
    <row r="42" spans="1:16" ht="15.75" x14ac:dyDescent="0.25">
      <c r="A42" s="107" t="s">
        <v>44</v>
      </c>
      <c r="B42" s="108"/>
      <c r="C42" s="108"/>
      <c r="D42" s="108"/>
      <c r="E42" s="108"/>
      <c r="F42" s="108"/>
      <c r="G42" s="145"/>
      <c r="H42" s="145"/>
      <c r="I42" s="145"/>
      <c r="J42" s="145"/>
      <c r="K42" s="145"/>
      <c r="L42" s="145"/>
      <c r="M42" s="145"/>
      <c r="N42" s="145"/>
    </row>
    <row r="43" spans="1:16" ht="15.75" x14ac:dyDescent="0.25">
      <c r="A43" s="161" t="s">
        <v>89</v>
      </c>
      <c r="B43" s="161"/>
      <c r="C43" s="161"/>
      <c r="D43" s="161"/>
      <c r="E43" s="161"/>
      <c r="F43" s="161"/>
      <c r="G43" s="161"/>
      <c r="H43" s="161"/>
      <c r="I43" s="161"/>
      <c r="J43" s="109" t="s">
        <v>44</v>
      </c>
      <c r="K43" s="110" t="s">
        <v>44</v>
      </c>
      <c r="M43" s="111" t="s">
        <v>44</v>
      </c>
    </row>
    <row r="44" spans="1:16" ht="78.75" x14ac:dyDescent="0.25">
      <c r="A44" s="112" t="s">
        <v>90</v>
      </c>
      <c r="B44" s="113" t="s">
        <v>91</v>
      </c>
      <c r="C44" s="146" t="s">
        <v>92</v>
      </c>
      <c r="D44" s="146" t="s">
        <v>93</v>
      </c>
      <c r="E44" s="146" t="s">
        <v>94</v>
      </c>
      <c r="F44" s="113" t="s">
        <v>95</v>
      </c>
      <c r="G44" s="113" t="s">
        <v>96</v>
      </c>
      <c r="H44" s="113" t="s">
        <v>97</v>
      </c>
      <c r="I44" s="113" t="s">
        <v>98</v>
      </c>
      <c r="J44" s="114" t="s">
        <v>90</v>
      </c>
      <c r="K44" t="s">
        <v>44</v>
      </c>
      <c r="O44" s="115" t="s">
        <v>44</v>
      </c>
      <c r="P44" s="115" t="s">
        <v>44</v>
      </c>
    </row>
    <row r="45" spans="1:16" ht="15.75" x14ac:dyDescent="0.25">
      <c r="A45" s="116" t="s">
        <v>40</v>
      </c>
      <c r="B45" s="117" t="s">
        <v>59</v>
      </c>
      <c r="C45" s="118" t="s">
        <v>59</v>
      </c>
      <c r="D45" s="118" t="s">
        <v>59</v>
      </c>
      <c r="E45" s="119">
        <v>148881.40000000002</v>
      </c>
      <c r="F45" s="120">
        <v>150640.31537688442</v>
      </c>
      <c r="G45" s="121" t="s">
        <v>59</v>
      </c>
      <c r="H45" s="120">
        <v>29421.618915533316</v>
      </c>
      <c r="I45" s="66">
        <v>121218.69646135109</v>
      </c>
      <c r="J45" s="122" t="s">
        <v>40</v>
      </c>
      <c r="K45" t="s">
        <v>44</v>
      </c>
      <c r="L45" s="115" t="s">
        <v>44</v>
      </c>
      <c r="M45" s="115" t="s">
        <v>44</v>
      </c>
      <c r="N45" s="115" t="s">
        <v>44</v>
      </c>
      <c r="P45" s="115" t="s">
        <v>44</v>
      </c>
    </row>
    <row r="46" spans="1:16" x14ac:dyDescent="0.25">
      <c r="A46" s="123" t="s">
        <v>23</v>
      </c>
      <c r="B46" s="62">
        <v>1740</v>
      </c>
      <c r="C46" s="62" t="s">
        <v>99</v>
      </c>
      <c r="D46" s="118" t="s">
        <v>100</v>
      </c>
      <c r="E46" s="59">
        <v>2430</v>
      </c>
      <c r="F46" s="124">
        <v>2399</v>
      </c>
      <c r="G46" s="125">
        <v>0.98724279835390949</v>
      </c>
      <c r="H46" s="54">
        <v>0</v>
      </c>
      <c r="I46" s="126">
        <v>2399</v>
      </c>
      <c r="J46" s="41" t="s">
        <v>23</v>
      </c>
      <c r="K46" t="s">
        <v>44</v>
      </c>
      <c r="L46" s="127"/>
      <c r="M46" s="127"/>
      <c r="N46" s="115" t="s">
        <v>44</v>
      </c>
      <c r="P46" s="115" t="s">
        <v>44</v>
      </c>
    </row>
    <row r="47" spans="1:16" x14ac:dyDescent="0.25">
      <c r="A47" s="128" t="s">
        <v>101</v>
      </c>
      <c r="B47" s="62">
        <v>-2730</v>
      </c>
      <c r="C47" s="62" t="s">
        <v>102</v>
      </c>
      <c r="D47" s="118" t="s">
        <v>102</v>
      </c>
      <c r="E47" s="59">
        <v>21304.3</v>
      </c>
      <c r="F47" s="124">
        <v>21659</v>
      </c>
      <c r="G47" s="125">
        <v>1.0166492210492717</v>
      </c>
      <c r="H47" s="54">
        <v>10611.072914857565</v>
      </c>
      <c r="I47" s="126">
        <v>11047.927085142435</v>
      </c>
      <c r="J47" s="129" t="s">
        <v>101</v>
      </c>
      <c r="K47" t="s">
        <v>44</v>
      </c>
      <c r="L47" s="127"/>
      <c r="M47" s="127"/>
      <c r="N47" s="115" t="s">
        <v>44</v>
      </c>
      <c r="P47" s="115" t="s">
        <v>44</v>
      </c>
    </row>
    <row r="48" spans="1:16" x14ac:dyDescent="0.25">
      <c r="A48" s="128" t="s">
        <v>21</v>
      </c>
      <c r="B48" s="62">
        <v>1500</v>
      </c>
      <c r="C48" s="62" t="s">
        <v>103</v>
      </c>
      <c r="D48" s="118" t="s">
        <v>100</v>
      </c>
      <c r="E48" s="130">
        <v>8440</v>
      </c>
      <c r="F48" s="124">
        <v>8535</v>
      </c>
      <c r="G48" s="131">
        <v>1.011255924170616</v>
      </c>
      <c r="H48" s="118">
        <v>0</v>
      </c>
      <c r="I48" s="126">
        <v>8535</v>
      </c>
      <c r="J48" s="129" t="s">
        <v>21</v>
      </c>
      <c r="K48" t="s">
        <v>44</v>
      </c>
      <c r="L48" s="127"/>
      <c r="M48" s="127"/>
      <c r="N48" s="115" t="s">
        <v>44</v>
      </c>
      <c r="O48" s="115" t="s">
        <v>44</v>
      </c>
      <c r="P48" s="115" t="s">
        <v>44</v>
      </c>
    </row>
    <row r="49" spans="1:16" ht="15.75" x14ac:dyDescent="0.25">
      <c r="A49" s="128" t="s">
        <v>20</v>
      </c>
      <c r="B49" s="62">
        <v>5080</v>
      </c>
      <c r="C49" s="132">
        <v>10465</v>
      </c>
      <c r="D49" s="133">
        <v>2.0600393700787403</v>
      </c>
      <c r="E49" s="134">
        <v>11860</v>
      </c>
      <c r="F49" s="124">
        <v>12014</v>
      </c>
      <c r="G49" s="131">
        <v>1.0129848229342326</v>
      </c>
      <c r="H49" s="118">
        <v>0</v>
      </c>
      <c r="I49" s="126">
        <v>12014</v>
      </c>
      <c r="J49" s="129" t="s">
        <v>20</v>
      </c>
      <c r="K49" t="s">
        <v>44</v>
      </c>
      <c r="L49" s="127"/>
      <c r="M49" s="127"/>
      <c r="N49" s="115" t="s">
        <v>44</v>
      </c>
      <c r="O49" s="115" t="s">
        <v>44</v>
      </c>
      <c r="P49" s="115" t="s">
        <v>44</v>
      </c>
    </row>
    <row r="50" spans="1:16" ht="15.75" x14ac:dyDescent="0.25">
      <c r="A50" s="128" t="s">
        <v>34</v>
      </c>
      <c r="B50" s="62">
        <v>3560</v>
      </c>
      <c r="C50" s="132">
        <v>4941</v>
      </c>
      <c r="D50" s="133">
        <v>1.3879213483146067</v>
      </c>
      <c r="E50" s="134" t="s">
        <v>59</v>
      </c>
      <c r="F50" s="124">
        <v>4156.8440000000001</v>
      </c>
      <c r="G50" s="131" t="s">
        <v>59</v>
      </c>
      <c r="H50" s="118">
        <v>0</v>
      </c>
      <c r="I50" s="126" t="s">
        <v>59</v>
      </c>
      <c r="J50" s="129" t="s">
        <v>34</v>
      </c>
      <c r="K50" t="s">
        <v>44</v>
      </c>
      <c r="L50" s="115" t="s">
        <v>44</v>
      </c>
      <c r="M50" s="115" t="s">
        <v>44</v>
      </c>
      <c r="N50" s="115" t="s">
        <v>44</v>
      </c>
      <c r="O50" s="115" t="s">
        <v>44</v>
      </c>
      <c r="P50" s="115" t="s">
        <v>44</v>
      </c>
    </row>
    <row r="51" spans="1:16" ht="15.75" x14ac:dyDescent="0.25">
      <c r="A51" s="128" t="s">
        <v>19</v>
      </c>
      <c r="B51" s="62">
        <v>4660</v>
      </c>
      <c r="C51" s="135">
        <v>5397</v>
      </c>
      <c r="D51" s="133">
        <v>1.1581545064377683</v>
      </c>
      <c r="E51" s="59">
        <v>6180</v>
      </c>
      <c r="F51" s="124">
        <v>6211</v>
      </c>
      <c r="G51" s="125">
        <v>1.0050161812297735</v>
      </c>
      <c r="H51" s="118">
        <v>0</v>
      </c>
      <c r="I51" s="126">
        <v>6211</v>
      </c>
      <c r="J51" s="41" t="s">
        <v>19</v>
      </c>
      <c r="K51" t="s">
        <v>44</v>
      </c>
      <c r="L51" s="115"/>
      <c r="M51" s="115" t="s">
        <v>44</v>
      </c>
      <c r="N51" s="115" t="s">
        <v>44</v>
      </c>
      <c r="O51" s="115" t="s">
        <v>44</v>
      </c>
      <c r="P51" s="115" t="s">
        <v>44</v>
      </c>
    </row>
    <row r="52" spans="1:16" ht="15.75" x14ac:dyDescent="0.25">
      <c r="A52" s="123" t="s">
        <v>18</v>
      </c>
      <c r="B52" s="62">
        <v>-4570</v>
      </c>
      <c r="C52" s="135">
        <v>4640.3999999999996</v>
      </c>
      <c r="D52" s="118" t="s">
        <v>102</v>
      </c>
      <c r="E52" s="59">
        <v>20290</v>
      </c>
      <c r="F52" s="124">
        <v>19827</v>
      </c>
      <c r="G52" s="125">
        <v>0.97718087727944802</v>
      </c>
      <c r="H52" s="118">
        <v>0</v>
      </c>
      <c r="I52" s="126">
        <v>19827</v>
      </c>
      <c r="J52" s="41" t="s">
        <v>18</v>
      </c>
      <c r="K52" t="s">
        <v>44</v>
      </c>
      <c r="L52" s="115" t="s">
        <v>44</v>
      </c>
      <c r="M52" s="115" t="s">
        <v>44</v>
      </c>
      <c r="N52" s="115" t="s">
        <v>44</v>
      </c>
      <c r="O52" s="115" t="s">
        <v>44</v>
      </c>
      <c r="P52" s="115" t="s">
        <v>44</v>
      </c>
    </row>
    <row r="53" spans="1:16" ht="15.75" x14ac:dyDescent="0.25">
      <c r="A53" s="123" t="s">
        <v>17</v>
      </c>
      <c r="B53" s="62">
        <v>2470</v>
      </c>
      <c r="C53" s="136">
        <v>3918</v>
      </c>
      <c r="D53" s="133">
        <v>1.5862348178137651</v>
      </c>
      <c r="E53" s="134">
        <v>3150</v>
      </c>
      <c r="F53" s="124">
        <v>3149</v>
      </c>
      <c r="G53" s="131">
        <v>0.99968253968253973</v>
      </c>
      <c r="H53" s="118">
        <v>0</v>
      </c>
      <c r="I53" s="126">
        <v>3149</v>
      </c>
      <c r="J53" s="41" t="s">
        <v>17</v>
      </c>
      <c r="K53" t="s">
        <v>44</v>
      </c>
      <c r="L53" s="115" t="s">
        <v>44</v>
      </c>
      <c r="M53" s="115" t="s">
        <v>44</v>
      </c>
      <c r="N53" s="115" t="s">
        <v>44</v>
      </c>
      <c r="O53" s="115" t="s">
        <v>44</v>
      </c>
      <c r="P53" s="115" t="s">
        <v>44</v>
      </c>
    </row>
    <row r="54" spans="1:16" ht="15.75" x14ac:dyDescent="0.25">
      <c r="A54" s="123" t="s">
        <v>33</v>
      </c>
      <c r="B54" s="62">
        <v>3270</v>
      </c>
      <c r="C54" s="136">
        <v>4999</v>
      </c>
      <c r="D54" s="133">
        <v>1.5287461773700306</v>
      </c>
      <c r="E54" s="134">
        <v>4990</v>
      </c>
      <c r="F54" s="124">
        <v>5087</v>
      </c>
      <c r="G54" s="131">
        <v>1.019438877755511</v>
      </c>
      <c r="H54" s="54">
        <v>787.92430861723449</v>
      </c>
      <c r="I54" s="126">
        <v>4299.0756913827654</v>
      </c>
      <c r="J54" s="41" t="s">
        <v>33</v>
      </c>
      <c r="K54" t="s">
        <v>44</v>
      </c>
      <c r="L54" s="137"/>
      <c r="N54" s="115" t="s">
        <v>44</v>
      </c>
      <c r="O54" s="115" t="s">
        <v>44</v>
      </c>
      <c r="P54" s="115" t="s">
        <v>44</v>
      </c>
    </row>
    <row r="55" spans="1:16" x14ac:dyDescent="0.25">
      <c r="A55" s="123" t="s">
        <v>15</v>
      </c>
      <c r="B55" s="62">
        <v>1560</v>
      </c>
      <c r="C55" s="62" t="s">
        <v>104</v>
      </c>
      <c r="D55" s="118" t="s">
        <v>100</v>
      </c>
      <c r="E55" s="134">
        <v>2660</v>
      </c>
      <c r="F55" s="124">
        <v>2678</v>
      </c>
      <c r="G55" s="131">
        <v>1.006766917293233</v>
      </c>
      <c r="H55" s="54">
        <v>0</v>
      </c>
      <c r="I55" s="126">
        <v>2678</v>
      </c>
      <c r="J55" s="41" t="s">
        <v>15</v>
      </c>
      <c r="K55" t="s">
        <v>44</v>
      </c>
      <c r="L55" s="115" t="s">
        <v>44</v>
      </c>
      <c r="N55" s="115" t="s">
        <v>44</v>
      </c>
      <c r="O55" s="115" t="s">
        <v>44</v>
      </c>
      <c r="P55" s="115" t="s">
        <v>44</v>
      </c>
    </row>
    <row r="56" spans="1:16" x14ac:dyDescent="0.25">
      <c r="A56" s="123" t="s">
        <v>14</v>
      </c>
      <c r="B56" s="62">
        <v>2810</v>
      </c>
      <c r="C56" s="62" t="s">
        <v>105</v>
      </c>
      <c r="D56" s="118" t="s">
        <v>100</v>
      </c>
      <c r="E56" s="134">
        <v>19447.900000000001</v>
      </c>
      <c r="F56" s="124">
        <v>21128</v>
      </c>
      <c r="G56" s="131">
        <v>1.0863897901572919</v>
      </c>
      <c r="H56" s="54">
        <v>18000.066516179122</v>
      </c>
      <c r="I56" s="126">
        <v>3127.9334838208779</v>
      </c>
      <c r="J56" s="41" t="s">
        <v>14</v>
      </c>
      <c r="K56" t="s">
        <v>44</v>
      </c>
      <c r="L56" s="115" t="s">
        <v>44</v>
      </c>
      <c r="N56" s="115" t="s">
        <v>44</v>
      </c>
      <c r="O56" s="115" t="s">
        <v>44</v>
      </c>
      <c r="P56" s="115" t="s">
        <v>44</v>
      </c>
    </row>
    <row r="57" spans="1:16" x14ac:dyDescent="0.25">
      <c r="A57" s="123" t="s">
        <v>13</v>
      </c>
      <c r="B57" s="62">
        <v>690</v>
      </c>
      <c r="C57" s="62" t="s">
        <v>106</v>
      </c>
      <c r="D57" s="118" t="s">
        <v>100</v>
      </c>
      <c r="E57" s="134">
        <v>3760</v>
      </c>
      <c r="F57" s="124">
        <v>3787</v>
      </c>
      <c r="G57" s="131">
        <v>1.0071808510638298</v>
      </c>
      <c r="H57" s="54">
        <v>0</v>
      </c>
      <c r="I57" s="126">
        <v>3787</v>
      </c>
      <c r="J57" s="41" t="s">
        <v>13</v>
      </c>
      <c r="K57" t="s">
        <v>44</v>
      </c>
      <c r="L57" s="115" t="s">
        <v>44</v>
      </c>
      <c r="M57" s="115" t="s">
        <v>44</v>
      </c>
      <c r="P57" s="115" t="s">
        <v>44</v>
      </c>
    </row>
    <row r="58" spans="1:16" ht="15.75" x14ac:dyDescent="0.25">
      <c r="A58" s="123" t="s">
        <v>56</v>
      </c>
      <c r="B58" s="62">
        <v>1120</v>
      </c>
      <c r="C58" s="136">
        <v>2009</v>
      </c>
      <c r="D58" s="133">
        <v>1.79375</v>
      </c>
      <c r="E58" s="134" t="s">
        <v>59</v>
      </c>
      <c r="F58" s="124">
        <v>2363.0880000000002</v>
      </c>
      <c r="G58" s="131" t="s">
        <v>59</v>
      </c>
      <c r="H58" s="54">
        <v>0</v>
      </c>
      <c r="I58" s="126">
        <v>2363.0880000000002</v>
      </c>
      <c r="J58" s="41" t="s">
        <v>56</v>
      </c>
      <c r="K58" t="s">
        <v>44</v>
      </c>
      <c r="L58" s="115" t="s">
        <v>44</v>
      </c>
      <c r="M58" s="115" t="s">
        <v>44</v>
      </c>
      <c r="P58" s="115" t="s">
        <v>44</v>
      </c>
    </row>
    <row r="59" spans="1:16" x14ac:dyDescent="0.25">
      <c r="A59" s="123" t="s">
        <v>107</v>
      </c>
      <c r="B59" s="62">
        <v>1240</v>
      </c>
      <c r="C59" s="62" t="s">
        <v>108</v>
      </c>
      <c r="D59" s="118" t="s">
        <v>100</v>
      </c>
      <c r="E59" s="134">
        <v>2309.1999999999998</v>
      </c>
      <c r="F59" s="124">
        <v>2411.3153768844218</v>
      </c>
      <c r="G59" s="131">
        <v>1.044221105527638</v>
      </c>
      <c r="H59" s="54">
        <v>22.555175879396987</v>
      </c>
      <c r="I59" s="126">
        <v>2388.7602010050246</v>
      </c>
      <c r="J59" s="41" t="s">
        <v>107</v>
      </c>
      <c r="K59" t="s">
        <v>44</v>
      </c>
      <c r="L59" s="115" t="s">
        <v>44</v>
      </c>
      <c r="M59" s="115" t="s">
        <v>44</v>
      </c>
      <c r="P59" s="115" t="s">
        <v>44</v>
      </c>
    </row>
    <row r="60" spans="1:16" x14ac:dyDescent="0.25">
      <c r="A60" s="123" t="s">
        <v>11</v>
      </c>
      <c r="B60" s="62">
        <v>3070</v>
      </c>
      <c r="C60" s="62" t="s">
        <v>109</v>
      </c>
      <c r="D60" s="118" t="s">
        <v>100</v>
      </c>
      <c r="E60" s="134">
        <v>5700</v>
      </c>
      <c r="F60" s="124">
        <v>5585</v>
      </c>
      <c r="G60" s="131">
        <v>0.97982456140350882</v>
      </c>
      <c r="H60" s="118">
        <v>0</v>
      </c>
      <c r="I60" s="126">
        <v>5585</v>
      </c>
      <c r="J60" s="41" t="s">
        <v>11</v>
      </c>
      <c r="K60" t="s">
        <v>44</v>
      </c>
      <c r="L60" s="115" t="s">
        <v>44</v>
      </c>
      <c r="M60" s="115" t="s">
        <v>44</v>
      </c>
      <c r="N60" s="115" t="s">
        <v>44</v>
      </c>
      <c r="P60" s="115" t="s">
        <v>44</v>
      </c>
    </row>
    <row r="61" spans="1:16" x14ac:dyDescent="0.25">
      <c r="A61" s="123" t="s">
        <v>10</v>
      </c>
      <c r="B61" s="62">
        <v>980</v>
      </c>
      <c r="C61" s="62" t="s">
        <v>110</v>
      </c>
      <c r="D61" s="118" t="s">
        <v>100</v>
      </c>
      <c r="E61" s="134">
        <v>2890</v>
      </c>
      <c r="F61" s="124">
        <v>2859</v>
      </c>
      <c r="G61" s="131">
        <v>0.98927335640138403</v>
      </c>
      <c r="H61" s="118">
        <v>0</v>
      </c>
      <c r="I61" s="126">
        <v>2859</v>
      </c>
      <c r="J61" s="41" t="s">
        <v>10</v>
      </c>
      <c r="K61" t="s">
        <v>44</v>
      </c>
      <c r="L61" s="115" t="s">
        <v>44</v>
      </c>
      <c r="M61" s="115" t="s">
        <v>44</v>
      </c>
      <c r="N61" s="115" t="s">
        <v>44</v>
      </c>
      <c r="P61" s="115" t="s">
        <v>44</v>
      </c>
    </row>
    <row r="62" spans="1:16" x14ac:dyDescent="0.25">
      <c r="A62" s="123" t="s">
        <v>9</v>
      </c>
      <c r="B62" s="62" t="s">
        <v>59</v>
      </c>
      <c r="C62" s="62" t="s">
        <v>59</v>
      </c>
      <c r="D62" s="118" t="s">
        <v>59</v>
      </c>
      <c r="E62" s="134">
        <v>70</v>
      </c>
      <c r="F62" s="124">
        <v>70</v>
      </c>
      <c r="G62" s="131">
        <v>1</v>
      </c>
      <c r="H62" s="118">
        <v>0</v>
      </c>
      <c r="I62" s="126">
        <v>70</v>
      </c>
      <c r="J62" s="41" t="s">
        <v>9</v>
      </c>
      <c r="K62" t="s">
        <v>44</v>
      </c>
      <c r="L62" s="115" t="s">
        <v>44</v>
      </c>
      <c r="M62" s="115" t="s">
        <v>44</v>
      </c>
      <c r="N62" s="115" t="s">
        <v>44</v>
      </c>
      <c r="P62" s="115" t="s">
        <v>44</v>
      </c>
    </row>
    <row r="63" spans="1:16" x14ac:dyDescent="0.25">
      <c r="A63" s="123" t="s">
        <v>8</v>
      </c>
      <c r="B63" s="62">
        <v>2530</v>
      </c>
      <c r="C63" s="62" t="s">
        <v>111</v>
      </c>
      <c r="D63" s="118" t="s">
        <v>100</v>
      </c>
      <c r="E63" s="134">
        <v>8140</v>
      </c>
      <c r="F63" s="124">
        <v>8131</v>
      </c>
      <c r="G63" s="131">
        <v>0.99889434889434892</v>
      </c>
      <c r="H63" s="118">
        <v>0</v>
      </c>
      <c r="I63" s="126">
        <v>8131</v>
      </c>
      <c r="J63" s="41" t="s">
        <v>8</v>
      </c>
      <c r="K63" t="s">
        <v>44</v>
      </c>
      <c r="L63" s="115" t="s">
        <v>44</v>
      </c>
      <c r="M63" s="115" t="s">
        <v>44</v>
      </c>
      <c r="N63" s="115" t="s">
        <v>44</v>
      </c>
      <c r="P63" s="115" t="s">
        <v>44</v>
      </c>
    </row>
    <row r="64" spans="1:16" x14ac:dyDescent="0.25">
      <c r="A64" s="123" t="s">
        <v>7</v>
      </c>
      <c r="B64" s="62">
        <v>-570</v>
      </c>
      <c r="C64" s="62" t="s">
        <v>102</v>
      </c>
      <c r="D64" s="118" t="s">
        <v>102</v>
      </c>
      <c r="E64" s="134">
        <v>2780</v>
      </c>
      <c r="F64" s="124">
        <v>2708</v>
      </c>
      <c r="G64" s="131">
        <v>0.97410071942446042</v>
      </c>
      <c r="H64" s="118">
        <v>0</v>
      </c>
      <c r="I64" s="126">
        <v>2708</v>
      </c>
      <c r="J64" s="41" t="s">
        <v>7</v>
      </c>
      <c r="K64" t="s">
        <v>44</v>
      </c>
      <c r="L64" s="115" t="s">
        <v>44</v>
      </c>
      <c r="M64" s="115" t="s">
        <v>44</v>
      </c>
      <c r="N64" s="115" t="s">
        <v>44</v>
      </c>
      <c r="P64" s="115" t="s">
        <v>44</v>
      </c>
    </row>
    <row r="65" spans="1:16" ht="15.75" x14ac:dyDescent="0.25">
      <c r="A65" s="123" t="s">
        <v>6</v>
      </c>
      <c r="B65" s="62">
        <v>4220</v>
      </c>
      <c r="C65" s="132">
        <v>7033</v>
      </c>
      <c r="D65" s="133">
        <v>1.6665876777251185</v>
      </c>
      <c r="E65" s="134">
        <v>5750</v>
      </c>
      <c r="F65" s="124">
        <v>5734</v>
      </c>
      <c r="G65" s="131">
        <v>0.99721739130434783</v>
      </c>
      <c r="H65" s="118">
        <v>0</v>
      </c>
      <c r="I65" s="126">
        <v>5734</v>
      </c>
      <c r="J65" s="41" t="s">
        <v>6</v>
      </c>
      <c r="K65" t="s">
        <v>44</v>
      </c>
      <c r="L65" s="115" t="s">
        <v>44</v>
      </c>
      <c r="M65" s="115" t="s">
        <v>44</v>
      </c>
      <c r="N65" s="115" t="s">
        <v>44</v>
      </c>
      <c r="P65" s="115" t="s">
        <v>44</v>
      </c>
    </row>
    <row r="66" spans="1:16" ht="15.75" x14ac:dyDescent="0.25">
      <c r="A66" s="123" t="s">
        <v>112</v>
      </c>
      <c r="B66" s="62">
        <v>-30</v>
      </c>
      <c r="C66" s="136">
        <v>4337</v>
      </c>
      <c r="D66" s="118" t="s">
        <v>102</v>
      </c>
      <c r="E66" s="134">
        <v>7080</v>
      </c>
      <c r="F66" s="124">
        <v>7030</v>
      </c>
      <c r="G66" s="131">
        <v>0.99293785310734461</v>
      </c>
      <c r="H66" s="118">
        <v>0</v>
      </c>
      <c r="I66" s="126">
        <v>7030</v>
      </c>
      <c r="J66" s="41" t="s">
        <v>112</v>
      </c>
      <c r="K66" t="s">
        <v>44</v>
      </c>
      <c r="L66" s="115" t="s">
        <v>44</v>
      </c>
      <c r="M66" s="115" t="s">
        <v>44</v>
      </c>
      <c r="N66" s="115" t="s">
        <v>44</v>
      </c>
      <c r="P66" s="115" t="s">
        <v>44</v>
      </c>
    </row>
    <row r="67" spans="1:16" ht="15.75" x14ac:dyDescent="0.25">
      <c r="A67" s="123" t="s">
        <v>4</v>
      </c>
      <c r="B67" s="62">
        <v>5630</v>
      </c>
      <c r="C67" s="132">
        <v>8287</v>
      </c>
      <c r="D67" s="133">
        <v>1.652561669829222</v>
      </c>
      <c r="E67" s="134">
        <v>9270</v>
      </c>
      <c r="F67" s="124">
        <v>9264</v>
      </c>
      <c r="G67" s="131">
        <v>0.9993527508090615</v>
      </c>
      <c r="H67" s="118">
        <v>0</v>
      </c>
      <c r="I67" s="126">
        <v>9264</v>
      </c>
      <c r="J67" s="41" t="s">
        <v>4</v>
      </c>
      <c r="K67" t="s">
        <v>44</v>
      </c>
      <c r="L67" s="115" t="s">
        <v>44</v>
      </c>
      <c r="M67" s="115" t="s">
        <v>44</v>
      </c>
      <c r="N67" s="115" t="s">
        <v>44</v>
      </c>
      <c r="P67" s="115" t="s">
        <v>44</v>
      </c>
    </row>
    <row r="68" spans="1:16" ht="15.75" x14ac:dyDescent="0.25">
      <c r="A68" s="123" t="s">
        <v>55</v>
      </c>
      <c r="B68" s="62">
        <v>2560</v>
      </c>
      <c r="C68" s="132">
        <v>4253</v>
      </c>
      <c r="D68" s="133">
        <v>1.6365384615384615</v>
      </c>
      <c r="E68" s="134" t="s">
        <v>59</v>
      </c>
      <c r="F68" s="124">
        <v>4817.28</v>
      </c>
      <c r="G68" s="131" t="s">
        <v>59</v>
      </c>
      <c r="H68" s="118">
        <v>0</v>
      </c>
      <c r="I68" s="126">
        <v>4817.28</v>
      </c>
      <c r="J68" s="41" t="s">
        <v>55</v>
      </c>
      <c r="K68" t="s">
        <v>44</v>
      </c>
      <c r="L68" s="115" t="s">
        <v>44</v>
      </c>
      <c r="M68" s="115" t="s">
        <v>44</v>
      </c>
      <c r="N68" s="115" t="s">
        <v>44</v>
      </c>
      <c r="P68" s="115" t="s">
        <v>44</v>
      </c>
    </row>
    <row r="69" spans="1:16" x14ac:dyDescent="0.25">
      <c r="A69" s="123" t="s">
        <v>3</v>
      </c>
      <c r="B69" s="62" t="s">
        <v>59</v>
      </c>
      <c r="C69" s="62" t="s">
        <v>59</v>
      </c>
      <c r="D69" s="118" t="s">
        <v>59</v>
      </c>
      <c r="E69" s="134">
        <v>380</v>
      </c>
      <c r="F69" s="124">
        <v>374</v>
      </c>
      <c r="G69" s="131">
        <v>0.98421052631578942</v>
      </c>
      <c r="H69" s="118">
        <v>0</v>
      </c>
      <c r="I69" s="126">
        <v>374</v>
      </c>
      <c r="J69" s="41" t="s">
        <v>3</v>
      </c>
      <c r="K69" t="s">
        <v>113</v>
      </c>
      <c r="L69" s="115" t="s">
        <v>44</v>
      </c>
      <c r="M69" s="115" t="s">
        <v>44</v>
      </c>
      <c r="N69" s="115" t="s">
        <v>44</v>
      </c>
      <c r="P69" s="115" t="s">
        <v>44</v>
      </c>
    </row>
    <row r="70" spans="1:16" ht="15.75" x14ac:dyDescent="0.25">
      <c r="A70" s="123" t="s">
        <v>38</v>
      </c>
      <c r="B70" s="62">
        <v>2740</v>
      </c>
      <c r="C70" s="132">
        <v>8594</v>
      </c>
      <c r="D70" s="133">
        <v>3.1971887550200804</v>
      </c>
      <c r="E70" s="134" t="s">
        <v>59</v>
      </c>
      <c r="F70" s="134">
        <v>29540</v>
      </c>
      <c r="G70" s="138" t="s">
        <v>59</v>
      </c>
      <c r="H70" s="134">
        <v>0</v>
      </c>
      <c r="I70" s="162" t="s">
        <v>44</v>
      </c>
      <c r="J70" s="41" t="s">
        <v>38</v>
      </c>
      <c r="K70" t="s">
        <v>44</v>
      </c>
      <c r="L70" s="115" t="s">
        <v>44</v>
      </c>
      <c r="M70" s="115" t="s">
        <v>44</v>
      </c>
      <c r="N70" s="115" t="s">
        <v>44</v>
      </c>
      <c r="P70" s="115" t="s">
        <v>44</v>
      </c>
    </row>
    <row r="71" spans="1:16" ht="15.75" x14ac:dyDescent="0.25">
      <c r="A71" s="128" t="s">
        <v>37</v>
      </c>
      <c r="B71" s="62">
        <v>6060</v>
      </c>
      <c r="C71" s="135">
        <v>7947</v>
      </c>
      <c r="D71" s="133">
        <v>1.3113861386138614</v>
      </c>
      <c r="E71" s="59" t="s">
        <v>59</v>
      </c>
      <c r="F71" s="59">
        <v>11945</v>
      </c>
      <c r="G71" s="138" t="s">
        <v>59</v>
      </c>
      <c r="H71" s="134">
        <v>0</v>
      </c>
      <c r="I71" s="163"/>
      <c r="J71" s="41" t="s">
        <v>37</v>
      </c>
      <c r="K71" t="s">
        <v>44</v>
      </c>
      <c r="L71" s="115" t="s">
        <v>44</v>
      </c>
      <c r="M71" s="115" t="s">
        <v>44</v>
      </c>
      <c r="N71" s="115" t="s">
        <v>44</v>
      </c>
      <c r="P71" s="115" t="s">
        <v>44</v>
      </c>
    </row>
    <row r="72" spans="1:16" ht="15.75" x14ac:dyDescent="0.25">
      <c r="A72" s="128" t="s">
        <v>114</v>
      </c>
      <c r="B72" s="62">
        <v>-10060</v>
      </c>
      <c r="C72" s="56" t="s">
        <v>102</v>
      </c>
      <c r="D72" s="118" t="s">
        <v>102</v>
      </c>
      <c r="E72" s="59" t="s">
        <v>59</v>
      </c>
      <c r="F72" s="59">
        <v>12597</v>
      </c>
      <c r="G72" s="138" t="s">
        <v>59</v>
      </c>
      <c r="H72" s="134">
        <v>0</v>
      </c>
      <c r="I72" s="163"/>
      <c r="J72" s="129" t="s">
        <v>114</v>
      </c>
      <c r="K72" t="s">
        <v>44</v>
      </c>
      <c r="L72" s="115" t="s">
        <v>44</v>
      </c>
      <c r="M72" s="115" t="s">
        <v>44</v>
      </c>
      <c r="N72" s="115" t="s">
        <v>44</v>
      </c>
      <c r="P72" s="139"/>
    </row>
    <row r="73" spans="1:16" ht="15.75" x14ac:dyDescent="0.25">
      <c r="A73" s="128" t="s">
        <v>39</v>
      </c>
      <c r="B73" s="62">
        <v>-4760</v>
      </c>
      <c r="C73" s="135" t="s">
        <v>102</v>
      </c>
      <c r="D73" s="118" t="s">
        <v>102</v>
      </c>
      <c r="E73" s="59" t="s">
        <v>59</v>
      </c>
      <c r="F73" s="59">
        <v>54082</v>
      </c>
      <c r="G73" s="138" t="s">
        <v>59</v>
      </c>
      <c r="H73" s="134">
        <v>0</v>
      </c>
      <c r="I73" s="163"/>
      <c r="J73" s="41" t="s">
        <v>39</v>
      </c>
      <c r="K73" t="s">
        <v>44</v>
      </c>
      <c r="O73" s="139"/>
      <c r="P73" s="139"/>
    </row>
    <row r="74" spans="1:16" ht="15.75" x14ac:dyDescent="0.25">
      <c r="A74" s="128" t="s">
        <v>115</v>
      </c>
      <c r="B74" s="62">
        <v>-7250</v>
      </c>
      <c r="C74" s="62" t="s">
        <v>102</v>
      </c>
      <c r="D74" s="118" t="s">
        <v>102</v>
      </c>
      <c r="E74" s="134" t="s">
        <v>59</v>
      </c>
      <c r="F74" s="134">
        <v>75430.31537688442</v>
      </c>
      <c r="G74" s="138" t="s">
        <v>59</v>
      </c>
      <c r="H74" s="134">
        <v>11421.552399354196</v>
      </c>
      <c r="I74" s="164"/>
      <c r="J74" s="129" t="s">
        <v>115</v>
      </c>
      <c r="K74" t="s">
        <v>44</v>
      </c>
      <c r="O74" s="139"/>
      <c r="P74" s="139"/>
    </row>
    <row r="75" spans="1:16" ht="15.75" x14ac:dyDescent="0.25">
      <c r="A75" s="152" t="s">
        <v>116</v>
      </c>
      <c r="B75" s="153"/>
      <c r="C75" s="153"/>
      <c r="D75" s="153"/>
      <c r="E75" s="153"/>
      <c r="F75" s="153"/>
      <c r="G75" s="153"/>
      <c r="H75" s="153"/>
      <c r="I75" s="153"/>
      <c r="J75" s="153"/>
      <c r="K75" t="s">
        <v>44</v>
      </c>
      <c r="O75" s="139"/>
      <c r="P75" s="139"/>
    </row>
    <row r="76" spans="1:16" ht="15.75" x14ac:dyDescent="0.25">
      <c r="A76" s="165" t="s">
        <v>44</v>
      </c>
      <c r="B76" s="166"/>
      <c r="C76" s="166"/>
      <c r="D76" s="166"/>
      <c r="E76" s="166"/>
      <c r="F76" s="166"/>
      <c r="G76" s="166"/>
      <c r="H76" s="166"/>
      <c r="I76" s="166"/>
      <c r="J76" s="166"/>
      <c r="K76" t="s">
        <v>44</v>
      </c>
      <c r="O76" s="139"/>
      <c r="P76" s="139"/>
    </row>
    <row r="77" spans="1:16" ht="15.75" x14ac:dyDescent="0.25">
      <c r="A77" s="161" t="s">
        <v>117</v>
      </c>
      <c r="B77" s="161"/>
      <c r="C77" s="161"/>
      <c r="D77" s="161"/>
      <c r="E77" s="161"/>
      <c r="F77" s="161"/>
      <c r="G77" s="161"/>
      <c r="H77" s="161"/>
      <c r="I77" s="161"/>
      <c r="J77" s="161"/>
      <c r="K77" t="s">
        <v>44</v>
      </c>
    </row>
    <row r="78" spans="1:16" ht="15.75" x14ac:dyDescent="0.25">
      <c r="A78" s="112" t="s">
        <v>118</v>
      </c>
      <c r="B78" s="167" t="s">
        <v>119</v>
      </c>
      <c r="C78" s="168"/>
      <c r="D78" s="167" t="s">
        <v>120</v>
      </c>
      <c r="E78" s="169"/>
      <c r="F78" s="169"/>
      <c r="G78" s="169"/>
      <c r="H78" s="169"/>
      <c r="I78" s="169"/>
      <c r="J78" s="168"/>
      <c r="K78" t="s">
        <v>44</v>
      </c>
    </row>
    <row r="79" spans="1:16" ht="34.5" customHeight="1" x14ac:dyDescent="0.25">
      <c r="A79" s="123" t="s">
        <v>39</v>
      </c>
      <c r="B79" s="170" t="s">
        <v>121</v>
      </c>
      <c r="C79" s="171"/>
      <c r="D79" s="172" t="s">
        <v>122</v>
      </c>
      <c r="E79" s="173"/>
      <c r="F79" s="173"/>
      <c r="G79" s="173"/>
      <c r="H79" s="173"/>
      <c r="I79" s="173"/>
      <c r="J79" s="174"/>
      <c r="K79" t="s">
        <v>44</v>
      </c>
    </row>
    <row r="80" spans="1:16" ht="46.5" customHeight="1" x14ac:dyDescent="0.25">
      <c r="A80" s="123" t="s">
        <v>38</v>
      </c>
      <c r="B80" s="170" t="s">
        <v>123</v>
      </c>
      <c r="C80" s="171"/>
      <c r="D80" s="172" t="s">
        <v>124</v>
      </c>
      <c r="E80" s="175"/>
      <c r="F80" s="175"/>
      <c r="G80" s="175"/>
      <c r="H80" s="175"/>
      <c r="I80" s="175"/>
      <c r="J80" s="171"/>
      <c r="K80" t="s">
        <v>44</v>
      </c>
    </row>
    <row r="81" spans="1:11" ht="36.75" customHeight="1" x14ac:dyDescent="0.25">
      <c r="A81" s="123" t="s">
        <v>37</v>
      </c>
      <c r="B81" s="170" t="s">
        <v>123</v>
      </c>
      <c r="C81" s="171"/>
      <c r="D81" s="172" t="s">
        <v>125</v>
      </c>
      <c r="E81" s="173"/>
      <c r="F81" s="173"/>
      <c r="G81" s="173"/>
      <c r="H81" s="173"/>
      <c r="I81" s="173"/>
      <c r="J81" s="174"/>
      <c r="K81" t="s">
        <v>44</v>
      </c>
    </row>
    <row r="82" spans="1:11" ht="64.5" customHeight="1" x14ac:dyDescent="0.25">
      <c r="A82" s="123" t="s">
        <v>4</v>
      </c>
      <c r="B82" s="170" t="s">
        <v>126</v>
      </c>
      <c r="C82" s="171"/>
      <c r="D82" s="172" t="s">
        <v>127</v>
      </c>
      <c r="E82" s="173"/>
      <c r="F82" s="173"/>
      <c r="G82" s="173"/>
      <c r="H82" s="173"/>
      <c r="I82" s="173"/>
      <c r="J82" s="174"/>
      <c r="K82" t="s">
        <v>44</v>
      </c>
    </row>
    <row r="83" spans="1:11" ht="48.95" customHeight="1" x14ac:dyDescent="0.25">
      <c r="A83" s="123" t="s">
        <v>36</v>
      </c>
      <c r="B83" s="170" t="s">
        <v>126</v>
      </c>
      <c r="C83" s="171"/>
      <c r="D83" s="176" t="s">
        <v>128</v>
      </c>
      <c r="E83" s="173"/>
      <c r="F83" s="173"/>
      <c r="G83" s="173"/>
      <c r="H83" s="173"/>
      <c r="I83" s="173"/>
      <c r="J83" s="174"/>
      <c r="K83" t="s">
        <v>44</v>
      </c>
    </row>
    <row r="84" spans="1:11" ht="50.45" customHeight="1" x14ac:dyDescent="0.25">
      <c r="A84" s="123" t="s">
        <v>35</v>
      </c>
      <c r="B84" s="170" t="s">
        <v>126</v>
      </c>
      <c r="C84" s="171"/>
      <c r="D84" s="172" t="s">
        <v>129</v>
      </c>
      <c r="E84" s="173"/>
      <c r="F84" s="173"/>
      <c r="G84" s="173"/>
      <c r="H84" s="173"/>
      <c r="I84" s="173"/>
      <c r="J84" s="174"/>
      <c r="K84" t="s">
        <v>44</v>
      </c>
    </row>
    <row r="85" spans="1:11" ht="63" customHeight="1" x14ac:dyDescent="0.25">
      <c r="A85" s="123" t="s">
        <v>6</v>
      </c>
      <c r="B85" s="170" t="s">
        <v>126</v>
      </c>
      <c r="C85" s="171"/>
      <c r="D85" s="172" t="s">
        <v>130</v>
      </c>
      <c r="E85" s="173"/>
      <c r="F85" s="173"/>
      <c r="G85" s="173"/>
      <c r="H85" s="173"/>
      <c r="I85" s="173"/>
      <c r="J85" s="174"/>
      <c r="K85" t="s">
        <v>44</v>
      </c>
    </row>
    <row r="86" spans="1:11" ht="49.5" customHeight="1" x14ac:dyDescent="0.25">
      <c r="A86" s="128" t="s">
        <v>20</v>
      </c>
      <c r="B86" s="170" t="s">
        <v>126</v>
      </c>
      <c r="C86" s="171"/>
      <c r="D86" s="172" t="s">
        <v>131</v>
      </c>
      <c r="E86" s="175"/>
      <c r="F86" s="175"/>
      <c r="G86" s="175"/>
      <c r="H86" s="175"/>
      <c r="I86" s="175"/>
      <c r="J86" s="171"/>
      <c r="K86" t="s">
        <v>44</v>
      </c>
    </row>
    <row r="87" spans="1:11" ht="49.5" customHeight="1" x14ac:dyDescent="0.25">
      <c r="A87" s="128" t="s">
        <v>34</v>
      </c>
      <c r="B87" s="170" t="s">
        <v>123</v>
      </c>
      <c r="C87" s="171"/>
      <c r="D87" s="172" t="s">
        <v>132</v>
      </c>
      <c r="E87" s="175"/>
      <c r="F87" s="175"/>
      <c r="G87" s="175"/>
      <c r="H87" s="175"/>
      <c r="I87" s="175"/>
      <c r="J87" s="171"/>
      <c r="K87" t="s">
        <v>44</v>
      </c>
    </row>
    <row r="88" spans="1:11" ht="102" customHeight="1" x14ac:dyDescent="0.25">
      <c r="A88" s="128" t="s">
        <v>18</v>
      </c>
      <c r="B88" s="170" t="s">
        <v>126</v>
      </c>
      <c r="C88" s="171"/>
      <c r="D88" s="172" t="s">
        <v>133</v>
      </c>
      <c r="E88" s="175"/>
      <c r="F88" s="175"/>
      <c r="G88" s="175"/>
      <c r="H88" s="175"/>
      <c r="I88" s="175"/>
      <c r="J88" s="171"/>
      <c r="K88" t="s">
        <v>44</v>
      </c>
    </row>
    <row r="89" spans="1:11" ht="23.45" customHeight="1" x14ac:dyDescent="0.25">
      <c r="A89" s="128" t="s">
        <v>19</v>
      </c>
      <c r="B89" s="170" t="s">
        <v>123</v>
      </c>
      <c r="C89" s="171"/>
      <c r="D89" s="170" t="s">
        <v>134</v>
      </c>
      <c r="E89" s="175"/>
      <c r="F89" s="175"/>
      <c r="G89" s="175"/>
      <c r="H89" s="175"/>
      <c r="I89" s="175"/>
      <c r="J89" s="171"/>
      <c r="K89" t="s">
        <v>44</v>
      </c>
    </row>
    <row r="90" spans="1:11" ht="34.5" customHeight="1" x14ac:dyDescent="0.25">
      <c r="A90" s="128" t="s">
        <v>5</v>
      </c>
      <c r="B90" s="170" t="s">
        <v>126</v>
      </c>
      <c r="C90" s="171"/>
      <c r="D90" s="172" t="s">
        <v>135</v>
      </c>
      <c r="E90" s="173"/>
      <c r="F90" s="173"/>
      <c r="G90" s="173"/>
      <c r="H90" s="173"/>
      <c r="I90" s="173"/>
      <c r="J90" s="174"/>
      <c r="K90" t="s">
        <v>44</v>
      </c>
    </row>
    <row r="91" spans="1:11" ht="36" customHeight="1" x14ac:dyDescent="0.25">
      <c r="A91" s="128" t="s">
        <v>17</v>
      </c>
      <c r="B91" s="170" t="s">
        <v>126</v>
      </c>
      <c r="C91" s="171"/>
      <c r="D91" s="172" t="s">
        <v>136</v>
      </c>
      <c r="E91" s="173"/>
      <c r="F91" s="173"/>
      <c r="G91" s="173"/>
      <c r="H91" s="173"/>
      <c r="I91" s="173"/>
      <c r="J91" s="174"/>
      <c r="K91" t="s">
        <v>44</v>
      </c>
    </row>
    <row r="92" spans="1:11" ht="35.1" customHeight="1" x14ac:dyDescent="0.25">
      <c r="A92" s="128" t="s">
        <v>33</v>
      </c>
      <c r="B92" s="170" t="s">
        <v>126</v>
      </c>
      <c r="C92" s="171"/>
      <c r="D92" s="172" t="s">
        <v>137</v>
      </c>
      <c r="E92" s="173"/>
      <c r="F92" s="173"/>
      <c r="G92" s="173"/>
      <c r="H92" s="173"/>
      <c r="I92" s="173"/>
      <c r="J92" s="174"/>
      <c r="K92" t="s">
        <v>44</v>
      </c>
    </row>
  </sheetData>
  <mergeCells count="44">
    <mergeCell ref="B92:C92"/>
    <mergeCell ref="D92:J92"/>
    <mergeCell ref="B89:C89"/>
    <mergeCell ref="D89:J89"/>
    <mergeCell ref="B90:C90"/>
    <mergeCell ref="D90:J90"/>
    <mergeCell ref="B91:C91"/>
    <mergeCell ref="D91:J91"/>
    <mergeCell ref="B86:C86"/>
    <mergeCell ref="D86:J86"/>
    <mergeCell ref="B87:C87"/>
    <mergeCell ref="D87:J87"/>
    <mergeCell ref="B88:C88"/>
    <mergeCell ref="D88:J88"/>
    <mergeCell ref="B83:C83"/>
    <mergeCell ref="D83:J83"/>
    <mergeCell ref="B84:C84"/>
    <mergeCell ref="D84:J84"/>
    <mergeCell ref="B85:C85"/>
    <mergeCell ref="D85:J85"/>
    <mergeCell ref="B80:C80"/>
    <mergeCell ref="D80:J80"/>
    <mergeCell ref="B81:C81"/>
    <mergeCell ref="D81:J81"/>
    <mergeCell ref="B82:C82"/>
    <mergeCell ref="D82:J82"/>
    <mergeCell ref="A76:J76"/>
    <mergeCell ref="A77:J77"/>
    <mergeCell ref="B78:C78"/>
    <mergeCell ref="D78:J78"/>
    <mergeCell ref="B79:C79"/>
    <mergeCell ref="D79:J79"/>
    <mergeCell ref="A75:J75"/>
    <mergeCell ref="C3:P3"/>
    <mergeCell ref="C4:P4"/>
    <mergeCell ref="C5:P5"/>
    <mergeCell ref="C6:P6"/>
    <mergeCell ref="C7:P7"/>
    <mergeCell ref="C8:P8"/>
    <mergeCell ref="A19:P19"/>
    <mergeCell ref="A27:P27"/>
    <mergeCell ref="A40:P40"/>
    <mergeCell ref="A43:I43"/>
    <mergeCell ref="I70:I7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Planning Parameters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Bachus, Tim D</dc:creator>
  <cp:lastModifiedBy>Bachus, Tim D</cp:lastModifiedBy>
  <dcterms:created xsi:type="dcterms:W3CDTF">2024-03-25T20:14:15Z</dcterms:created>
  <dcterms:modified xsi:type="dcterms:W3CDTF">2024-04-04T19:51:41Z</dcterms:modified>
</cp:coreProperties>
</file>