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45" windowWidth="14940" windowHeight="9150"/>
  </bookViews>
  <sheets>
    <sheet name="2018-2019 Parameters" sheetId="11" r:id="rId1"/>
    <sheet name="Net CONE" sheetId="2" r:id="rId2"/>
    <sheet name="Key Transmission Upgrades" sheetId="3" r:id="rId3"/>
    <sheet name="DR Rel Targets" sheetId="4" r:id="rId4"/>
    <sheet name="Cap Import Limits" sheetId="5" r:id="rId5"/>
  </sheets>
  <definedNames>
    <definedName name="_xlnm.Print_Area" localSheetId="0">'2018-2019 Parameters'!$A$1:$N$81</definedName>
    <definedName name="_xlnm.Print_Area" localSheetId="4">'Cap Import Limits'!$A$1:$H$11</definedName>
    <definedName name="_xlnm.Print_Area" localSheetId="3">'DR Rel Targets'!$A$1:$N$20</definedName>
    <definedName name="_xlnm.Print_Area" localSheetId="2">'Key Transmission Upgrades'!$A$1:$C$34</definedName>
    <definedName name="_xlnm.Print_Area" localSheetId="1">'Net CONE'!$A$1:$I$40</definedName>
  </definedNames>
  <calcPr calcId="145621"/>
</workbook>
</file>

<file path=xl/calcChain.xml><?xml version="1.0" encoding="utf-8"?>
<calcChain xmlns="http://schemas.openxmlformats.org/spreadsheetml/2006/main">
  <c r="H44" i="11" l="1"/>
  <c r="F50" i="11"/>
  <c r="B23" i="11"/>
  <c r="N18" i="11"/>
  <c r="L18" i="11"/>
  <c r="L17" i="11"/>
  <c r="F28" i="2"/>
  <c r="G28" i="2"/>
  <c r="G19" i="2"/>
  <c r="G23" i="2"/>
  <c r="B17" i="4"/>
  <c r="B16" i="4"/>
  <c r="C13" i="4"/>
  <c r="C12" i="4"/>
  <c r="B13" i="4"/>
  <c r="B12" i="4"/>
  <c r="L8" i="4"/>
  <c r="B9" i="4"/>
  <c r="B8" i="4"/>
  <c r="B27" i="11" l="1"/>
  <c r="B26" i="11"/>
  <c r="B25" i="11"/>
  <c r="H39" i="11"/>
  <c r="I65" i="11"/>
  <c r="I37" i="11"/>
  <c r="B18" i="11"/>
  <c r="F23" i="2" l="1"/>
  <c r="F19" i="2"/>
  <c r="M33" i="11" l="1"/>
  <c r="L33" i="11"/>
  <c r="N19" i="11"/>
  <c r="M19" i="11"/>
  <c r="L19" i="11"/>
  <c r="K19" i="11"/>
  <c r="J19" i="11"/>
  <c r="I19" i="11"/>
  <c r="H19" i="11"/>
  <c r="G19" i="11"/>
  <c r="F19" i="11"/>
  <c r="E19" i="11"/>
  <c r="D19" i="11"/>
  <c r="C19" i="11"/>
  <c r="H38" i="11"/>
  <c r="H37" i="11"/>
  <c r="B19" i="11"/>
  <c r="C28" i="11" l="1"/>
  <c r="M18" i="11"/>
  <c r="K18" i="11"/>
  <c r="J18" i="11"/>
  <c r="I18" i="11"/>
  <c r="H18" i="11"/>
  <c r="G18" i="11"/>
  <c r="F18" i="11"/>
  <c r="E18" i="11"/>
  <c r="D18" i="11"/>
  <c r="C18" i="11"/>
  <c r="N33" i="11"/>
  <c r="K33" i="11"/>
  <c r="J33" i="11"/>
  <c r="I33" i="11"/>
  <c r="H33" i="11"/>
  <c r="G33" i="11"/>
  <c r="F33" i="11"/>
  <c r="C33" i="11"/>
  <c r="C17" i="11"/>
  <c r="N16" i="11"/>
  <c r="M16" i="11"/>
  <c r="L16" i="11"/>
  <c r="K16" i="11"/>
  <c r="J16" i="11"/>
  <c r="I16" i="11"/>
  <c r="H16" i="11"/>
  <c r="G16" i="11"/>
  <c r="F16" i="11"/>
  <c r="E16" i="11"/>
  <c r="D16" i="11"/>
  <c r="C16" i="11"/>
  <c r="B16" i="11"/>
  <c r="B17" i="11" s="1"/>
  <c r="H39" i="2"/>
  <c r="H14" i="2"/>
  <c r="F38" i="2"/>
  <c r="G38" i="2" s="1"/>
  <c r="B39" i="2"/>
  <c r="F37" i="2"/>
  <c r="G37" i="2" s="1"/>
  <c r="F36" i="2"/>
  <c r="G36" i="2" s="1"/>
  <c r="F35" i="2"/>
  <c r="G35" i="2" s="1"/>
  <c r="F34" i="2"/>
  <c r="G34" i="2" s="1"/>
  <c r="F31" i="2"/>
  <c r="G31" i="2" s="1"/>
  <c r="F30" i="2"/>
  <c r="G30" i="2" s="1"/>
  <c r="C29" i="2" l="1"/>
  <c r="G8" i="5" l="1"/>
  <c r="F8" i="5"/>
  <c r="E8" i="5"/>
  <c r="D8" i="5"/>
  <c r="B8" i="5"/>
  <c r="C8" i="5"/>
  <c r="F59" i="11" l="1"/>
  <c r="F42" i="11"/>
  <c r="N7" i="4" l="1"/>
  <c r="M7" i="4"/>
  <c r="L7" i="4"/>
  <c r="K7" i="4"/>
  <c r="J7" i="4"/>
  <c r="M6" i="4"/>
  <c r="L6" i="4"/>
  <c r="J6" i="4"/>
  <c r="I6" i="4"/>
  <c r="F6" i="4"/>
  <c r="B3" i="4"/>
  <c r="G6" i="4" l="1"/>
  <c r="F57" i="11"/>
  <c r="N6" i="4" s="1"/>
  <c r="H6" i="4"/>
  <c r="K6" i="4"/>
  <c r="F65" i="11"/>
  <c r="I63" i="11"/>
  <c r="F63" i="11"/>
  <c r="I62" i="11"/>
  <c r="E7" i="4" s="1"/>
  <c r="F62" i="11"/>
  <c r="E6" i="4" s="1"/>
  <c r="D62" i="11"/>
  <c r="I61" i="11"/>
  <c r="D7" i="4" s="1"/>
  <c r="F61" i="11"/>
  <c r="D6" i="4" s="1"/>
  <c r="D61" i="11"/>
  <c r="J60" i="11"/>
  <c r="G60" i="11"/>
  <c r="J59" i="11"/>
  <c r="D59" i="11"/>
  <c r="J58" i="11"/>
  <c r="G58" i="11"/>
  <c r="D58" i="11"/>
  <c r="E57" i="11"/>
  <c r="J56" i="11"/>
  <c r="G56" i="11"/>
  <c r="D56" i="11"/>
  <c r="J55" i="11"/>
  <c r="G55" i="11"/>
  <c r="J54" i="11"/>
  <c r="G54" i="11"/>
  <c r="J53" i="11"/>
  <c r="G53" i="11"/>
  <c r="J52" i="11"/>
  <c r="G52" i="11"/>
  <c r="J51" i="11"/>
  <c r="G51" i="11"/>
  <c r="D50" i="11"/>
  <c r="J49" i="11"/>
  <c r="G49" i="11"/>
  <c r="J48" i="11"/>
  <c r="G48" i="11"/>
  <c r="J47" i="11"/>
  <c r="G47" i="11"/>
  <c r="J46" i="11"/>
  <c r="G46" i="11"/>
  <c r="J45" i="11"/>
  <c r="G45" i="11"/>
  <c r="J44" i="11"/>
  <c r="G44" i="11"/>
  <c r="D44" i="11"/>
  <c r="J43" i="11"/>
  <c r="G43" i="11"/>
  <c r="D43" i="11"/>
  <c r="J42" i="11"/>
  <c r="D42" i="11"/>
  <c r="J41" i="11"/>
  <c r="G41" i="11"/>
  <c r="D41" i="11"/>
  <c r="J40" i="11"/>
  <c r="G40" i="11"/>
  <c r="J39" i="11"/>
  <c r="G39" i="11"/>
  <c r="J38" i="11"/>
  <c r="G38" i="11"/>
  <c r="F37" i="11"/>
  <c r="B8" i="11" s="1"/>
  <c r="B6" i="4" s="1"/>
  <c r="E37" i="11"/>
  <c r="H7" i="4"/>
  <c r="G7" i="4"/>
  <c r="F7" i="4"/>
  <c r="N14" i="11"/>
  <c r="M14" i="11"/>
  <c r="L14" i="11"/>
  <c r="K14" i="11"/>
  <c r="J14" i="11"/>
  <c r="I14" i="11"/>
  <c r="H14" i="11"/>
  <c r="G14" i="11"/>
  <c r="F14" i="11"/>
  <c r="E14" i="11"/>
  <c r="E33" i="11" s="1"/>
  <c r="D14" i="11"/>
  <c r="C14" i="11"/>
  <c r="N13" i="11"/>
  <c r="M13" i="11"/>
  <c r="L13" i="11"/>
  <c r="K13" i="11"/>
  <c r="J13" i="11"/>
  <c r="I13" i="11"/>
  <c r="H13" i="11"/>
  <c r="G13" i="11"/>
  <c r="F13" i="11"/>
  <c r="E13" i="11"/>
  <c r="D13" i="11"/>
  <c r="C13" i="11"/>
  <c r="B6" i="11"/>
  <c r="B2" i="4" s="1"/>
  <c r="D33" i="11" l="1"/>
  <c r="J37" i="11"/>
  <c r="B7" i="4"/>
  <c r="I17" i="11"/>
  <c r="I5" i="4" s="1"/>
  <c r="I7" i="4"/>
  <c r="G57" i="11"/>
  <c r="J50" i="11"/>
  <c r="J57" i="11"/>
  <c r="H17" i="11"/>
  <c r="H5" i="4" s="1"/>
  <c r="B15" i="11"/>
  <c r="D17" i="11"/>
  <c r="D5" i="4" s="1"/>
  <c r="F64" i="11"/>
  <c r="F17" i="11"/>
  <c r="F5" i="4" s="1"/>
  <c r="K17" i="11"/>
  <c r="K5" i="4" s="1"/>
  <c r="G17" i="11"/>
  <c r="G5" i="4" s="1"/>
  <c r="L5" i="4"/>
  <c r="E17" i="11"/>
  <c r="E5" i="4" s="1"/>
  <c r="J17" i="11"/>
  <c r="J5" i="4" s="1"/>
  <c r="N17" i="11"/>
  <c r="I64" i="11"/>
  <c r="M17" i="11"/>
  <c r="M5" i="4" s="1"/>
  <c r="N5" i="4" l="1"/>
  <c r="C5" i="4"/>
  <c r="C7" i="4"/>
  <c r="C6" i="4"/>
  <c r="C12" i="2"/>
  <c r="F33" i="2"/>
  <c r="G33" i="2" s="1"/>
  <c r="F32" i="2"/>
  <c r="G32" i="2" s="1"/>
  <c r="F27" i="2"/>
  <c r="G27" i="2" s="1"/>
  <c r="F26" i="2"/>
  <c r="G26" i="2" s="1"/>
  <c r="F25" i="2"/>
  <c r="G25" i="2" s="1"/>
  <c r="F22" i="2"/>
  <c r="G22" i="2" s="1"/>
  <c r="F21" i="2"/>
  <c r="G21" i="2" s="1"/>
  <c r="C24" i="2"/>
  <c r="C20" i="2"/>
  <c r="F18" i="2"/>
  <c r="G18" i="2" s="1"/>
  <c r="F17" i="2"/>
  <c r="G17" i="2" s="1"/>
  <c r="F16" i="2"/>
  <c r="G16" i="2" s="1"/>
  <c r="F15" i="2"/>
  <c r="G15" i="2" s="1"/>
  <c r="F14" i="2"/>
  <c r="G14" i="2" s="1"/>
  <c r="F13" i="2"/>
  <c r="G13" i="2" s="1"/>
  <c r="C39" i="2"/>
  <c r="B5" i="4" l="1"/>
  <c r="H22" i="11"/>
  <c r="H20" i="11"/>
  <c r="H23" i="11" s="1"/>
  <c r="C27" i="2"/>
  <c r="C26" i="2"/>
  <c r="C25" i="2"/>
  <c r="L20" i="11"/>
  <c r="L23" i="11" s="1"/>
  <c r="H33" i="2"/>
  <c r="L22" i="11" s="1"/>
  <c r="H21" i="2"/>
  <c r="M22" i="11" s="1"/>
  <c r="M20" i="11"/>
  <c r="M23" i="11" s="1"/>
  <c r="C15" i="2"/>
  <c r="C18" i="2"/>
  <c r="C14" i="2"/>
  <c r="C17" i="2"/>
  <c r="C13" i="2"/>
  <c r="C16" i="2"/>
  <c r="C21" i="2"/>
  <c r="C22" i="2"/>
  <c r="K20" i="11"/>
  <c r="K23" i="11" s="1"/>
  <c r="J20" i="11"/>
  <c r="J23" i="11" s="1"/>
  <c r="H32" i="2"/>
  <c r="H17" i="2"/>
  <c r="G20" i="11"/>
  <c r="G23" i="11" s="1"/>
  <c r="F20" i="11"/>
  <c r="F23" i="11" s="1"/>
  <c r="H27" i="2"/>
  <c r="N22" i="11" s="1"/>
  <c r="N20" i="11"/>
  <c r="N23" i="11" s="1"/>
  <c r="H22" i="2"/>
  <c r="I22" i="11" s="1"/>
  <c r="I20" i="11"/>
  <c r="I23" i="11" s="1"/>
  <c r="H56" i="11"/>
  <c r="I9" i="4" s="1"/>
  <c r="H47" i="11"/>
  <c r="E39" i="2"/>
  <c r="G39" i="2" l="1"/>
  <c r="B20" i="11" s="1"/>
  <c r="F39" i="2"/>
  <c r="H19" i="2"/>
  <c r="D22" i="11" s="1"/>
  <c r="D20" i="11"/>
  <c r="D23" i="11" s="1"/>
  <c r="H23" i="2"/>
  <c r="E22" i="11" s="1"/>
  <c r="E20" i="11"/>
  <c r="E23" i="11" s="1"/>
  <c r="G22" i="11"/>
  <c r="F22" i="11"/>
  <c r="C28" i="2"/>
  <c r="C20" i="11"/>
  <c r="C23" i="11" s="1"/>
  <c r="K22" i="11"/>
  <c r="J22" i="11"/>
  <c r="H42" i="11"/>
  <c r="K25" i="11" s="1"/>
  <c r="H40" i="11"/>
  <c r="L9" i="4"/>
  <c r="H48" i="11"/>
  <c r="H49" i="11"/>
  <c r="H46" i="11"/>
  <c r="H53" i="11"/>
  <c r="H50" i="11"/>
  <c r="H51" i="11"/>
  <c r="H41" i="11"/>
  <c r="H58" i="11"/>
  <c r="H52" i="11"/>
  <c r="H54" i="11"/>
  <c r="H57" i="11"/>
  <c r="H55" i="11"/>
  <c r="H43" i="11"/>
  <c r="H62" i="11" s="1"/>
  <c r="E9" i="4" s="1"/>
  <c r="H59" i="11"/>
  <c r="H45" i="11"/>
  <c r="H60" i="11"/>
  <c r="I27" i="11"/>
  <c r="I26" i="11"/>
  <c r="I25" i="11"/>
  <c r="L27" i="11"/>
  <c r="L26" i="11" l="1"/>
  <c r="B22" i="11"/>
  <c r="H28" i="2"/>
  <c r="C22" i="11" s="1"/>
  <c r="B10" i="11"/>
  <c r="N9" i="4"/>
  <c r="N27" i="11"/>
  <c r="H25" i="11"/>
  <c r="H9" i="4"/>
  <c r="F27" i="11"/>
  <c r="F9" i="4"/>
  <c r="H27" i="11"/>
  <c r="J27" i="11"/>
  <c r="J9" i="4"/>
  <c r="L25" i="11"/>
  <c r="J25" i="11"/>
  <c r="G25" i="11"/>
  <c r="G9" i="4"/>
  <c r="K27" i="11"/>
  <c r="K9" i="4"/>
  <c r="N25" i="11"/>
  <c r="N26" i="11"/>
  <c r="J26" i="11"/>
  <c r="H61" i="11"/>
  <c r="D9" i="4" s="1"/>
  <c r="K26" i="11"/>
  <c r="H26" i="11"/>
  <c r="G26" i="11"/>
  <c r="H63" i="11"/>
  <c r="G27" i="11"/>
  <c r="F25" i="11"/>
  <c r="F26" i="11"/>
  <c r="H65" i="11"/>
  <c r="E27" i="11"/>
  <c r="E26" i="11"/>
  <c r="E25" i="11"/>
  <c r="H64" i="11"/>
  <c r="C9" i="4" s="1"/>
  <c r="F20" i="4"/>
  <c r="F19" i="4"/>
  <c r="N20" i="4"/>
  <c r="N19" i="4"/>
  <c r="M8" i="4"/>
  <c r="M20" i="4"/>
  <c r="L20" i="4"/>
  <c r="M19" i="4"/>
  <c r="L19" i="4"/>
  <c r="K20" i="4"/>
  <c r="J20" i="4"/>
  <c r="I20" i="4"/>
  <c r="H20" i="4"/>
  <c r="G20" i="4"/>
  <c r="E20" i="4"/>
  <c r="D20" i="4"/>
  <c r="C20" i="4"/>
  <c r="B20" i="4"/>
  <c r="K19" i="4"/>
  <c r="J19" i="4"/>
  <c r="I19" i="4"/>
  <c r="H19" i="4"/>
  <c r="G19" i="4"/>
  <c r="E19" i="4"/>
  <c r="D19" i="4"/>
  <c r="C19" i="4"/>
  <c r="B19" i="4"/>
  <c r="F8" i="4"/>
  <c r="M27" i="11" l="1"/>
  <c r="M9" i="4"/>
  <c r="M25" i="11"/>
  <c r="M26" i="11"/>
  <c r="D27" i="11"/>
  <c r="D26" i="11"/>
  <c r="D25" i="11"/>
  <c r="C27" i="11"/>
  <c r="C26" i="11"/>
  <c r="C25" i="11"/>
  <c r="J8" i="4"/>
  <c r="J12" i="4" s="1"/>
  <c r="N8" i="4"/>
  <c r="N12" i="4" s="1"/>
  <c r="G8" i="4"/>
  <c r="G12" i="4" s="1"/>
  <c r="I8" i="4"/>
  <c r="I16" i="4" s="1"/>
  <c r="K8" i="4"/>
  <c r="K12" i="4" s="1"/>
  <c r="L16" i="4"/>
  <c r="H8" i="4"/>
  <c r="H12" i="4" s="1"/>
  <c r="D8" i="4"/>
  <c r="D12" i="4" s="1"/>
  <c r="F16" i="4"/>
  <c r="J16" i="4"/>
  <c r="F12" i="4"/>
  <c r="M12" i="4"/>
  <c r="M16" i="4"/>
  <c r="L12" i="4" l="1"/>
  <c r="G16" i="4"/>
  <c r="K16" i="4"/>
  <c r="D16" i="4"/>
  <c r="H16" i="4"/>
  <c r="E8" i="4"/>
  <c r="N16" i="4"/>
  <c r="I12" i="4"/>
  <c r="C8" i="4"/>
  <c r="E16" i="4" l="1"/>
  <c r="E12" i="4"/>
  <c r="C16" i="4"/>
  <c r="L17" i="4" l="1"/>
  <c r="L13" i="4"/>
  <c r="H13" i="4"/>
  <c r="H17" i="4"/>
  <c r="G13" i="4"/>
  <c r="G17" i="4"/>
  <c r="N17" i="4"/>
  <c r="N13" i="4"/>
  <c r="F13" i="4"/>
  <c r="F17" i="4"/>
  <c r="I13" i="4"/>
  <c r="I17" i="4"/>
  <c r="J17" i="4" l="1"/>
  <c r="J13" i="4"/>
  <c r="M13" i="4"/>
  <c r="M17" i="4"/>
  <c r="E13" i="4"/>
  <c r="E17" i="4"/>
  <c r="K13" i="4"/>
  <c r="K17" i="4"/>
  <c r="C17" i="4" l="1"/>
  <c r="D17" i="4"/>
  <c r="D13" i="4"/>
</calcChain>
</file>

<file path=xl/sharedStrings.xml><?xml version="1.0" encoding="utf-8"?>
<sst xmlns="http://schemas.openxmlformats.org/spreadsheetml/2006/main" count="522" uniqueCount="230">
  <si>
    <t>APS</t>
  </si>
  <si>
    <t>DPL</t>
  </si>
  <si>
    <t>AE</t>
  </si>
  <si>
    <t>BGE</t>
  </si>
  <si>
    <t>DLCO</t>
  </si>
  <si>
    <t>JCPL</t>
  </si>
  <si>
    <t>PECO</t>
  </si>
  <si>
    <t>PEPCO</t>
  </si>
  <si>
    <t>PS</t>
  </si>
  <si>
    <t>CETO</t>
  </si>
  <si>
    <t>Reliability Requirement</t>
  </si>
  <si>
    <t>CETL</t>
  </si>
  <si>
    <t xml:space="preserve"> </t>
  </si>
  <si>
    <t>RTO</t>
  </si>
  <si>
    <t>SWMAAC</t>
  </si>
  <si>
    <t>Western MAAC</t>
  </si>
  <si>
    <t>EMAAC</t>
  </si>
  <si>
    <t>MAAC</t>
  </si>
  <si>
    <t>COMED</t>
  </si>
  <si>
    <t>DAYTON</t>
  </si>
  <si>
    <t>DOM</t>
  </si>
  <si>
    <t>METED</t>
  </si>
  <si>
    <t>PENLC</t>
  </si>
  <si>
    <t>DPLSOUTH</t>
  </si>
  <si>
    <t>NA</t>
  </si>
  <si>
    <t>Point (a) UCAP Price, $/MW-Day</t>
  </si>
  <si>
    <t>Point (b) UCAP Price, $/MW-Day</t>
  </si>
  <si>
    <t>Point (c) UCAP Price, $/MW-Day</t>
  </si>
  <si>
    <t>Point (a) UCAP Level, MW</t>
  </si>
  <si>
    <t>Point (b) UCAP Level, MW</t>
  </si>
  <si>
    <t>Point (c) UCAP Level, MW</t>
  </si>
  <si>
    <t>Preliminary Zonal Peak Load Forecast</t>
  </si>
  <si>
    <t>Base Zonal FRR Scaling Factor</t>
  </si>
  <si>
    <t>PL (incl. UGI)</t>
  </si>
  <si>
    <t>Western PJM</t>
  </si>
  <si>
    <t xml:space="preserve">Installed Reserve Margin (IRM) </t>
  </si>
  <si>
    <t>Pool-Wide Average EFORd</t>
  </si>
  <si>
    <t>Forecast Pool Requirement (FPR)</t>
  </si>
  <si>
    <t>Preliminary Forecast Peak Load</t>
  </si>
  <si>
    <t>LDA/Zone</t>
  </si>
  <si>
    <t>RECO</t>
  </si>
  <si>
    <t>Notes:</t>
  </si>
  <si>
    <t>Demand Resource (DR) Factor</t>
  </si>
  <si>
    <t>Short-Term Resource Procurement Target</t>
  </si>
  <si>
    <t>PS NORTH</t>
  </si>
  <si>
    <t>DPL SOUTH</t>
  </si>
  <si>
    <t>Preliminary FRR Obligation</t>
  </si>
  <si>
    <t>Total Peak Load of FRR Entities</t>
  </si>
  <si>
    <t>Reliability Requirement adjusted for FRR</t>
  </si>
  <si>
    <t>Net CONE, $/MW-Day (UCAP Price)</t>
  </si>
  <si>
    <t>Variable Resource Requirement Curve:</t>
  </si>
  <si>
    <t>&gt; 115%</t>
  </si>
  <si>
    <t>Participant-Funded ICTRs Awarded</t>
  </si>
  <si>
    <t>ATSI</t>
  </si>
  <si>
    <t>CONE Area 1</t>
  </si>
  <si>
    <t>CONE Area 2</t>
  </si>
  <si>
    <t>CONE Area 3</t>
  </si>
  <si>
    <t>CONE Area 4</t>
  </si>
  <si>
    <t>CONE Area 1: AE, DPL, JCPL, PECO, PS, RECO</t>
  </si>
  <si>
    <t>CONE Area 2: BGE, PEPCO</t>
  </si>
  <si>
    <t>CONE Area 4: MetEd, Penelec, PPL</t>
  </si>
  <si>
    <t>ICAP to UCAP Conversion Factor:</t>
  </si>
  <si>
    <t>Upgrade ID</t>
  </si>
  <si>
    <t>Description</t>
  </si>
  <si>
    <t>Transmission Owner</t>
  </si>
  <si>
    <t xml:space="preserve">FRR Portion of the Preliminary Peak Load Forecast       </t>
  </si>
  <si>
    <t>AEP</t>
  </si>
  <si>
    <t>Forecast Pool Requirement</t>
  </si>
  <si>
    <t>Demand Resource Factor</t>
  </si>
  <si>
    <t>PJM Region</t>
  </si>
  <si>
    <t>Preliminary Peak Load Forecast</t>
  </si>
  <si>
    <t>FRR Peak Load</t>
  </si>
  <si>
    <t>Peak Load Forecast adjusted for FRR</t>
  </si>
  <si>
    <t>Percent of Preliminary Forecast Peak Load</t>
  </si>
  <si>
    <t>Unforced Capacity, MW</t>
  </si>
  <si>
    <t>** Used to allocate Short-Term Resource Procurement Target to Zones.</t>
  </si>
  <si>
    <t>Post-Clearing BRA Credit Rate (LMT), $/MW</t>
  </si>
  <si>
    <t>Post-Clearing BRA Credit Rate (ES), $/MW</t>
  </si>
  <si>
    <t>Post-Clearing BRA Credit Rate (ANL), $/MW</t>
  </si>
  <si>
    <t>DEOK</t>
  </si>
  <si>
    <t>Dominion</t>
  </si>
  <si>
    <t>PPL</t>
  </si>
  <si>
    <t>PSEG</t>
  </si>
  <si>
    <t>PENELEC</t>
  </si>
  <si>
    <t>Limiting conditions at the CETL for modeled LDAs:</t>
  </si>
  <si>
    <t>Preliminary Zonal Peak Load Forecast less FRR load**</t>
  </si>
  <si>
    <t>PSNORTH</t>
  </si>
  <si>
    <t>ATSI-CLEVELAND</t>
  </si>
  <si>
    <t>EKPC</t>
  </si>
  <si>
    <t>ATSI-Cleveland</t>
  </si>
  <si>
    <t>*</t>
  </si>
  <si>
    <t>Limited Demand Resource Reliability Target</t>
  </si>
  <si>
    <t>Quantities are in Unforced Capacity Megawatts</t>
  </si>
  <si>
    <t>North</t>
  </si>
  <si>
    <t>West 1</t>
  </si>
  <si>
    <t>West 2</t>
  </si>
  <si>
    <t>South 1</t>
  </si>
  <si>
    <t>South 2</t>
  </si>
  <si>
    <t>Gross CONE, $/MW-Day, UCAP Price</t>
  </si>
  <si>
    <t>VRR Curve Point (a) UCAP Price, $/MW-Day *</t>
  </si>
  <si>
    <t>* VRR Curve Point (a) UCAP Price is the higher of 1.5 Net CONE or Gross CONE.</t>
  </si>
  <si>
    <t>CETL to CETO Ratio %</t>
  </si>
  <si>
    <t>PL</t>
  </si>
  <si>
    <t>Minimum Internal Resource Requirement</t>
  </si>
  <si>
    <t>FRR Load Requirement (% Obligation):</t>
  </si>
  <si>
    <t xml:space="preserve">LDA      </t>
  </si>
  <si>
    <t>AEC</t>
  </si>
  <si>
    <t>None</t>
  </si>
  <si>
    <t>Sub-Annual Resource Reliability Target</t>
  </si>
  <si>
    <t>b2449</t>
  </si>
  <si>
    <t>Rebuild the 7-mile 345 kV line between Meadow Lake and Reynolds 345 kV stations</t>
  </si>
  <si>
    <t>* LDA has adequate internal resources to meet the reliability criterion.</t>
  </si>
  <si>
    <t>LDA CETO/CETL Data; Zonal Peak Loads, Base Zonal FRR Scaling Factors, and Zonal Short-Term Resource Procurement Targets.</t>
  </si>
  <si>
    <t xml:space="preserve">DR Constraints for FRR Load (ICAP as % of peak load) </t>
  </si>
  <si>
    <t>Limited Resource Constraint</t>
  </si>
  <si>
    <t>Sub-Annual Resource Constraint</t>
  </si>
  <si>
    <t>2018-2019 RPM Base Residual Auction Planning Parameters</t>
  </si>
  <si>
    <t>Load data: from 2015 Load Report with adjustments due to load served outside PJM.</t>
  </si>
  <si>
    <t>From 2014 Reserve Requirement Study.</t>
  </si>
  <si>
    <t>$/MW</t>
  </si>
  <si>
    <t>RPM CONE and E&amp;AS Values for 2018/2019 Base Residual Auction</t>
  </si>
  <si>
    <t>CONE Area 3: AEP, APS, ATSI, ComEd, Dayton, DEOK, Dominion, Duquesne (DLCo), EKPC</t>
  </si>
  <si>
    <t xml:space="preserve">Pool-Wide Average EFORd for 2018/2019 = </t>
  </si>
  <si>
    <t>Zone/LDA</t>
  </si>
  <si>
    <t>Historic (2012-2014) Net Energy Revenue Offset, $/MW-Year</t>
  </si>
  <si>
    <t>PE</t>
  </si>
  <si>
    <t xml:space="preserve">2018/2019 BRA CONE: Levelized Revenue Requirement,     $/MW-Year </t>
  </si>
  <si>
    <t>Net CONE,   $/MW-Day,  UCAP Price</t>
  </si>
  <si>
    <t>Ancillary Services Offset,          $/MW-Year        per Tariff</t>
  </si>
  <si>
    <t>Net CONE,         $/MW-Day,    ICAP Price</t>
  </si>
  <si>
    <t>UCAP Price = ICAP Price / (1 - Pool-Wide Average EFORd)</t>
  </si>
  <si>
    <t>2018/2019 Demand Rresource Constraints</t>
  </si>
  <si>
    <t>2014 Zonal W/N Coincident Peak Loads</t>
  </si>
  <si>
    <t xml:space="preserve">  Violation/Limiting Facility</t>
  </si>
  <si>
    <t>2018/2019 Capacity Import Limits in Megawatts</t>
  </si>
  <si>
    <t>External Source Zone</t>
  </si>
  <si>
    <t>Key Transmission Upgrades included for 2017/2018 model but not included for 2018/2019 model</t>
  </si>
  <si>
    <t>New Key Transmission Upgrades included for 2018/2019 Model</t>
  </si>
  <si>
    <t>b1813.3</t>
  </si>
  <si>
    <t>Build approximately 21 miles  new 230 kV Acahela – Pocono line</t>
  </si>
  <si>
    <t>b2269</t>
  </si>
  <si>
    <t>Rebuild approximately 23.7 miles of the Susquehanna - Jenkins 230kV circuit. This replaces a temporary SPS that is already planned to mitigate the violation until this solution is implemented</t>
  </si>
  <si>
    <t>b2371</t>
  </si>
  <si>
    <t>Install 75 MVAR capacitor at the Erie East 230 kV substation</t>
  </si>
  <si>
    <t>b2373</t>
  </si>
  <si>
    <t>Build a 2nd Loudoun - Brambleton 500 kV line within the existing ROW. The Loudoun - Brambleton 230 kV line will be relocated as an underbuild on the new 500 kV line</t>
  </si>
  <si>
    <t>b2436</t>
  </si>
  <si>
    <t>PSEG Northern NJ 345 kV Project</t>
  </si>
  <si>
    <t>b2436.10</t>
  </si>
  <si>
    <t>Convert the Bergen - Marion 138 kV path to double circuit 345 kV and associated substation upgrades</t>
  </si>
  <si>
    <t>b2436.21</t>
  </si>
  <si>
    <t>Convert the Marion - Bayonne "L" 138 kV circuit to 345 kV and any associated substation upgrades</t>
  </si>
  <si>
    <t>b2436.22</t>
  </si>
  <si>
    <t>Convert the Marion - Bayonne "C" 138 kV circuit to 345 kV and any associated substation upgrades</t>
  </si>
  <si>
    <t>b2436.50</t>
  </si>
  <si>
    <t>Construct a new North Ave - Airport 345 kV circuit and any associated substation upgrades</t>
  </si>
  <si>
    <t>b2436.60</t>
  </si>
  <si>
    <t>Relocate the underground portion of North Ave - Linden "T" 138 kV circuit to Bayway, convert it to 345 kV, and any associated substation upgrades</t>
  </si>
  <si>
    <t>b2436.70</t>
  </si>
  <si>
    <t>Construct a new Airport - Bayway 345 kV circuit and any associated substation upgrades</t>
  </si>
  <si>
    <t>b2436.81</t>
  </si>
  <si>
    <t>Relocate the overhead portion of Linden - North Ave "T" 138 kV circuit to Bayway, convert it to 345 kV, and any associated substation upgrades</t>
  </si>
  <si>
    <t>b2436.83</t>
  </si>
  <si>
    <t>Convert the Bayway - Linden "Z" 138 kV circuit to 345 kV and any associated substation upgrades</t>
  </si>
  <si>
    <t>b2436.90</t>
  </si>
  <si>
    <t>Relocate Farragut - Hudson "B" and "C" 345 kV circuits to Marion 345 kV and any associated substation upgrades</t>
  </si>
  <si>
    <t>b2436.91</t>
  </si>
  <si>
    <t>Relocate the Hudson 2 generation to inject into the 345 kV at Marion and any associated upgrades</t>
  </si>
  <si>
    <t>b2437.10</t>
  </si>
  <si>
    <t>New Bergen 345/230 kV transformer and any associated substation upgrades</t>
  </si>
  <si>
    <t>b2437.11</t>
  </si>
  <si>
    <t>New Bergen 345/138 kV transformer #1 and any associated substation upgrades</t>
  </si>
  <si>
    <t>b2437.20</t>
  </si>
  <si>
    <t>New Bayway 345/138 kV transformer #1 and any associated substation upgrades</t>
  </si>
  <si>
    <t>b2437.21</t>
  </si>
  <si>
    <t>New Bayway 345/138 kV transformer #2 and any associated substation upgrades</t>
  </si>
  <si>
    <t>b2437.30</t>
  </si>
  <si>
    <t>New Linden 345/230 kV transformer and any associated substation upgrades</t>
  </si>
  <si>
    <t>b2441</t>
  </si>
  <si>
    <t>Install +250/-100 MVAR SVC at the Erie South 230 kV station</t>
  </si>
  <si>
    <t>b2443</t>
  </si>
  <si>
    <t>Construct new underground 230 kV line from Glebe to Station C, rebuild Glebe Substation, construct 230 kV high-side bus at Station C with option to install 800 MVA PAR</t>
  </si>
  <si>
    <t>b2443.3</t>
  </si>
  <si>
    <t>Glebe - Station C PAR</t>
  </si>
  <si>
    <t>b2461</t>
  </si>
  <si>
    <t>Wreck and rebuild existing Remington CT - Warrrenton 230 kV (approx. 12 miles) as a double-circuit 230 kV line</t>
  </si>
  <si>
    <t>b2471</t>
  </si>
  <si>
    <t>Replace Midlothian 500 kV breaker 563T576 and motor operated switches with 3 breaker 500 kV ring bus. Terminate Lines #563 Carson - Midlothian, #576 Midlothian - North Anna, Transformer #2 in new ring</t>
  </si>
  <si>
    <t>b2479</t>
  </si>
  <si>
    <t>New Orchard - Cardiff 230 kV line (remove, rebuild and reconfigure existing 138 kV line) and associated substation upgrades, environmental work</t>
  </si>
  <si>
    <t xml:space="preserve">  Thermal / Sandy Spring - High Ridge 230 kV</t>
  </si>
  <si>
    <t xml:space="preserve">  Voltage / Low voltage magnitude at Cochranville 230 kV</t>
  </si>
  <si>
    <t xml:space="preserve">  Thermal / Conastone - Northwest '2322' 230 kV</t>
  </si>
  <si>
    <t xml:space="preserve">  Thermal / Red Lion - Cedar Creek 230 kV</t>
  </si>
  <si>
    <t xml:space="preserve">  Thermal / Burches Hill -Talbert '068' 230 kV</t>
  </si>
  <si>
    <t xml:space="preserve">  Thermal / Tidd - Collier 345 kV</t>
  </si>
  <si>
    <t xml:space="preserve">  Turned off all internal generation</t>
  </si>
  <si>
    <t xml:space="preserve">  Thermal / Pumphrey 230/115 kV transformer</t>
  </si>
  <si>
    <t xml:space="preserve">  Thermal / Wescoville 500/138 kV transformer</t>
  </si>
  <si>
    <t xml:space="preserve">  Thermal / Roseland - Cedar Grove 230 kV</t>
  </si>
  <si>
    <t>Simultaneous</t>
  </si>
  <si>
    <t>First Contingency Total Transfer Capability (FCTTC)</t>
  </si>
  <si>
    <t>Capacity Benefit Margin (CBM)</t>
  </si>
  <si>
    <t>Approved CIL Exception Requests*</t>
  </si>
  <si>
    <t>Capacity Import Limit (CIL) for use in BRA **</t>
  </si>
  <si>
    <t xml:space="preserve">  </t>
  </si>
  <si>
    <t xml:space="preserve">  Thermal / Loretto - Wilton 345 kV Blue line</t>
  </si>
  <si>
    <t>#4367694</t>
  </si>
  <si>
    <t>&gt; 736</t>
  </si>
  <si>
    <t>&gt; 1967</t>
  </si>
  <si>
    <t>&gt; 2898</t>
  </si>
  <si>
    <t>&gt; 1058</t>
  </si>
  <si>
    <t>&gt; 4750</t>
  </si>
  <si>
    <t>&gt; 1829</t>
  </si>
  <si>
    <t>&gt; 1185</t>
  </si>
  <si>
    <t>&gt; 725</t>
  </si>
  <si>
    <t>&gt; 3772</t>
  </si>
  <si>
    <t>&gt; 1369</t>
  </si>
  <si>
    <t>&gt; 3278</t>
  </si>
  <si>
    <t>&gt; 265</t>
  </si>
  <si>
    <t xml:space="preserve">Confirmed NEDTS* </t>
  </si>
  <si>
    <t xml:space="preserve">   *  The quantities of approved CIL exception requests and confirmed NEDTS are as of 1/26/2015. These values may be updated prior to the auction to include any additional approved requests. </t>
  </si>
  <si>
    <t>Pre-Clearing BRA Credit Rate</t>
  </si>
  <si>
    <t>&gt; 5520</t>
  </si>
  <si>
    <t>PS, PSEG NORTH</t>
  </si>
  <si>
    <t>ATSI, ATSI CLEVELAND</t>
  </si>
  <si>
    <t xml:space="preserve">Developed under current PJM Tariff provisions; parameters updated to reflect FRR elections. </t>
  </si>
  <si>
    <t>Reliability Requirement adjusted for FRR Minimum Internal Resource Requirement</t>
  </si>
  <si>
    <t>LDA Modeled  with VRR Curve</t>
  </si>
  <si>
    <r>
      <t xml:space="preserve">  ** In addition to ensuring that the CIL used in the auction plus the granted exceptions to not exceed the granted Network External Designated (NED) transmission service less the CBM, PJM is also ensuring that the CIL used in the auction plus the granted exceptions does not exceed the FCTTC less the CBM.  </t>
    </r>
    <r>
      <rPr>
        <b/>
        <u/>
        <sz val="11"/>
        <rFont val="Arial"/>
        <family val="2"/>
      </rPr>
      <t>Because the simultaneous limit is zero, no imports will be cleared in the auction other than those for which a CIL exception was granted.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</si>
</sst>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_);[Red]\(&quot;$&quot;#,##0\)"/>
    <numFmt numFmtId="8" formatCode="&quot;$&quot;#,##0.00_);[Red]\(&quot;$&quot;#,##0.00\)"/>
    <numFmt numFmtId="44" formatCode="_(&quot;$&quot;* #,##0.00_);_(&quot;$&quot;* \(#,##0.00\);_(&quot;$&quot;* &quot;-&quot;??_);_(@_)"/>
    <numFmt numFmtId="43" formatCode="_(* #,##0.00_);_(* \(#,##0.00\);_(* &quot;-&quot;??_);_(@_)"/>
    <numFmt numFmtId="164" formatCode="0.000"/>
    <numFmt numFmtId="165" formatCode="0.0000"/>
    <numFmt numFmtId="166" formatCode="0.0%"/>
    <numFmt numFmtId="167" formatCode="0.0"/>
    <numFmt numFmtId="168" formatCode="&quot;$&quot;#,##0.00"/>
    <numFmt numFmtId="169" formatCode="#,##0.0"/>
    <numFmt numFmtId="170" formatCode="0.00000"/>
    <numFmt numFmtId="171" formatCode="&quot;$&quot;#,##0"/>
    <numFmt numFmtId="172" formatCode="_(* #,##0.0_);_(* \(#,##0.0\);_(* &quot;-&quot;??_);_(@_)"/>
  </numFmts>
  <fonts count="19" x14ac:knownFonts="1">
    <font>
      <sz val="10"/>
      <name val="Arial"/>
    </font>
    <font>
      <sz val="11"/>
      <color theme="1"/>
      <name val="Calibri"/>
      <family val="2"/>
      <scheme val="minor"/>
    </font>
    <font>
      <sz val="10"/>
      <name val="Arial"/>
      <family val="2"/>
    </font>
    <font>
      <b/>
      <sz val="10"/>
      <name val="Arial"/>
      <family val="2"/>
    </font>
    <font>
      <b/>
      <sz val="14"/>
      <name val="Arial"/>
      <family val="2"/>
    </font>
    <font>
      <b/>
      <sz val="12"/>
      <name val="Arial"/>
      <family val="2"/>
    </font>
    <font>
      <sz val="12"/>
      <name val="Arial"/>
      <family val="2"/>
    </font>
    <font>
      <sz val="10"/>
      <name val="Arial"/>
      <family val="2"/>
    </font>
    <font>
      <sz val="10"/>
      <name val="Arial"/>
      <family val="2"/>
    </font>
    <font>
      <sz val="11"/>
      <name val="Arial"/>
      <family val="2"/>
    </font>
    <font>
      <b/>
      <sz val="11"/>
      <name val="Arial"/>
      <family val="2"/>
    </font>
    <font>
      <sz val="11"/>
      <color theme="1"/>
      <name val="Calibri"/>
      <family val="2"/>
      <scheme val="minor"/>
    </font>
    <font>
      <sz val="10"/>
      <color rgb="FFFF0000"/>
      <name val="Arial"/>
      <family val="2"/>
    </font>
    <font>
      <sz val="12"/>
      <color rgb="FFFF0000"/>
      <name val="Arial"/>
      <family val="2"/>
    </font>
    <font>
      <b/>
      <sz val="12"/>
      <color rgb="FFFF0000"/>
      <name val="Arial"/>
      <family val="2"/>
    </font>
    <font>
      <sz val="12"/>
      <color rgb="FF002060"/>
      <name val="Arial"/>
      <family val="2"/>
    </font>
    <font>
      <b/>
      <sz val="14"/>
      <color rgb="FFFF0000"/>
      <name val="Arial"/>
      <family val="2"/>
    </font>
    <font>
      <sz val="10"/>
      <color theme="1"/>
      <name val="Arial"/>
      <family val="2"/>
    </font>
    <font>
      <b/>
      <u/>
      <sz val="11"/>
      <name val="Arial"/>
      <family val="2"/>
    </font>
  </fonts>
  <fills count="6">
    <fill>
      <patternFill patternType="none"/>
    </fill>
    <fill>
      <patternFill patternType="gray125"/>
    </fill>
    <fill>
      <patternFill patternType="solid">
        <fgColor theme="8"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s>
  <cellStyleXfs count="16">
    <xf numFmtId="0" fontId="0" fillId="0" borderId="0"/>
    <xf numFmtId="43" fontId="2" fillId="0" borderId="0" applyFont="0" applyFill="0" applyBorder="0" applyAlignment="0" applyProtection="0"/>
    <xf numFmtId="43" fontId="11" fillId="0" borderId="0" applyFont="0" applyFill="0" applyBorder="0" applyAlignment="0" applyProtection="0"/>
    <xf numFmtId="44" fontId="2" fillId="0" borderId="0" applyFont="0" applyFill="0" applyBorder="0" applyAlignment="0" applyProtection="0"/>
    <xf numFmtId="0" fontId="8" fillId="0" borderId="0"/>
    <xf numFmtId="0" fontId="7" fillId="0" borderId="0">
      <alignment wrapText="1"/>
    </xf>
    <xf numFmtId="0" fontId="7" fillId="0" borderId="0"/>
    <xf numFmtId="0" fontId="11" fillId="0" borderId="0"/>
    <xf numFmtId="9"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9" fontId="7" fillId="0" borderId="0" applyFont="0" applyFill="0" applyBorder="0" applyAlignment="0" applyProtection="0"/>
    <xf numFmtId="0" fontId="17" fillId="0" borderId="0"/>
  </cellStyleXfs>
  <cellXfs count="206">
    <xf numFmtId="0" fontId="0" fillId="0" borderId="0" xfId="0"/>
    <xf numFmtId="0" fontId="6" fillId="0" borderId="0" xfId="0" applyFont="1" applyBorder="1"/>
    <xf numFmtId="0" fontId="3" fillId="0" borderId="0" xfId="0" applyFont="1" applyAlignment="1">
      <alignment wrapText="1"/>
    </xf>
    <xf numFmtId="0" fontId="7" fillId="0" borderId="0" xfId="0" applyFont="1"/>
    <xf numFmtId="171" fontId="6" fillId="0" borderId="1" xfId="0" applyNumberFormat="1" applyFont="1" applyBorder="1" applyAlignment="1">
      <alignment horizontal="center" vertical="center" wrapText="1"/>
    </xf>
    <xf numFmtId="168" fontId="6" fillId="0" borderId="1" xfId="0" applyNumberFormat="1" applyFont="1" applyBorder="1" applyAlignment="1">
      <alignment horizontal="center" vertical="center" wrapText="1"/>
    </xf>
    <xf numFmtId="168" fontId="5" fillId="0" borderId="1" xfId="0" applyNumberFormat="1" applyFont="1" applyBorder="1" applyAlignment="1">
      <alignment horizontal="center" vertical="center" wrapText="1"/>
    </xf>
    <xf numFmtId="0" fontId="6" fillId="0" borderId="0" xfId="0" applyFont="1" applyAlignment="1">
      <alignment wrapText="1"/>
    </xf>
    <xf numFmtId="0" fontId="0" fillId="0" borderId="0" xfId="0" applyAlignment="1">
      <alignment wrapText="1"/>
    </xf>
    <xf numFmtId="0" fontId="5" fillId="2" borderId="1" xfId="0" applyFont="1" applyFill="1" applyBorder="1" applyAlignment="1">
      <alignment wrapText="1"/>
    </xf>
    <xf numFmtId="0" fontId="6" fillId="0" borderId="1" xfId="0" applyFont="1" applyBorder="1" applyAlignment="1">
      <alignment vertical="center" wrapText="1"/>
    </xf>
    <xf numFmtId="6" fontId="6"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3" fillId="0" borderId="0" xfId="0" applyFont="1" applyBorder="1"/>
    <xf numFmtId="0" fontId="7" fillId="0" borderId="0" xfId="0" applyFont="1" applyBorder="1"/>
    <xf numFmtId="172" fontId="3" fillId="0" borderId="0" xfId="0" applyNumberFormat="1" applyFont="1" applyFill="1" applyBorder="1" applyAlignment="1">
      <alignment horizontal="right"/>
    </xf>
    <xf numFmtId="166" fontId="6" fillId="0" borderId="1" xfId="8" applyNumberFormat="1" applyFont="1" applyBorder="1" applyAlignment="1">
      <alignment horizontal="right" vertical="center"/>
    </xf>
    <xf numFmtId="166" fontId="6" fillId="0" borderId="1" xfId="0" applyNumberFormat="1" applyFont="1" applyBorder="1" applyAlignment="1">
      <alignment horizontal="right" vertical="center"/>
    </xf>
    <xf numFmtId="168" fontId="6" fillId="0" borderId="1" xfId="0" applyNumberFormat="1" applyFont="1" applyBorder="1" applyAlignment="1">
      <alignment horizontal="right" vertical="center" wrapText="1"/>
    </xf>
    <xf numFmtId="169" fontId="6" fillId="0" borderId="1" xfId="0" applyNumberFormat="1" applyFont="1" applyBorder="1" applyAlignment="1">
      <alignment horizontal="right" vertical="center" wrapText="1"/>
    </xf>
    <xf numFmtId="167" fontId="6" fillId="0" borderId="1" xfId="0" applyNumberFormat="1" applyFont="1" applyBorder="1" applyAlignment="1">
      <alignment horizontal="right" vertical="center"/>
    </xf>
    <xf numFmtId="0" fontId="6" fillId="0" borderId="1" xfId="0" applyFont="1" applyBorder="1" applyAlignment="1">
      <alignment horizontal="right" vertical="center"/>
    </xf>
    <xf numFmtId="168" fontId="5" fillId="0" borderId="1" xfId="0" applyNumberFormat="1" applyFont="1" applyBorder="1" applyAlignment="1">
      <alignment horizontal="right" vertical="center" wrapText="1"/>
    </xf>
    <xf numFmtId="0" fontId="6" fillId="0" borderId="1" xfId="0" applyFont="1" applyBorder="1" applyAlignment="1">
      <alignment horizontal="center" vertical="center" wrapText="1"/>
    </xf>
    <xf numFmtId="0" fontId="5" fillId="0" borderId="0" xfId="0" applyFont="1" applyBorder="1" applyAlignment="1">
      <alignment horizontal="center"/>
    </xf>
    <xf numFmtId="0" fontId="4" fillId="0" borderId="1" xfId="0" applyFont="1" applyBorder="1" applyAlignment="1">
      <alignment horizontal="left"/>
    </xf>
    <xf numFmtId="0" fontId="4" fillId="0" borderId="1" xfId="0" applyFont="1" applyBorder="1" applyAlignment="1">
      <alignment horizontal="center"/>
    </xf>
    <xf numFmtId="166" fontId="6" fillId="0" borderId="1" xfId="0" applyNumberFormat="1" applyFont="1" applyBorder="1" applyAlignment="1">
      <alignment horizontal="center" vertical="center"/>
    </xf>
    <xf numFmtId="10" fontId="6" fillId="0" borderId="1" xfId="0" applyNumberFormat="1" applyFont="1" applyBorder="1" applyAlignment="1">
      <alignment horizontal="center" vertical="center"/>
    </xf>
    <xf numFmtId="165" fontId="6" fillId="0" borderId="1" xfId="0" applyNumberFormat="1" applyFont="1" applyBorder="1" applyAlignment="1">
      <alignment horizontal="center" vertical="center"/>
    </xf>
    <xf numFmtId="164" fontId="6" fillId="0" borderId="1" xfId="0" applyNumberFormat="1" applyFont="1" applyBorder="1" applyAlignment="1">
      <alignment horizontal="center" vertical="center"/>
    </xf>
    <xf numFmtId="166" fontId="6" fillId="0" borderId="1" xfId="8" applyNumberFormat="1" applyFont="1" applyBorder="1" applyAlignment="1">
      <alignment horizontal="center" vertical="center"/>
    </xf>
    <xf numFmtId="0" fontId="5" fillId="0" borderId="1" xfId="0" applyFont="1" applyBorder="1" applyAlignment="1">
      <alignment horizontal="center" vertical="center"/>
    </xf>
    <xf numFmtId="166" fontId="6" fillId="0" borderId="1" xfId="0" applyNumberFormat="1" applyFont="1" applyBorder="1" applyAlignment="1">
      <alignment horizontal="right" vertical="center" wrapText="1"/>
    </xf>
    <xf numFmtId="0" fontId="5" fillId="0" borderId="2" xfId="0" applyFont="1" applyBorder="1" applyAlignment="1">
      <alignment horizontal="center" vertical="center"/>
    </xf>
    <xf numFmtId="0" fontId="6" fillId="0" borderId="3" xfId="0" applyFont="1" applyBorder="1" applyAlignment="1">
      <alignment horizontal="left" vertical="center" wrapText="1"/>
    </xf>
    <xf numFmtId="1" fontId="6" fillId="0" borderId="3" xfId="0" applyNumberFormat="1" applyFont="1" applyBorder="1" applyAlignment="1">
      <alignment horizontal="left" vertical="center" wrapText="1"/>
    </xf>
    <xf numFmtId="0" fontId="3"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right" vertical="center" wrapText="1"/>
    </xf>
    <xf numFmtId="0" fontId="6" fillId="0" borderId="1" xfId="0" applyFont="1" applyBorder="1" applyAlignment="1">
      <alignment horizontal="right" vertical="center" wrapText="1"/>
    </xf>
    <xf numFmtId="0" fontId="6" fillId="0" borderId="1" xfId="0" applyFont="1" applyFill="1" applyBorder="1" applyAlignment="1">
      <alignment horizontal="right" vertical="center"/>
    </xf>
    <xf numFmtId="0" fontId="5" fillId="0" borderId="1" xfId="0" applyFont="1" applyBorder="1" applyAlignment="1">
      <alignment horizontal="left" vertical="center"/>
    </xf>
    <xf numFmtId="0" fontId="6" fillId="0" borderId="1" xfId="0" applyFont="1" applyFill="1" applyBorder="1" applyAlignment="1">
      <alignment vertical="center"/>
    </xf>
    <xf numFmtId="0" fontId="5" fillId="0" borderId="1" xfId="0" applyFont="1" applyFill="1" applyBorder="1" applyAlignment="1">
      <alignment horizontal="left" vertical="center"/>
    </xf>
    <xf numFmtId="0" fontId="6" fillId="0" borderId="1" xfId="0" applyFont="1" applyFill="1" applyBorder="1" applyAlignment="1">
      <alignment horizontal="left" vertical="center"/>
    </xf>
    <xf numFmtId="0" fontId="6" fillId="0" borderId="5" xfId="0" applyFont="1" applyBorder="1" applyAlignment="1">
      <alignment horizontal="left" vertical="center" wrapText="1"/>
    </xf>
    <xf numFmtId="169" fontId="6" fillId="0" borderId="1" xfId="8" applyNumberFormat="1" applyFont="1" applyBorder="1" applyAlignment="1">
      <alignment horizontal="right" vertical="center"/>
    </xf>
    <xf numFmtId="168" fontId="6" fillId="0" borderId="1" xfId="3" applyNumberFormat="1" applyFont="1" applyBorder="1" applyAlignment="1">
      <alignment horizontal="center" vertical="center" wrapText="1"/>
    </xf>
    <xf numFmtId="0" fontId="10" fillId="0" borderId="6" xfId="4" applyFont="1" applyBorder="1" applyAlignment="1">
      <alignment vertical="center"/>
    </xf>
    <xf numFmtId="0" fontId="10" fillId="0" borderId="7" xfId="4" applyFont="1" applyBorder="1" applyAlignment="1">
      <alignment horizontal="center" vertical="center"/>
    </xf>
    <xf numFmtId="0" fontId="13" fillId="0" borderId="8" xfId="0" applyFont="1" applyFill="1" applyBorder="1"/>
    <xf numFmtId="0" fontId="12" fillId="0" borderId="0" xfId="0" applyFont="1"/>
    <xf numFmtId="0" fontId="0" fillId="0" borderId="0" xfId="0" applyFill="1"/>
    <xf numFmtId="171" fontId="6" fillId="0" borderId="1" xfId="0" applyNumberFormat="1" applyFont="1" applyFill="1" applyBorder="1" applyAlignment="1">
      <alignment horizontal="center" vertical="center" wrapText="1"/>
    </xf>
    <xf numFmtId="8" fontId="0" fillId="0" borderId="0" xfId="0" applyNumberFormat="1"/>
    <xf numFmtId="167" fontId="6" fillId="0" borderId="1" xfId="0" applyNumberFormat="1" applyFont="1" applyBorder="1" applyAlignment="1">
      <alignment horizontal="right" vertical="center" wrapText="1"/>
    </xf>
    <xf numFmtId="170" fontId="6" fillId="0" borderId="1" xfId="8" applyNumberFormat="1" applyFont="1" applyBorder="1" applyAlignment="1">
      <alignment horizontal="right" vertical="center"/>
    </xf>
    <xf numFmtId="169" fontId="6" fillId="0" borderId="1" xfId="8" applyNumberFormat="1" applyFont="1" applyFill="1" applyBorder="1" applyAlignment="1">
      <alignment horizontal="right" vertical="center"/>
    </xf>
    <xf numFmtId="167" fontId="6" fillId="0" borderId="1" xfId="8" applyNumberFormat="1" applyFont="1" applyBorder="1" applyAlignment="1">
      <alignment horizontal="right" vertical="center"/>
    </xf>
    <xf numFmtId="9" fontId="6" fillId="0" borderId="1" xfId="8" applyFont="1" applyFill="1" applyBorder="1" applyAlignment="1">
      <alignment horizontal="right" vertical="center"/>
    </xf>
    <xf numFmtId="9" fontId="6" fillId="0" borderId="1" xfId="8" applyNumberFormat="1" applyFont="1" applyFill="1" applyBorder="1" applyAlignment="1">
      <alignment horizontal="right" vertical="center"/>
    </xf>
    <xf numFmtId="0" fontId="5" fillId="0" borderId="0" xfId="0" applyFont="1" applyBorder="1" applyAlignment="1">
      <alignment horizontal="left"/>
    </xf>
    <xf numFmtId="0" fontId="6" fillId="0" borderId="0" xfId="0" applyFont="1" applyBorder="1" applyAlignment="1">
      <alignment vertical="center"/>
    </xf>
    <xf numFmtId="0" fontId="6" fillId="0" borderId="0" xfId="0" applyFont="1" applyBorder="1" applyAlignment="1">
      <alignment horizontal="left" vertical="center"/>
    </xf>
    <xf numFmtId="0" fontId="12" fillId="0" borderId="0" xfId="0" applyFont="1" applyBorder="1" applyAlignment="1">
      <alignment horizontal="center" vertical="center"/>
    </xf>
    <xf numFmtId="0" fontId="3" fillId="0" borderId="0" xfId="0" applyFont="1" applyAlignment="1">
      <alignment horizontal="right" wrapText="1"/>
    </xf>
    <xf numFmtId="0" fontId="13" fillId="0" borderId="0" xfId="0" applyFont="1" applyBorder="1"/>
    <xf numFmtId="0" fontId="4" fillId="0" borderId="0" xfId="0" applyFont="1" applyBorder="1" applyAlignment="1">
      <alignment horizontal="left" vertical="center"/>
    </xf>
    <xf numFmtId="169" fontId="6" fillId="0" borderId="1" xfId="0" applyNumberFormat="1" applyFont="1" applyBorder="1" applyAlignment="1">
      <alignment horizontal="center" vertical="center"/>
    </xf>
    <xf numFmtId="169" fontId="5" fillId="0" borderId="1" xfId="0" applyNumberFormat="1" applyFont="1" applyBorder="1" applyAlignment="1">
      <alignment horizontal="right" vertical="center" wrapText="1"/>
    </xf>
    <xf numFmtId="169" fontId="6" fillId="0" borderId="1" xfId="0" applyNumberFormat="1" applyFont="1" applyFill="1" applyBorder="1" applyAlignment="1">
      <alignment horizontal="right" vertical="center"/>
    </xf>
    <xf numFmtId="169" fontId="6" fillId="0" borderId="0" xfId="0" applyNumberFormat="1" applyFont="1" applyBorder="1" applyAlignment="1">
      <alignment horizontal="left" vertical="center"/>
    </xf>
    <xf numFmtId="0" fontId="5" fillId="0" borderId="1" xfId="0" applyFont="1" applyFill="1" applyBorder="1" applyAlignment="1">
      <alignment horizontal="center" vertical="center"/>
    </xf>
    <xf numFmtId="169" fontId="6" fillId="0" borderId="1" xfId="1" applyNumberFormat="1" applyFont="1" applyFill="1" applyBorder="1" applyAlignment="1">
      <alignment horizontal="right" vertical="center"/>
    </xf>
    <xf numFmtId="166" fontId="5" fillId="0" borderId="1" xfId="8" applyNumberFormat="1" applyFont="1" applyFill="1" applyBorder="1" applyAlignment="1">
      <alignment horizontal="right" vertical="center"/>
    </xf>
    <xf numFmtId="169" fontId="15" fillId="0" borderId="1" xfId="0" applyNumberFormat="1" applyFont="1" applyFill="1" applyBorder="1" applyAlignment="1">
      <alignment horizontal="right" vertical="center"/>
    </xf>
    <xf numFmtId="166" fontId="6" fillId="0" borderId="0" xfId="8" applyNumberFormat="1" applyFont="1" applyBorder="1"/>
    <xf numFmtId="0" fontId="14" fillId="0" borderId="0" xfId="0" applyFont="1" applyBorder="1" applyAlignment="1">
      <alignment vertical="center"/>
    </xf>
    <xf numFmtId="0" fontId="14" fillId="0" borderId="0" xfId="0" applyFont="1" applyBorder="1" applyAlignment="1">
      <alignment horizontal="left" vertical="center"/>
    </xf>
    <xf numFmtId="0" fontId="6" fillId="0" borderId="1" xfId="0" applyFont="1" applyBorder="1" applyAlignment="1">
      <alignment horizontal="left" vertical="center" wrapText="1"/>
    </xf>
    <xf numFmtId="0" fontId="6" fillId="3" borderId="1" xfId="0" applyFont="1" applyFill="1" applyBorder="1" applyAlignment="1">
      <alignment vertical="center"/>
    </xf>
    <xf numFmtId="0" fontId="6" fillId="4" borderId="1" xfId="0" applyFont="1" applyFill="1" applyBorder="1" applyAlignment="1">
      <alignment vertical="center"/>
    </xf>
    <xf numFmtId="166" fontId="5" fillId="4" borderId="1" xfId="8" applyNumberFormat="1" applyFont="1" applyFill="1" applyBorder="1" applyAlignment="1">
      <alignment horizontal="right" vertical="center"/>
    </xf>
    <xf numFmtId="0" fontId="6" fillId="5" borderId="1" xfId="0" applyFont="1" applyFill="1" applyBorder="1" applyAlignment="1">
      <alignment horizontal="left" vertical="center"/>
    </xf>
    <xf numFmtId="0" fontId="6" fillId="5" borderId="1" xfId="0" applyFont="1" applyFill="1" applyBorder="1" applyAlignment="1">
      <alignment horizontal="right" vertical="center"/>
    </xf>
    <xf numFmtId="0" fontId="6" fillId="5" borderId="13" xfId="0" applyFont="1" applyFill="1" applyBorder="1" applyAlignment="1">
      <alignment horizontal="left" vertical="center"/>
    </xf>
    <xf numFmtId="0" fontId="6" fillId="5" borderId="13" xfId="0" applyFont="1" applyFill="1" applyBorder="1" applyAlignment="1">
      <alignment horizontal="right" vertical="center"/>
    </xf>
    <xf numFmtId="0" fontId="7" fillId="0" borderId="6" xfId="0" applyFont="1" applyFill="1" applyBorder="1" applyAlignment="1">
      <alignment vertical="top"/>
    </xf>
    <xf numFmtId="0" fontId="7" fillId="0" borderId="7" xfId="0" applyFont="1" applyFill="1" applyBorder="1" applyAlignment="1">
      <alignment vertical="top" wrapText="1"/>
    </xf>
    <xf numFmtId="0" fontId="7" fillId="0" borderId="20" xfId="0" applyFont="1" applyFill="1" applyBorder="1" applyAlignment="1">
      <alignment horizontal="center" vertical="top"/>
    </xf>
    <xf numFmtId="0" fontId="10" fillId="0" borderId="20" xfId="4" applyFont="1" applyBorder="1" applyAlignment="1">
      <alignment horizontal="center" vertical="center" wrapText="1"/>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0" fillId="0" borderId="10" xfId="0" applyBorder="1" applyAlignment="1">
      <alignment horizontal="left"/>
    </xf>
    <xf numFmtId="0" fontId="0" fillId="0" borderId="11" xfId="0" applyBorder="1" applyAlignment="1">
      <alignment horizontal="left"/>
    </xf>
    <xf numFmtId="0" fontId="5" fillId="0" borderId="3" xfId="0" applyFont="1" applyBorder="1" applyAlignment="1">
      <alignment horizontal="right" vertical="center" wrapText="1"/>
    </xf>
    <xf numFmtId="0" fontId="6" fillId="0" borderId="3" xfId="0" applyFont="1" applyBorder="1" applyAlignment="1">
      <alignment horizontal="right" vertical="center"/>
    </xf>
    <xf numFmtId="0" fontId="6" fillId="0" borderId="3" xfId="0" applyFont="1" applyFill="1" applyBorder="1" applyAlignment="1">
      <alignment horizontal="right" vertical="center"/>
    </xf>
    <xf numFmtId="0" fontId="6" fillId="0" borderId="14" xfId="0" applyFont="1" applyFill="1" applyBorder="1" applyAlignment="1">
      <alignment horizontal="right" vertical="center"/>
    </xf>
    <xf numFmtId="168" fontId="6" fillId="0" borderId="1" xfId="0" applyNumberFormat="1" applyFont="1" applyBorder="1" applyAlignment="1">
      <alignment horizontal="center" vertical="center"/>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5" fillId="2" borderId="1" xfId="0" applyFont="1" applyFill="1" applyBorder="1" applyAlignment="1">
      <alignment vertical="center" wrapText="1"/>
    </xf>
    <xf numFmtId="1" fontId="0" fillId="0" borderId="0" xfId="0" applyNumberFormat="1"/>
    <xf numFmtId="0" fontId="6" fillId="0" borderId="1" xfId="0" applyFont="1" applyBorder="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168" fontId="0" fillId="0" borderId="0" xfId="0" applyNumberFormat="1"/>
    <xf numFmtId="0" fontId="6" fillId="0" borderId="0" xfId="0" applyFont="1" applyFill="1" applyBorder="1" applyAlignment="1">
      <alignment horizontal="left" vertical="center"/>
    </xf>
    <xf numFmtId="0" fontId="4" fillId="0" borderId="0" xfId="0" applyFont="1" applyAlignment="1"/>
    <xf numFmtId="10" fontId="14" fillId="0" borderId="1" xfId="8" applyNumberFormat="1" applyFont="1" applyBorder="1" applyAlignment="1">
      <alignment vertical="center"/>
    </xf>
    <xf numFmtId="0" fontId="5" fillId="0" borderId="1" xfId="0" applyFont="1" applyBorder="1" applyAlignment="1">
      <alignment horizontal="center" vertical="center"/>
    </xf>
    <xf numFmtId="0" fontId="16" fillId="0" borderId="0" xfId="0" applyFont="1" applyAlignment="1"/>
    <xf numFmtId="0" fontId="16" fillId="0" borderId="0" xfId="0" applyFont="1" applyBorder="1" applyAlignment="1">
      <alignment horizontal="left" vertical="center"/>
    </xf>
    <xf numFmtId="0" fontId="5" fillId="0" borderId="1" xfId="0" applyFont="1" applyBorder="1" applyAlignment="1">
      <alignment horizontal="center" vertical="center" wrapText="1"/>
    </xf>
    <xf numFmtId="0" fontId="12" fillId="0" borderId="0" xfId="0" applyFont="1" applyBorder="1"/>
    <xf numFmtId="0" fontId="7" fillId="0" borderId="0" xfId="7" applyFont="1" applyFill="1" applyBorder="1" applyAlignment="1">
      <alignment vertical="top"/>
    </xf>
    <xf numFmtId="0" fontId="7" fillId="0" borderId="0" xfId="7" applyFont="1" applyFill="1" applyBorder="1" applyAlignment="1">
      <alignment vertical="top" wrapText="1"/>
    </xf>
    <xf numFmtId="0" fontId="7" fillId="0" borderId="0" xfId="7" applyFont="1" applyFill="1" applyBorder="1" applyAlignment="1">
      <alignment horizontal="center" vertical="top"/>
    </xf>
    <xf numFmtId="0" fontId="7" fillId="0" borderId="1" xfId="15" applyFont="1" applyFill="1" applyBorder="1" applyAlignment="1">
      <alignment vertical="top" wrapText="1"/>
    </xf>
    <xf numFmtId="0" fontId="7" fillId="0" borderId="3" xfId="15" applyFont="1" applyFill="1" applyBorder="1" applyAlignment="1">
      <alignment vertical="top"/>
    </xf>
    <xf numFmtId="0" fontId="7" fillId="0" borderId="17" xfId="15" applyFont="1" applyFill="1" applyBorder="1" applyAlignment="1">
      <alignment horizontal="center" vertical="top"/>
    </xf>
    <xf numFmtId="0" fontId="7" fillId="0" borderId="14" xfId="15" applyFont="1" applyFill="1" applyBorder="1" applyAlignment="1">
      <alignment vertical="top"/>
    </xf>
    <xf numFmtId="0" fontId="7" fillId="0" borderId="15" xfId="15" applyFont="1" applyFill="1" applyBorder="1" applyAlignment="1">
      <alignment vertical="top" wrapText="1"/>
    </xf>
    <xf numFmtId="0" fontId="7" fillId="0" borderId="18" xfId="15" applyFont="1" applyFill="1" applyBorder="1" applyAlignment="1">
      <alignment horizontal="center" vertical="top"/>
    </xf>
    <xf numFmtId="0" fontId="7" fillId="0" borderId="4" xfId="15" applyFont="1" applyFill="1" applyBorder="1" applyAlignment="1">
      <alignment vertical="top"/>
    </xf>
    <xf numFmtId="0" fontId="7" fillId="0" borderId="2" xfId="15" applyFont="1" applyFill="1" applyBorder="1" applyAlignment="1">
      <alignment vertical="top" wrapText="1"/>
    </xf>
    <xf numFmtId="0" fontId="7" fillId="0" borderId="29" xfId="15" applyFont="1" applyFill="1" applyBorder="1" applyAlignment="1">
      <alignment horizontal="center" vertical="top"/>
    </xf>
    <xf numFmtId="1" fontId="13" fillId="0" borderId="0" xfId="8" applyNumberFormat="1" applyFont="1" applyBorder="1" applyAlignment="1">
      <alignment horizontal="right"/>
    </xf>
    <xf numFmtId="0" fontId="5" fillId="0" borderId="1" xfId="0" applyFont="1" applyFill="1" applyBorder="1" applyAlignment="1">
      <alignment horizontal="right" vertical="center"/>
    </xf>
    <xf numFmtId="0" fontId="5" fillId="0" borderId="1" xfId="0" applyFont="1" applyBorder="1" applyAlignment="1">
      <alignment horizontal="left"/>
    </xf>
    <xf numFmtId="0" fontId="4" fillId="0" borderId="1" xfId="0" applyFont="1" applyBorder="1" applyAlignment="1">
      <alignment horizontal="center" vertical="center"/>
    </xf>
    <xf numFmtId="0" fontId="9" fillId="0" borderId="0" xfId="0" applyFont="1" applyFill="1" applyBorder="1" applyAlignment="1">
      <alignment horizontal="left" vertical="center"/>
    </xf>
    <xf numFmtId="3" fontId="6" fillId="0" borderId="1" xfId="0" applyNumberFormat="1" applyFont="1" applyBorder="1" applyAlignment="1">
      <alignment horizontal="right" vertical="center"/>
    </xf>
    <xf numFmtId="3" fontId="6" fillId="0" borderId="1" xfId="0" applyNumberFormat="1" applyFont="1" applyFill="1" applyBorder="1" applyAlignment="1">
      <alignment horizontal="right" vertical="center"/>
    </xf>
    <xf numFmtId="3" fontId="0" fillId="0" borderId="0" xfId="0" applyNumberFormat="1"/>
    <xf numFmtId="1" fontId="6" fillId="0" borderId="1" xfId="0" applyNumberFormat="1" applyFont="1" applyBorder="1" applyAlignment="1">
      <alignment horizontal="right" vertical="center"/>
    </xf>
    <xf numFmtId="3" fontId="6" fillId="0" borderId="1" xfId="1" applyNumberFormat="1" applyFont="1" applyFill="1" applyBorder="1" applyAlignment="1">
      <alignment horizontal="right" vertical="center"/>
    </xf>
    <xf numFmtId="3" fontId="6" fillId="3" borderId="1" xfId="1" applyNumberFormat="1" applyFont="1" applyFill="1" applyBorder="1" applyAlignment="1">
      <alignment horizontal="right" vertical="center"/>
    </xf>
    <xf numFmtId="3" fontId="6" fillId="3" borderId="1" xfId="0" applyNumberFormat="1" applyFont="1" applyFill="1" applyBorder="1" applyAlignment="1">
      <alignment horizontal="right" vertical="center"/>
    </xf>
    <xf numFmtId="169" fontId="0" fillId="0" borderId="0" xfId="0" applyNumberFormat="1"/>
    <xf numFmtId="169" fontId="6" fillId="0" borderId="1" xfId="0" applyNumberFormat="1" applyFont="1" applyBorder="1" applyAlignment="1">
      <alignment horizontal="right" vertical="center"/>
    </xf>
    <xf numFmtId="169" fontId="5" fillId="0" borderId="1" xfId="1" applyNumberFormat="1" applyFont="1" applyBorder="1" applyAlignment="1">
      <alignment horizontal="right" vertical="center"/>
    </xf>
    <xf numFmtId="169" fontId="5" fillId="0" borderId="1" xfId="0" applyNumberFormat="1" applyFont="1" applyBorder="1" applyAlignment="1">
      <alignment horizontal="right" vertical="center"/>
    </xf>
    <xf numFmtId="169" fontId="6" fillId="0" borderId="1" xfId="1" applyNumberFormat="1" applyFont="1" applyFill="1" applyBorder="1" applyAlignment="1">
      <alignment vertical="center"/>
    </xf>
    <xf numFmtId="14" fontId="4" fillId="0" borderId="1" xfId="0" applyNumberFormat="1" applyFont="1" applyBorder="1" applyAlignment="1">
      <alignment horizontal="center" vertical="center"/>
    </xf>
    <xf numFmtId="0" fontId="4" fillId="0" borderId="1" xfId="0" applyFont="1" applyBorder="1" applyAlignment="1">
      <alignment horizontal="left" vertical="center"/>
    </xf>
    <xf numFmtId="0" fontId="16" fillId="0" borderId="1" xfId="0" applyFont="1" applyBorder="1" applyAlignment="1">
      <alignment horizontal="left"/>
    </xf>
    <xf numFmtId="0" fontId="6" fillId="0" borderId="1" xfId="0" applyFont="1" applyBorder="1" applyAlignment="1">
      <alignment horizontal="right"/>
    </xf>
    <xf numFmtId="0" fontId="6" fillId="0" borderId="12" xfId="0" applyFont="1" applyFill="1" applyBorder="1" applyAlignment="1">
      <alignment horizontal="right" vertical="center"/>
    </xf>
    <xf numFmtId="0" fontId="0" fillId="0" borderId="1" xfId="0" applyBorder="1"/>
    <xf numFmtId="0" fontId="6" fillId="0" borderId="1" xfId="0" applyFont="1" applyBorder="1" applyAlignment="1">
      <alignment horizontal="center" vertical="center"/>
    </xf>
    <xf numFmtId="0" fontId="6" fillId="2" borderId="1" xfId="0" applyFont="1" applyFill="1" applyBorder="1" applyAlignment="1">
      <alignment wrapText="1"/>
    </xf>
    <xf numFmtId="0" fontId="6" fillId="0" borderId="1" xfId="0" applyFont="1" applyFill="1" applyBorder="1" applyAlignment="1">
      <alignment horizontal="center" vertical="center" wrapText="1"/>
    </xf>
    <xf numFmtId="0" fontId="13" fillId="0" borderId="1" xfId="0" applyFont="1" applyBorder="1" applyAlignment="1">
      <alignment horizontal="left" vertical="center"/>
    </xf>
    <xf numFmtId="1" fontId="5" fillId="0" borderId="3" xfId="0" applyNumberFormat="1" applyFont="1" applyBorder="1" applyAlignment="1">
      <alignment horizontal="left" vertical="center" wrapText="1"/>
    </xf>
    <xf numFmtId="165" fontId="0" fillId="0" borderId="0" xfId="0" applyNumberFormat="1"/>
    <xf numFmtId="2" fontId="13" fillId="0" borderId="0" xfId="8" applyNumberFormat="1" applyFont="1" applyBorder="1" applyAlignment="1">
      <alignment horizontal="right"/>
    </xf>
    <xf numFmtId="169" fontId="6" fillId="0" borderId="1" xfId="0" applyNumberFormat="1" applyFont="1" applyFill="1" applyBorder="1" applyAlignment="1">
      <alignment horizontal="left" vertical="center"/>
    </xf>
    <xf numFmtId="0" fontId="6" fillId="0" borderId="1" xfId="0" applyFont="1" applyFill="1" applyBorder="1" applyAlignment="1">
      <alignment vertical="center"/>
    </xf>
    <xf numFmtId="0" fontId="6" fillId="0" borderId="17" xfId="0" applyFont="1" applyFill="1" applyBorder="1" applyAlignment="1">
      <alignment vertical="center"/>
    </xf>
    <xf numFmtId="169" fontId="6" fillId="0" borderId="15" xfId="0" applyNumberFormat="1" applyFont="1" applyFill="1" applyBorder="1" applyAlignment="1">
      <alignment horizontal="left" vertical="center"/>
    </xf>
    <xf numFmtId="0" fontId="6" fillId="0" borderId="15" xfId="0" applyFont="1" applyFill="1" applyBorder="1" applyAlignment="1">
      <alignment vertical="center"/>
    </xf>
    <xf numFmtId="0" fontId="6" fillId="0" borderId="18" xfId="0" applyFont="1" applyFill="1" applyBorder="1" applyAlignment="1">
      <alignment vertical="center"/>
    </xf>
    <xf numFmtId="0" fontId="6" fillId="0" borderId="5" xfId="6" applyFont="1" applyFill="1" applyBorder="1" applyAlignment="1">
      <alignment vertical="center"/>
    </xf>
    <xf numFmtId="0" fontId="6" fillId="0" borderId="24" xfId="6" applyFont="1" applyFill="1" applyBorder="1" applyAlignment="1">
      <alignment vertical="center"/>
    </xf>
    <xf numFmtId="0" fontId="6" fillId="0" borderId="25" xfId="6" applyFont="1" applyFill="1" applyBorder="1" applyAlignment="1">
      <alignment vertical="center"/>
    </xf>
    <xf numFmtId="0" fontId="5" fillId="0" borderId="1" xfId="0" applyFont="1" applyBorder="1" applyAlignment="1">
      <alignment horizontal="left" vertical="center" wrapText="1"/>
    </xf>
    <xf numFmtId="0" fontId="5" fillId="0" borderId="5" xfId="0" applyFont="1" applyBorder="1" applyAlignment="1">
      <alignment horizontal="left" vertical="center" wrapText="1"/>
    </xf>
    <xf numFmtId="0" fontId="5" fillId="0" borderId="24" xfId="0" applyFont="1" applyBorder="1" applyAlignment="1">
      <alignment horizontal="left" vertical="center" wrapText="1"/>
    </xf>
    <xf numFmtId="0" fontId="5" fillId="0" borderId="19" xfId="0" applyFont="1" applyBorder="1" applyAlignment="1">
      <alignment horizontal="left" vertical="center" wrapText="1"/>
    </xf>
    <xf numFmtId="0" fontId="5" fillId="0" borderId="1" xfId="0" applyFont="1" applyBorder="1" applyAlignment="1">
      <alignment horizontal="left" vertical="center"/>
    </xf>
    <xf numFmtId="0" fontId="0" fillId="0" borderId="1" xfId="0" applyBorder="1" applyAlignment="1">
      <alignment horizontal="left"/>
    </xf>
    <xf numFmtId="169" fontId="9" fillId="0" borderId="13" xfId="8" applyNumberFormat="1" applyFont="1" applyBorder="1" applyAlignment="1">
      <alignment horizontal="center" vertical="center" wrapText="1"/>
    </xf>
    <xf numFmtId="169" fontId="9" fillId="0" borderId="16" xfId="0" applyNumberFormat="1" applyFont="1" applyBorder="1" applyAlignment="1">
      <alignment horizontal="center" vertical="center" wrapText="1"/>
    </xf>
    <xf numFmtId="169" fontId="9" fillId="0" borderId="2" xfId="0" applyNumberFormat="1" applyFont="1" applyBorder="1" applyAlignment="1">
      <alignment horizontal="center" vertical="center" wrapTex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2" xfId="0" applyFont="1" applyBorder="1" applyAlignment="1">
      <alignment horizontal="left" vertical="center"/>
    </xf>
    <xf numFmtId="0" fontId="5" fillId="0" borderId="24" xfId="0" applyFont="1"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5" fillId="0" borderId="1" xfId="0" applyFont="1" applyBorder="1" applyAlignment="1">
      <alignment horizontal="center" vertical="center" wrapText="1"/>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5" fillId="0" borderId="1" xfId="0" applyFont="1" applyBorder="1" applyAlignment="1">
      <alignment horizontal="left"/>
    </xf>
    <xf numFmtId="0" fontId="6" fillId="0" borderId="1" xfId="0" applyFont="1" applyBorder="1" applyAlignment="1">
      <alignment vertical="center"/>
    </xf>
    <xf numFmtId="0" fontId="6" fillId="0" borderId="1" xfId="0" applyFont="1" applyBorder="1" applyAlignment="1">
      <alignment horizontal="left" vertical="center"/>
    </xf>
    <xf numFmtId="0" fontId="6" fillId="0" borderId="13" xfId="0" applyFont="1" applyBorder="1" applyAlignment="1">
      <alignment vertical="center"/>
    </xf>
    <xf numFmtId="0" fontId="4" fillId="0" borderId="0" xfId="0" applyFont="1" applyAlignment="1"/>
    <xf numFmtId="0" fontId="6" fillId="0" borderId="9" xfId="0" applyFont="1" applyFill="1" applyBorder="1" applyAlignment="1">
      <alignment vertical="center" wrapText="1"/>
    </xf>
    <xf numFmtId="0" fontId="6" fillId="0" borderId="10" xfId="0" applyFont="1" applyFill="1" applyBorder="1" applyAlignment="1">
      <alignment vertical="center" wrapText="1"/>
    </xf>
    <xf numFmtId="0" fontId="6" fillId="0" borderId="1" xfId="0" applyFont="1" applyFill="1" applyBorder="1" applyAlignment="1">
      <alignment horizontal="left" vertical="center"/>
    </xf>
    <xf numFmtId="0" fontId="4" fillId="0" borderId="13" xfId="4" applyFont="1" applyBorder="1" applyAlignment="1">
      <alignment horizontal="center" vertical="center"/>
    </xf>
    <xf numFmtId="0" fontId="4" fillId="0" borderId="26" xfId="5" applyFont="1" applyFill="1" applyBorder="1" applyAlignment="1">
      <alignment horizontal="center" vertical="center"/>
    </xf>
    <xf numFmtId="0" fontId="4" fillId="0" borderId="27" xfId="5" applyFont="1" applyFill="1" applyBorder="1" applyAlignment="1">
      <alignment horizontal="center" vertical="center"/>
    </xf>
    <xf numFmtId="0" fontId="4" fillId="0" borderId="28" xfId="5" applyFont="1" applyFill="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4" fillId="0" borderId="1" xfId="0" applyFont="1" applyBorder="1" applyAlignment="1">
      <alignment horizontal="center" vertical="center"/>
    </xf>
    <xf numFmtId="0" fontId="4" fillId="5" borderId="1" xfId="0" applyFont="1" applyFill="1" applyBorder="1" applyAlignment="1">
      <alignment horizontal="center" vertical="center"/>
    </xf>
    <xf numFmtId="0" fontId="9" fillId="0" borderId="0" xfId="0" applyFont="1" applyBorder="1" applyAlignment="1">
      <alignment vertical="top" wrapText="1"/>
    </xf>
    <xf numFmtId="169" fontId="5" fillId="0" borderId="1" xfId="1" applyNumberFormat="1" applyFont="1" applyFill="1" applyBorder="1" applyAlignment="1">
      <alignment vertical="center"/>
    </xf>
  </cellXfs>
  <cellStyles count="16">
    <cellStyle name="Comma" xfId="1" builtinId="3"/>
    <cellStyle name="Comma 2" xfId="2"/>
    <cellStyle name="Comma 2 2" xfId="10"/>
    <cellStyle name="Comma 3" xfId="9"/>
    <cellStyle name="Currency" xfId="3" builtinId="4"/>
    <cellStyle name="Currency 2" xfId="11"/>
    <cellStyle name="Normal" xfId="0" builtinId="0"/>
    <cellStyle name="Normal 2" xfId="4"/>
    <cellStyle name="Normal 2 2" xfId="5"/>
    <cellStyle name="Normal 2 3" xfId="12"/>
    <cellStyle name="Normal 3" xfId="15"/>
    <cellStyle name="Normal 4 3" xfId="6"/>
    <cellStyle name="Normal 6" xfId="7"/>
    <cellStyle name="Normal 6 2" xfId="13"/>
    <cellStyle name="Percent" xfId="8" builtinId="5"/>
    <cellStyle name="Percent 2"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1"/>
  <sheetViews>
    <sheetView tabSelected="1" zoomScaleNormal="100" workbookViewId="0">
      <selection sqref="A1:F1"/>
    </sheetView>
  </sheetViews>
  <sheetFormatPr defaultRowHeight="12.75" x14ac:dyDescent="0.2"/>
  <cols>
    <col min="1" max="1" width="50.7109375" customWidth="1"/>
    <col min="2" max="10" width="16.7109375" customWidth="1"/>
    <col min="11" max="11" width="18.28515625" customWidth="1"/>
    <col min="12" max="14" width="16.7109375" customWidth="1"/>
  </cols>
  <sheetData>
    <row r="1" spans="1:14" ht="18" x14ac:dyDescent="0.25">
      <c r="A1" s="186" t="s">
        <v>116</v>
      </c>
      <c r="B1" s="187"/>
      <c r="C1" s="187"/>
      <c r="D1" s="187"/>
      <c r="E1" s="187"/>
      <c r="F1" s="187"/>
      <c r="G1" s="147">
        <v>42115</v>
      </c>
      <c r="H1" s="148" t="s">
        <v>207</v>
      </c>
      <c r="I1" s="24" t="s">
        <v>12</v>
      </c>
    </row>
    <row r="2" spans="1:14" ht="18" x14ac:dyDescent="0.25">
      <c r="A2" s="156" t="s">
        <v>226</v>
      </c>
      <c r="B2" s="149"/>
      <c r="C2" s="149"/>
      <c r="D2" s="149"/>
      <c r="E2" s="149"/>
      <c r="F2" s="149"/>
      <c r="G2" s="149"/>
      <c r="H2" s="149"/>
    </row>
    <row r="3" spans="1:14" ht="20.100000000000001" customHeight="1" x14ac:dyDescent="0.25">
      <c r="A3" s="25"/>
      <c r="B3" s="26" t="s">
        <v>13</v>
      </c>
      <c r="C3" s="188" t="s">
        <v>41</v>
      </c>
      <c r="D3" s="188"/>
      <c r="E3" s="188"/>
      <c r="F3" s="188"/>
      <c r="G3" s="188"/>
      <c r="H3" s="188"/>
      <c r="I3" s="62"/>
      <c r="J3" s="62"/>
      <c r="K3" s="62"/>
    </row>
    <row r="4" spans="1:14" ht="20.100000000000001" customHeight="1" x14ac:dyDescent="0.2">
      <c r="A4" s="105" t="s">
        <v>35</v>
      </c>
      <c r="B4" s="27">
        <v>0.157</v>
      </c>
      <c r="C4" s="189" t="s">
        <v>118</v>
      </c>
      <c r="D4" s="189"/>
      <c r="E4" s="189"/>
      <c r="F4" s="189"/>
      <c r="G4" s="189"/>
      <c r="H4" s="189"/>
      <c r="I4" s="63"/>
      <c r="J4" s="78" t="s">
        <v>12</v>
      </c>
      <c r="K4" s="63"/>
    </row>
    <row r="5" spans="1:14" ht="20.100000000000001" customHeight="1" x14ac:dyDescent="0.2">
      <c r="A5" s="105" t="s">
        <v>36</v>
      </c>
      <c r="B5" s="28">
        <v>5.7099999999999998E-2</v>
      </c>
      <c r="C5" s="189"/>
      <c r="D5" s="189"/>
      <c r="E5" s="189"/>
      <c r="F5" s="189"/>
      <c r="G5" s="189"/>
      <c r="H5" s="189"/>
      <c r="I5" s="63"/>
      <c r="J5" s="78" t="s">
        <v>12</v>
      </c>
      <c r="K5" s="63"/>
    </row>
    <row r="6" spans="1:14" ht="20.100000000000001" customHeight="1" x14ac:dyDescent="0.2">
      <c r="A6" s="105" t="s">
        <v>37</v>
      </c>
      <c r="B6" s="29">
        <f>ROUND((1+B4)*(1-B5),4)</f>
        <v>1.0909</v>
      </c>
      <c r="C6" s="190"/>
      <c r="D6" s="190"/>
      <c r="E6" s="190"/>
      <c r="F6" s="190"/>
      <c r="G6" s="190"/>
      <c r="H6" s="190"/>
      <c r="I6" s="64"/>
      <c r="J6" s="79" t="s">
        <v>12</v>
      </c>
      <c r="K6" s="64"/>
    </row>
    <row r="7" spans="1:14" ht="20.100000000000001" customHeight="1" x14ac:dyDescent="0.2">
      <c r="A7" s="105" t="s">
        <v>42</v>
      </c>
      <c r="B7" s="30">
        <v>0.95099999999999996</v>
      </c>
      <c r="C7" s="190" t="s">
        <v>12</v>
      </c>
      <c r="D7" s="190"/>
      <c r="E7" s="190"/>
      <c r="F7" s="190"/>
      <c r="G7" s="190"/>
      <c r="H7" s="190"/>
      <c r="I7" s="64"/>
      <c r="J7" s="64"/>
      <c r="K7" s="64"/>
    </row>
    <row r="8" spans="1:14" ht="20.100000000000001" customHeight="1" x14ac:dyDescent="0.2">
      <c r="A8" s="105" t="s">
        <v>38</v>
      </c>
      <c r="B8" s="69">
        <f>F37</f>
        <v>161418.4</v>
      </c>
      <c r="C8" s="189" t="s">
        <v>117</v>
      </c>
      <c r="D8" s="189"/>
      <c r="E8" s="189"/>
      <c r="F8" s="189"/>
      <c r="G8" s="189"/>
      <c r="H8" s="189"/>
      <c r="I8" s="64"/>
      <c r="J8" s="72" t="s">
        <v>12</v>
      </c>
      <c r="K8" s="64"/>
    </row>
    <row r="9" spans="1:14" ht="20.100000000000001" customHeight="1" x14ac:dyDescent="0.2">
      <c r="A9" s="105" t="s">
        <v>43</v>
      </c>
      <c r="B9" s="31">
        <v>2.5000000000000001E-2</v>
      </c>
      <c r="C9" s="189" t="s">
        <v>12</v>
      </c>
      <c r="D9" s="189"/>
      <c r="E9" s="189"/>
      <c r="F9" s="189"/>
      <c r="G9" s="189"/>
      <c r="H9" s="189"/>
      <c r="I9" s="63"/>
      <c r="J9" s="63"/>
      <c r="K9" s="63"/>
    </row>
    <row r="10" spans="1:14" ht="20.100000000000001" customHeight="1" x14ac:dyDescent="0.2">
      <c r="A10" s="105" t="s">
        <v>222</v>
      </c>
      <c r="B10" s="100">
        <f>ROUND(MAX(B20*0.3, 20)*365,2)</f>
        <v>32689.040000000001</v>
      </c>
      <c r="C10" s="191" t="s">
        <v>119</v>
      </c>
      <c r="D10" s="191"/>
      <c r="E10" s="191"/>
      <c r="F10" s="191"/>
      <c r="G10" s="191"/>
      <c r="H10" s="191"/>
      <c r="I10" s="63"/>
      <c r="J10" s="63"/>
      <c r="K10" s="63"/>
    </row>
    <row r="11" spans="1:14" ht="20.100000000000001" customHeight="1" x14ac:dyDescent="0.2">
      <c r="A11" s="105" t="s">
        <v>12</v>
      </c>
      <c r="B11" s="100" t="s">
        <v>12</v>
      </c>
      <c r="C11" s="185"/>
      <c r="D11" s="185"/>
      <c r="E11" s="185"/>
      <c r="F11" s="185"/>
      <c r="G11" s="185"/>
      <c r="H11" s="185"/>
      <c r="I11" s="185"/>
      <c r="J11" s="185"/>
      <c r="K11" s="185"/>
      <c r="L11" s="185"/>
      <c r="M11" s="185"/>
      <c r="N11" s="185"/>
    </row>
    <row r="12" spans="1:14" ht="30" customHeight="1" x14ac:dyDescent="0.2">
      <c r="A12" s="37" t="s">
        <v>12</v>
      </c>
      <c r="B12" s="34" t="s">
        <v>13</v>
      </c>
      <c r="C12" s="34" t="s">
        <v>17</v>
      </c>
      <c r="D12" s="34" t="s">
        <v>16</v>
      </c>
      <c r="E12" s="34" t="s">
        <v>14</v>
      </c>
      <c r="F12" s="34" t="s">
        <v>8</v>
      </c>
      <c r="G12" s="34" t="s">
        <v>44</v>
      </c>
      <c r="H12" s="34" t="s">
        <v>45</v>
      </c>
      <c r="I12" s="34" t="s">
        <v>7</v>
      </c>
      <c r="J12" s="106" t="s">
        <v>53</v>
      </c>
      <c r="K12" s="106" t="s">
        <v>89</v>
      </c>
      <c r="L12" s="73" t="s">
        <v>18</v>
      </c>
      <c r="M12" s="73" t="s">
        <v>3</v>
      </c>
      <c r="N12" s="73" t="s">
        <v>102</v>
      </c>
    </row>
    <row r="13" spans="1:14" ht="20.100000000000001" customHeight="1" x14ac:dyDescent="0.2">
      <c r="A13" s="35" t="s">
        <v>9</v>
      </c>
      <c r="B13" s="19" t="s">
        <v>24</v>
      </c>
      <c r="C13" s="19">
        <f>B64</f>
        <v>-1900</v>
      </c>
      <c r="D13" s="143">
        <f>B61</f>
        <v>2850</v>
      </c>
      <c r="E13" s="143">
        <f>B62</f>
        <v>5160</v>
      </c>
      <c r="F13" s="143">
        <f>B58</f>
        <v>5800</v>
      </c>
      <c r="G13" s="143">
        <f>B59</f>
        <v>2350</v>
      </c>
      <c r="H13" s="143">
        <f>B50</f>
        <v>1360</v>
      </c>
      <c r="I13" s="143">
        <f>B56</f>
        <v>3470</v>
      </c>
      <c r="J13" s="143">
        <f>B41</f>
        <v>4520</v>
      </c>
      <c r="K13" s="143">
        <f>B42</f>
        <v>3340</v>
      </c>
      <c r="L13" s="143">
        <f>B44</f>
        <v>860</v>
      </c>
      <c r="M13" s="143">
        <f>B43</f>
        <v>4550</v>
      </c>
      <c r="N13" s="143">
        <f>B57</f>
        <v>-500</v>
      </c>
    </row>
    <row r="14" spans="1:14" ht="20.100000000000001" customHeight="1" x14ac:dyDescent="0.2">
      <c r="A14" s="35" t="s">
        <v>11</v>
      </c>
      <c r="B14" s="19" t="s">
        <v>24</v>
      </c>
      <c r="C14" s="19">
        <f>C64</f>
        <v>7883</v>
      </c>
      <c r="D14" s="143">
        <f>C61</f>
        <v>8375</v>
      </c>
      <c r="E14" s="143">
        <f>C62</f>
        <v>9888</v>
      </c>
      <c r="F14" s="143">
        <f>C58</f>
        <v>7926</v>
      </c>
      <c r="G14" s="143">
        <f>C59</f>
        <v>3761</v>
      </c>
      <c r="H14" s="143">
        <f>C50</f>
        <v>1702</v>
      </c>
      <c r="I14" s="143">
        <f>C56</f>
        <v>7045</v>
      </c>
      <c r="J14" s="143">
        <f>C41</f>
        <v>9240</v>
      </c>
      <c r="K14" s="143">
        <f>C42</f>
        <v>4557</v>
      </c>
      <c r="L14" s="143">
        <f>C44</f>
        <v>5227</v>
      </c>
      <c r="M14" s="143">
        <f>C43</f>
        <v>6527</v>
      </c>
      <c r="N14" s="143">
        <f>C57</f>
        <v>4538</v>
      </c>
    </row>
    <row r="15" spans="1:14" ht="20.100000000000001" customHeight="1" x14ac:dyDescent="0.2">
      <c r="A15" s="36" t="s">
        <v>10</v>
      </c>
      <c r="B15" s="19">
        <f>ROUND((B8*B6),1)</f>
        <v>176091.3</v>
      </c>
      <c r="C15" s="19">
        <v>70371.899999999994</v>
      </c>
      <c r="D15" s="47">
        <v>38751.199999999997</v>
      </c>
      <c r="E15" s="47">
        <v>16467.3</v>
      </c>
      <c r="F15" s="47">
        <v>12537.3</v>
      </c>
      <c r="G15" s="47">
        <v>6446.2</v>
      </c>
      <c r="H15" s="47">
        <v>3149</v>
      </c>
      <c r="I15" s="47">
        <v>8434.1</v>
      </c>
      <c r="J15" s="47">
        <v>16045.9</v>
      </c>
      <c r="K15" s="47">
        <v>6019.2</v>
      </c>
      <c r="L15" s="47">
        <v>28167.3</v>
      </c>
      <c r="M15" s="47">
        <v>8685.6</v>
      </c>
      <c r="N15" s="47">
        <v>10073.5</v>
      </c>
    </row>
    <row r="16" spans="1:14" ht="20.100000000000001" customHeight="1" x14ac:dyDescent="0.2">
      <c r="A16" s="35" t="s">
        <v>47</v>
      </c>
      <c r="B16" s="143">
        <f>I37</f>
        <v>13188.199999999999</v>
      </c>
      <c r="C16" s="135">
        <f>I64</f>
        <v>0</v>
      </c>
      <c r="D16" s="135">
        <f>I61</f>
        <v>0</v>
      </c>
      <c r="E16" s="135">
        <f>I62</f>
        <v>0</v>
      </c>
      <c r="F16" s="135">
        <f>I58</f>
        <v>0</v>
      </c>
      <c r="G16" s="135">
        <f>I59</f>
        <v>0</v>
      </c>
      <c r="H16" s="135">
        <f>I50</f>
        <v>0</v>
      </c>
      <c r="I16" s="135">
        <f>I56</f>
        <v>0</v>
      </c>
      <c r="J16" s="135">
        <f>I41</f>
        <v>0</v>
      </c>
      <c r="K16" s="135">
        <f>I42</f>
        <v>0</v>
      </c>
      <c r="L16" s="143">
        <f>I44</f>
        <v>343.3</v>
      </c>
      <c r="M16" s="135">
        <f>I43</f>
        <v>0</v>
      </c>
      <c r="N16" s="135">
        <f>I57</f>
        <v>0</v>
      </c>
    </row>
    <row r="17" spans="1:14" ht="20.100000000000001" customHeight="1" x14ac:dyDescent="0.2">
      <c r="A17" s="35" t="s">
        <v>46</v>
      </c>
      <c r="B17" s="143">
        <f>ROUND(B16*$B$6,1)</f>
        <v>14387</v>
      </c>
      <c r="C17" s="135">
        <f>ROUND(C16*$B$6,1)</f>
        <v>0</v>
      </c>
      <c r="D17" s="135">
        <f t="shared" ref="D17:I17" si="0">ROUND(D16*$B$6,1)</f>
        <v>0</v>
      </c>
      <c r="E17" s="135">
        <f t="shared" si="0"/>
        <v>0</v>
      </c>
      <c r="F17" s="135">
        <f t="shared" si="0"/>
        <v>0</v>
      </c>
      <c r="G17" s="135">
        <f t="shared" si="0"/>
        <v>0</v>
      </c>
      <c r="H17" s="135">
        <f t="shared" si="0"/>
        <v>0</v>
      </c>
      <c r="I17" s="135">
        <f t="shared" si="0"/>
        <v>0</v>
      </c>
      <c r="J17" s="135">
        <f>ROUND(J16*$B$6,1)</f>
        <v>0</v>
      </c>
      <c r="K17" s="135">
        <f>ROUND(K16*$B$6,1)</f>
        <v>0</v>
      </c>
      <c r="L17" s="143">
        <f>ROUND(L16*$B$6,1)</f>
        <v>374.5</v>
      </c>
      <c r="M17" s="135">
        <f>ROUND(M16*$B$6,1)</f>
        <v>0</v>
      </c>
      <c r="N17" s="135">
        <f>ROUND(N16*$B$6,1)</f>
        <v>0</v>
      </c>
    </row>
    <row r="18" spans="1:14" ht="35.1" customHeight="1" x14ac:dyDescent="0.2">
      <c r="A18" s="157" t="s">
        <v>227</v>
      </c>
      <c r="B18" s="70">
        <f>B15-B17</f>
        <v>161704.29999999999</v>
      </c>
      <c r="C18" s="70">
        <f>C15-C17*C33</f>
        <v>70371.899999999994</v>
      </c>
      <c r="D18" s="70">
        <f t="shared" ref="D18:J18" si="1">D15-D17*D33</f>
        <v>38751.199999999997</v>
      </c>
      <c r="E18" s="70">
        <f t="shared" si="1"/>
        <v>16467.3</v>
      </c>
      <c r="F18" s="70">
        <f t="shared" si="1"/>
        <v>12537.3</v>
      </c>
      <c r="G18" s="70">
        <f t="shared" si="1"/>
        <v>6446.2</v>
      </c>
      <c r="H18" s="70">
        <f t="shared" si="1"/>
        <v>3149</v>
      </c>
      <c r="I18" s="70">
        <f t="shared" si="1"/>
        <v>8434.1</v>
      </c>
      <c r="J18" s="70">
        <f t="shared" si="1"/>
        <v>16045.9</v>
      </c>
      <c r="K18" s="70">
        <f>K15-K17*K33</f>
        <v>6019.2</v>
      </c>
      <c r="L18" s="70">
        <f>L15-L17*L33</f>
        <v>27824.257999999998</v>
      </c>
      <c r="M18" s="70">
        <f>M15-M17*M33</f>
        <v>8685.6</v>
      </c>
      <c r="N18" s="70">
        <f>N15-N17*N33</f>
        <v>10073.5</v>
      </c>
    </row>
    <row r="19" spans="1:14" ht="20.100000000000001" customHeight="1" x14ac:dyDescent="0.2">
      <c r="A19" s="36" t="s">
        <v>43</v>
      </c>
      <c r="B19" s="19">
        <f>ROUND((B18*B9),1)</f>
        <v>4042.6</v>
      </c>
      <c r="C19" s="19">
        <f>H64</f>
        <v>1607.519734844856</v>
      </c>
      <c r="D19" s="143">
        <f>H61</f>
        <v>878.52727581828788</v>
      </c>
      <c r="E19" s="143">
        <f>H62</f>
        <v>369.86890120906537</v>
      </c>
      <c r="F19" s="143">
        <f>H58</f>
        <v>276.70622855531462</v>
      </c>
      <c r="G19" s="143">
        <f>H59</f>
        <v>135.36405428853229</v>
      </c>
      <c r="H19" s="143">
        <f>H50</f>
        <v>65.344778594375498</v>
      </c>
      <c r="I19" s="143">
        <f>H56</f>
        <v>177.27089351562637</v>
      </c>
      <c r="J19" s="143">
        <f>H41</f>
        <v>352.46908119937768</v>
      </c>
      <c r="K19" s="143">
        <f>H42</f>
        <v>121.21510974146969</v>
      </c>
      <c r="L19" s="143">
        <f>H44</f>
        <v>616.78543792020787</v>
      </c>
      <c r="M19" s="143">
        <f>H43</f>
        <v>192.59800769343897</v>
      </c>
      <c r="N19" s="143">
        <f>H57</f>
        <v>198.73430785359525</v>
      </c>
    </row>
    <row r="20" spans="1:14" ht="20.100000000000001" customHeight="1" x14ac:dyDescent="0.2">
      <c r="A20" s="108" t="s">
        <v>49</v>
      </c>
      <c r="B20" s="22">
        <f>'Net CONE'!G39</f>
        <v>298.52999999999997</v>
      </c>
      <c r="C20" s="22">
        <f>'Net CONE'!G28</f>
        <v>269.82</v>
      </c>
      <c r="D20" s="22">
        <f>'Net CONE'!G19</f>
        <v>282.89</v>
      </c>
      <c r="E20" s="22">
        <f>'Net CONE'!G23</f>
        <v>241.52</v>
      </c>
      <c r="F20" s="22">
        <f>'Net CONE'!G17</f>
        <v>295.97000000000003</v>
      </c>
      <c r="G20" s="22">
        <f>'Net CONE'!G17</f>
        <v>295.97000000000003</v>
      </c>
      <c r="H20" s="22">
        <f>'Net CONE'!G14</f>
        <v>256.57</v>
      </c>
      <c r="I20" s="22">
        <f>'Net CONE'!G22</f>
        <v>249.04</v>
      </c>
      <c r="J20" s="22">
        <f>'Net CONE'!G32</f>
        <v>269.88</v>
      </c>
      <c r="K20" s="22">
        <f>'Net CONE'!G32</f>
        <v>269.88</v>
      </c>
      <c r="L20" s="22">
        <f>'Net CONE'!G33</f>
        <v>318.11</v>
      </c>
      <c r="M20" s="22">
        <f>'Net CONE'!G21</f>
        <v>233.99</v>
      </c>
      <c r="N20" s="22">
        <f>'Net CONE'!G27</f>
        <v>282.86</v>
      </c>
    </row>
    <row r="21" spans="1:14" ht="20.100000000000001" customHeight="1" x14ac:dyDescent="0.2">
      <c r="A21" s="169" t="s">
        <v>50</v>
      </c>
      <c r="B21" s="169"/>
      <c r="C21" s="169"/>
      <c r="D21" s="169"/>
      <c r="E21" s="169"/>
      <c r="F21" s="169"/>
      <c r="G21" s="169"/>
      <c r="H21" s="169"/>
      <c r="I21" s="169"/>
      <c r="J21" s="169"/>
      <c r="K21" s="169"/>
      <c r="L21" s="169"/>
      <c r="M21" s="169"/>
      <c r="N21" s="169"/>
    </row>
    <row r="22" spans="1:14" ht="20.100000000000001" customHeight="1" x14ac:dyDescent="0.2">
      <c r="A22" s="80" t="s">
        <v>25</v>
      </c>
      <c r="B22" s="18">
        <f>'Net CONE'!H39</f>
        <v>447.8</v>
      </c>
      <c r="C22" s="18">
        <f>'Net CONE'!H28</f>
        <v>404.73</v>
      </c>
      <c r="D22" s="18">
        <f>'Net CONE'!H19</f>
        <v>424.34</v>
      </c>
      <c r="E22" s="18">
        <f>'Net CONE'!H23</f>
        <v>378.6</v>
      </c>
      <c r="F22" s="18">
        <f>'Net CONE'!H17</f>
        <v>443.96</v>
      </c>
      <c r="G22" s="18">
        <f>'Net CONE'!H17</f>
        <v>443.96</v>
      </c>
      <c r="H22" s="18">
        <f>'Net CONE'!H14</f>
        <v>384.86</v>
      </c>
      <c r="I22" s="18">
        <f>'Net CONE'!H22</f>
        <v>378.6</v>
      </c>
      <c r="J22" s="18">
        <f>'Net CONE'!H32</f>
        <v>404.82</v>
      </c>
      <c r="K22" s="18">
        <f>'Net CONE'!H32</f>
        <v>404.82</v>
      </c>
      <c r="L22" s="18">
        <f>'Net CONE'!H33</f>
        <v>477.17</v>
      </c>
      <c r="M22" s="18">
        <f>'Net CONE'!H21</f>
        <v>378.6</v>
      </c>
      <c r="N22" s="18">
        <f>'Net CONE'!H27</f>
        <v>424.29</v>
      </c>
    </row>
    <row r="23" spans="1:14" ht="20.100000000000001" customHeight="1" x14ac:dyDescent="0.2">
      <c r="A23" s="35" t="s">
        <v>26</v>
      </c>
      <c r="B23" s="18">
        <f>ROUND(B$20*0.75,2)</f>
        <v>223.9</v>
      </c>
      <c r="C23" s="18">
        <f t="shared" ref="C23:N23" si="2">ROUND(C$20*0.75,2)</f>
        <v>202.37</v>
      </c>
      <c r="D23" s="18">
        <f t="shared" si="2"/>
        <v>212.17</v>
      </c>
      <c r="E23" s="18">
        <f t="shared" si="2"/>
        <v>181.14</v>
      </c>
      <c r="F23" s="18">
        <f t="shared" si="2"/>
        <v>221.98</v>
      </c>
      <c r="G23" s="18">
        <f t="shared" si="2"/>
        <v>221.98</v>
      </c>
      <c r="H23" s="18">
        <f t="shared" si="2"/>
        <v>192.43</v>
      </c>
      <c r="I23" s="18">
        <f t="shared" si="2"/>
        <v>186.78</v>
      </c>
      <c r="J23" s="18">
        <f t="shared" si="2"/>
        <v>202.41</v>
      </c>
      <c r="K23" s="18">
        <f t="shared" si="2"/>
        <v>202.41</v>
      </c>
      <c r="L23" s="18">
        <f t="shared" si="2"/>
        <v>238.58</v>
      </c>
      <c r="M23" s="18">
        <f t="shared" si="2"/>
        <v>175.49</v>
      </c>
      <c r="N23" s="18">
        <f t="shared" si="2"/>
        <v>212.15</v>
      </c>
    </row>
    <row r="24" spans="1:14" ht="20.100000000000001" customHeight="1" x14ac:dyDescent="0.2">
      <c r="A24" s="35" t="s">
        <v>27</v>
      </c>
      <c r="B24" s="18">
        <v>0</v>
      </c>
      <c r="C24" s="18">
        <v>0</v>
      </c>
      <c r="D24" s="18">
        <v>0</v>
      </c>
      <c r="E24" s="18">
        <v>0</v>
      </c>
      <c r="F24" s="18">
        <v>0</v>
      </c>
      <c r="G24" s="18">
        <v>0</v>
      </c>
      <c r="H24" s="18">
        <v>0</v>
      </c>
      <c r="I24" s="18">
        <v>0</v>
      </c>
      <c r="J24" s="18">
        <v>0</v>
      </c>
      <c r="K24" s="18">
        <v>0</v>
      </c>
      <c r="L24" s="18">
        <v>0</v>
      </c>
      <c r="M24" s="18">
        <v>0</v>
      </c>
      <c r="N24" s="18">
        <v>0</v>
      </c>
    </row>
    <row r="25" spans="1:14" ht="20.100000000000001" customHeight="1" x14ac:dyDescent="0.2">
      <c r="A25" s="35" t="s">
        <v>28</v>
      </c>
      <c r="B25" s="19">
        <f>ROUND(B$18*(1+$B$4-0.2%)/(1+$B$4)-B19,1)</f>
        <v>157382.20000000001</v>
      </c>
      <c r="C25" s="19">
        <f t="shared" ref="C25:N25" si="3">ROUND(C$18*(1+$B$4-0.2%)/(1+$B$4)-C19,1)</f>
        <v>68642.7</v>
      </c>
      <c r="D25" s="19">
        <f t="shared" si="3"/>
        <v>37805.699999999997</v>
      </c>
      <c r="E25" s="19">
        <f t="shared" si="3"/>
        <v>16069</v>
      </c>
      <c r="F25" s="19">
        <f t="shared" si="3"/>
        <v>12238.9</v>
      </c>
      <c r="G25" s="19">
        <f t="shared" si="3"/>
        <v>6299.7</v>
      </c>
      <c r="H25" s="19">
        <f t="shared" si="3"/>
        <v>3078.2</v>
      </c>
      <c r="I25" s="19">
        <f t="shared" si="3"/>
        <v>8242.2000000000007</v>
      </c>
      <c r="J25" s="19">
        <f t="shared" si="3"/>
        <v>15665.7</v>
      </c>
      <c r="K25" s="19">
        <f t="shared" si="3"/>
        <v>5887.6</v>
      </c>
      <c r="L25" s="19">
        <f t="shared" si="3"/>
        <v>27159.4</v>
      </c>
      <c r="M25" s="19">
        <f t="shared" si="3"/>
        <v>8478</v>
      </c>
      <c r="N25" s="19">
        <f t="shared" si="3"/>
        <v>9857.4</v>
      </c>
    </row>
    <row r="26" spans="1:14" ht="20.100000000000001" customHeight="1" x14ac:dyDescent="0.2">
      <c r="A26" s="35" t="s">
        <v>29</v>
      </c>
      <c r="B26" s="19">
        <f>ROUND(B$18*(1+$B$4+2.9%)/(1+$B$4)-B19,1)</f>
        <v>161714.79999999999</v>
      </c>
      <c r="C26" s="19">
        <f t="shared" ref="C26:N26" si="4">ROUND(C$18*(1+$B$4+2.9%)/(1+$B$4)-C19,1)</f>
        <v>70528.2</v>
      </c>
      <c r="D26" s="19">
        <f t="shared" si="4"/>
        <v>38844</v>
      </c>
      <c r="E26" s="19">
        <f t="shared" si="4"/>
        <v>16510.2</v>
      </c>
      <c r="F26" s="19">
        <f t="shared" si="4"/>
        <v>12574.8</v>
      </c>
      <c r="G26" s="19">
        <f t="shared" si="4"/>
        <v>6472.4</v>
      </c>
      <c r="H26" s="19">
        <f t="shared" si="4"/>
        <v>3162.6</v>
      </c>
      <c r="I26" s="19">
        <f t="shared" si="4"/>
        <v>8468.2000000000007</v>
      </c>
      <c r="J26" s="19">
        <f t="shared" si="4"/>
        <v>16095.6</v>
      </c>
      <c r="K26" s="19">
        <f t="shared" si="4"/>
        <v>6048.9</v>
      </c>
      <c r="L26" s="19">
        <f t="shared" si="4"/>
        <v>27904.9</v>
      </c>
      <c r="M26" s="19">
        <f t="shared" si="4"/>
        <v>8710.7000000000007</v>
      </c>
      <c r="N26" s="19">
        <f t="shared" si="4"/>
        <v>10127.299999999999</v>
      </c>
    </row>
    <row r="27" spans="1:14" ht="20.100000000000001" customHeight="1" x14ac:dyDescent="0.2">
      <c r="A27" s="35" t="s">
        <v>30</v>
      </c>
      <c r="B27" s="19">
        <f>ROUND(B$18*(1+$B$4+8.8%)/(1+$B$4)-B19,1)</f>
        <v>169960.7</v>
      </c>
      <c r="C27" s="19">
        <f t="shared" ref="C27:M27" si="5">ROUND(C$18*(1+$B$4+8.8%)/(1+$B$4)-C19,1)</f>
        <v>74116.800000000003</v>
      </c>
      <c r="D27" s="19">
        <f t="shared" si="5"/>
        <v>40820</v>
      </c>
      <c r="E27" s="19">
        <f t="shared" si="5"/>
        <v>17349.900000000001</v>
      </c>
      <c r="F27" s="19">
        <f t="shared" si="5"/>
        <v>13214.2</v>
      </c>
      <c r="G27" s="19">
        <f t="shared" si="5"/>
        <v>6801.1</v>
      </c>
      <c r="H27" s="19">
        <f t="shared" si="5"/>
        <v>3323.2</v>
      </c>
      <c r="I27" s="19">
        <f t="shared" si="5"/>
        <v>8898.2999999999993</v>
      </c>
      <c r="J27" s="19">
        <f t="shared" si="5"/>
        <v>16913.900000000001</v>
      </c>
      <c r="K27" s="19">
        <f t="shared" si="5"/>
        <v>6355.8</v>
      </c>
      <c r="L27" s="19">
        <f t="shared" si="5"/>
        <v>29323.8</v>
      </c>
      <c r="M27" s="19">
        <f t="shared" si="5"/>
        <v>9153.6</v>
      </c>
      <c r="N27" s="19">
        <f>ROUND(N$18*(1+$B$4+8.8%)/(1+$B$4)-N19,1)</f>
        <v>10640.9</v>
      </c>
    </row>
    <row r="28" spans="1:14" ht="20.100000000000001" customHeight="1" x14ac:dyDescent="0.2">
      <c r="A28" s="35" t="s">
        <v>52</v>
      </c>
      <c r="B28" s="33" t="s">
        <v>24</v>
      </c>
      <c r="C28" s="138">
        <f>159+733</f>
        <v>892</v>
      </c>
      <c r="D28" s="20" t="s">
        <v>24</v>
      </c>
      <c r="E28" s="20" t="s">
        <v>24</v>
      </c>
      <c r="F28" s="20" t="s">
        <v>24</v>
      </c>
      <c r="G28" s="20" t="s">
        <v>24</v>
      </c>
      <c r="H28" s="138">
        <v>72</v>
      </c>
      <c r="I28" s="20" t="s">
        <v>24</v>
      </c>
      <c r="J28" s="20" t="s">
        <v>24</v>
      </c>
      <c r="K28" s="20" t="s">
        <v>24</v>
      </c>
      <c r="L28" s="20" t="s">
        <v>24</v>
      </c>
      <c r="M28" s="20" t="s">
        <v>24</v>
      </c>
      <c r="N28" s="20" t="s">
        <v>24</v>
      </c>
    </row>
    <row r="29" spans="1:14" ht="20.100000000000001" hidden="1" customHeight="1" x14ac:dyDescent="0.2">
      <c r="A29" s="46" t="s">
        <v>76</v>
      </c>
      <c r="B29" s="48" t="s">
        <v>12</v>
      </c>
      <c r="C29" s="48" t="s">
        <v>12</v>
      </c>
      <c r="D29" s="48" t="s">
        <v>12</v>
      </c>
      <c r="E29" s="48" t="s">
        <v>12</v>
      </c>
      <c r="F29" s="48" t="s">
        <v>12</v>
      </c>
      <c r="G29" s="48" t="s">
        <v>12</v>
      </c>
      <c r="H29" s="48" t="s">
        <v>12</v>
      </c>
      <c r="I29" s="48" t="s">
        <v>12</v>
      </c>
      <c r="J29" s="48" t="s">
        <v>12</v>
      </c>
      <c r="K29" s="48" t="s">
        <v>12</v>
      </c>
      <c r="L29" s="48" t="s">
        <v>12</v>
      </c>
      <c r="M29" s="48" t="s">
        <v>12</v>
      </c>
      <c r="N29" s="48" t="s">
        <v>12</v>
      </c>
    </row>
    <row r="30" spans="1:14" ht="20.100000000000001" hidden="1" customHeight="1" x14ac:dyDescent="0.2">
      <c r="A30" s="46" t="s">
        <v>77</v>
      </c>
      <c r="B30" s="48" t="s">
        <v>12</v>
      </c>
      <c r="C30" s="48" t="s">
        <v>12</v>
      </c>
      <c r="D30" s="48" t="s">
        <v>12</v>
      </c>
      <c r="E30" s="48" t="s">
        <v>12</v>
      </c>
      <c r="F30" s="48" t="s">
        <v>12</v>
      </c>
      <c r="G30" s="48" t="s">
        <v>12</v>
      </c>
      <c r="H30" s="48" t="s">
        <v>12</v>
      </c>
      <c r="I30" s="48" t="s">
        <v>12</v>
      </c>
      <c r="J30" s="48" t="s">
        <v>12</v>
      </c>
      <c r="K30" s="48" t="s">
        <v>12</v>
      </c>
      <c r="L30" s="48" t="s">
        <v>12</v>
      </c>
      <c r="M30" s="48" t="s">
        <v>12</v>
      </c>
      <c r="N30" s="48" t="s">
        <v>12</v>
      </c>
    </row>
    <row r="31" spans="1:14" ht="20.100000000000001" hidden="1" customHeight="1" x14ac:dyDescent="0.2">
      <c r="A31" s="46" t="s">
        <v>78</v>
      </c>
      <c r="B31" s="48" t="s">
        <v>12</v>
      </c>
      <c r="C31" s="48" t="s">
        <v>12</v>
      </c>
      <c r="D31" s="48" t="s">
        <v>12</v>
      </c>
      <c r="E31" s="48" t="s">
        <v>12</v>
      </c>
      <c r="F31" s="48" t="s">
        <v>12</v>
      </c>
      <c r="G31" s="48" t="s">
        <v>12</v>
      </c>
      <c r="H31" s="48" t="s">
        <v>12</v>
      </c>
      <c r="I31" s="48" t="s">
        <v>12</v>
      </c>
      <c r="J31" s="48" t="s">
        <v>12</v>
      </c>
      <c r="K31" s="48" t="s">
        <v>12</v>
      </c>
      <c r="L31" s="48" t="s">
        <v>12</v>
      </c>
      <c r="M31" s="48" t="s">
        <v>12</v>
      </c>
      <c r="N31" s="48" t="s">
        <v>12</v>
      </c>
    </row>
    <row r="32" spans="1:14" ht="20.100000000000001" customHeight="1" x14ac:dyDescent="0.2">
      <c r="A32" s="170" t="s">
        <v>104</v>
      </c>
      <c r="B32" s="171"/>
      <c r="C32" s="171"/>
      <c r="D32" s="171"/>
      <c r="E32" s="171"/>
      <c r="F32" s="171"/>
      <c r="G32" s="171"/>
      <c r="H32" s="171"/>
      <c r="I32" s="171"/>
      <c r="J32" s="171"/>
      <c r="K32" s="171"/>
      <c r="L32" s="171"/>
      <c r="M32" s="171"/>
      <c r="N32" s="172"/>
    </row>
    <row r="33" spans="1:14" ht="20.100000000000001" customHeight="1" x14ac:dyDescent="0.2">
      <c r="A33" s="35" t="s">
        <v>103</v>
      </c>
      <c r="B33" s="33" t="s">
        <v>24</v>
      </c>
      <c r="C33" s="16">
        <f>ROUND((C15-C14)/(F64*$B$6),3)</f>
        <v>0.97199999999999998</v>
      </c>
      <c r="D33" s="16">
        <f>ROUND((D15-D14)/(F61*$B$6),3)</f>
        <v>0.86399999999999999</v>
      </c>
      <c r="E33" s="16">
        <f>ROUND((E15-E14)/(F62*$B$6),3)</f>
        <v>0.44500000000000001</v>
      </c>
      <c r="F33" s="16">
        <f>ROUND((F15-F14)/(F58*$B$6),3)</f>
        <v>0.41699999999999998</v>
      </c>
      <c r="G33" s="16">
        <f>ROUND((G15-G14)/(F59*$B$6),3)</f>
        <v>0.496</v>
      </c>
      <c r="H33" s="17">
        <f>ROUND((H15-H14)/(F50*$B$6),3)</f>
        <v>0.55400000000000005</v>
      </c>
      <c r="I33" s="16">
        <f>ROUND((I15-I14)/(F56*$B$6),3)</f>
        <v>0.19600000000000001</v>
      </c>
      <c r="J33" s="16">
        <f>ROUND((J15-J14)/(F41*$B$6),3)</f>
        <v>0.48299999999999998</v>
      </c>
      <c r="K33" s="16">
        <f>ROUND((K15-K14)/(F42*$B$6),3)</f>
        <v>0.30199999999999999</v>
      </c>
      <c r="L33" s="16">
        <f>ROUND((L15-L14)/(F44*$B$6),3)</f>
        <v>0.91600000000000004</v>
      </c>
      <c r="M33" s="16">
        <f>ROUND((M15-M14)/(F43*$B$6),3)</f>
        <v>0.28000000000000003</v>
      </c>
      <c r="N33" s="16">
        <f>ROUND((N15-N14)/(F57*$B$6),3)</f>
        <v>0.69599999999999995</v>
      </c>
    </row>
    <row r="34" spans="1:14" ht="20.100000000000001" customHeight="1" x14ac:dyDescent="0.2">
      <c r="A34" s="173" t="s">
        <v>12</v>
      </c>
      <c r="B34" s="173"/>
      <c r="C34" s="173"/>
      <c r="D34" s="173"/>
      <c r="E34" s="173"/>
      <c r="F34" s="173"/>
      <c r="G34" s="173"/>
      <c r="H34" s="173"/>
      <c r="I34" s="174"/>
      <c r="J34" s="174"/>
    </row>
    <row r="35" spans="1:14" ht="20.100000000000001" customHeight="1" x14ac:dyDescent="0.2">
      <c r="A35" s="173" t="s">
        <v>112</v>
      </c>
      <c r="B35" s="173"/>
      <c r="C35" s="173"/>
      <c r="D35" s="173"/>
      <c r="E35" s="173"/>
      <c r="F35" s="173"/>
      <c r="G35" s="173"/>
      <c r="H35" s="173"/>
      <c r="I35" s="174"/>
      <c r="J35" s="174"/>
      <c r="L35" t="s">
        <v>12</v>
      </c>
      <c r="M35" t="s">
        <v>12</v>
      </c>
    </row>
    <row r="36" spans="1:14" ht="84.95" customHeight="1" x14ac:dyDescent="0.2">
      <c r="A36" s="39" t="s">
        <v>39</v>
      </c>
      <c r="B36" s="107" t="s">
        <v>9</v>
      </c>
      <c r="C36" s="116" t="s">
        <v>11</v>
      </c>
      <c r="D36" s="107" t="s">
        <v>101</v>
      </c>
      <c r="E36" s="107" t="s">
        <v>132</v>
      </c>
      <c r="F36" s="107" t="s">
        <v>31</v>
      </c>
      <c r="G36" s="107" t="s">
        <v>32</v>
      </c>
      <c r="H36" s="107" t="s">
        <v>43</v>
      </c>
      <c r="I36" s="107" t="s">
        <v>65</v>
      </c>
      <c r="J36" s="107" t="s">
        <v>85</v>
      </c>
      <c r="K36" s="66" t="s">
        <v>12</v>
      </c>
      <c r="L36" s="2"/>
      <c r="M36" s="2"/>
      <c r="N36" s="2"/>
    </row>
    <row r="37" spans="1:14" ht="20.100000000000001" customHeight="1" x14ac:dyDescent="0.2">
      <c r="A37" s="40" t="s">
        <v>13</v>
      </c>
      <c r="B37" s="40" t="s">
        <v>24</v>
      </c>
      <c r="C37" s="40" t="s">
        <v>24</v>
      </c>
      <c r="D37" s="19" t="s">
        <v>24</v>
      </c>
      <c r="E37" s="70">
        <f>E38+E39+E40+E41+E43+E44+E45+E46+E47+E48+E49+E51+E52+E53+E54+E55+E56+E57+E58+E60</f>
        <v>156414.70000000001</v>
      </c>
      <c r="F37" s="70">
        <f>F38+F39+F40+F41+F43+F44+F45+F46+F47+F48+F49+F51+F52+F53+F54+F55+F56+F57+F58+F60</f>
        <v>161418.4</v>
      </c>
      <c r="G37" s="56" t="s">
        <v>24</v>
      </c>
      <c r="H37" s="70">
        <f>B19</f>
        <v>4042.6</v>
      </c>
      <c r="I37" s="70">
        <f>I38+I39+I40+I41+I43+I44+I45+I46+I47+I48+I49+I51+I52+I53+I54+I55+I56+I57+I58+I60</f>
        <v>13188.199999999999</v>
      </c>
      <c r="J37" s="70">
        <f>J38+J39+J40+J41+J43+J44+J45+J46+J47+J48+J49+J51+J52+J53+J54+J55+J56+J57+J58+J60</f>
        <v>148230.20000000001</v>
      </c>
      <c r="K37" s="2" t="s">
        <v>12</v>
      </c>
      <c r="L37" s="2" t="s">
        <v>12</v>
      </c>
      <c r="M37" s="2"/>
      <c r="N37" s="2"/>
    </row>
    <row r="38" spans="1:14" ht="20.100000000000001" customHeight="1" x14ac:dyDescent="0.2">
      <c r="A38" s="21" t="s">
        <v>2</v>
      </c>
      <c r="B38" s="143">
        <v>640</v>
      </c>
      <c r="C38" s="143" t="s">
        <v>208</v>
      </c>
      <c r="D38" s="58" t="s">
        <v>51</v>
      </c>
      <c r="E38" s="47">
        <v>2610</v>
      </c>
      <c r="F38" s="47">
        <v>2634</v>
      </c>
      <c r="G38" s="57">
        <f>F38/E38</f>
        <v>1.0091954022988505</v>
      </c>
      <c r="H38" s="47">
        <f>$H$37*J38/$J$37</f>
        <v>71.835620541563046</v>
      </c>
      <c r="I38" s="19">
        <v>0</v>
      </c>
      <c r="J38" s="47">
        <f>F38-I38</f>
        <v>2634</v>
      </c>
      <c r="K38" s="159" t="s">
        <v>12</v>
      </c>
      <c r="L38" s="67" t="s">
        <v>12</v>
      </c>
      <c r="M38" s="1"/>
      <c r="N38" s="1"/>
    </row>
    <row r="39" spans="1:14" ht="20.100000000000001" customHeight="1" x14ac:dyDescent="0.2">
      <c r="A39" s="41" t="s">
        <v>66</v>
      </c>
      <c r="B39" s="71">
        <v>1710</v>
      </c>
      <c r="C39" s="143" t="s">
        <v>209</v>
      </c>
      <c r="D39" s="58" t="s">
        <v>51</v>
      </c>
      <c r="E39" s="58">
        <v>22760</v>
      </c>
      <c r="F39" s="58">
        <v>23224</v>
      </c>
      <c r="G39" s="57">
        <f t="shared" ref="G39:G49" si="6">F39/E39</f>
        <v>1.0203866432337434</v>
      </c>
      <c r="H39" s="47">
        <f>$H$37*J39/$J$37</f>
        <v>307.59772718379924</v>
      </c>
      <c r="I39" s="19">
        <v>11945.3</v>
      </c>
      <c r="J39" s="47">
        <f>F39-I39</f>
        <v>11278.7</v>
      </c>
      <c r="K39" s="130"/>
      <c r="L39" s="1"/>
      <c r="M39" s="1"/>
      <c r="N39" s="1"/>
    </row>
    <row r="40" spans="1:14" ht="20.100000000000001" customHeight="1" x14ac:dyDescent="0.2">
      <c r="A40" s="41" t="s">
        <v>0</v>
      </c>
      <c r="B40" s="71">
        <v>2520</v>
      </c>
      <c r="C40" s="143" t="s">
        <v>210</v>
      </c>
      <c r="D40" s="58" t="s">
        <v>51</v>
      </c>
      <c r="E40" s="58">
        <v>8350</v>
      </c>
      <c r="F40" s="58">
        <v>8713</v>
      </c>
      <c r="G40" s="57">
        <f t="shared" si="6"/>
        <v>1.0434730538922157</v>
      </c>
      <c r="H40" s="47">
        <f t="shared" ref="H40:H60" si="7">$H$37*J40/$J$37</f>
        <v>237.62481464640805</v>
      </c>
      <c r="I40" s="19">
        <v>0</v>
      </c>
      <c r="J40" s="47">
        <f t="shared" ref="J40:J60" si="8">F40-I40</f>
        <v>8713</v>
      </c>
      <c r="K40" s="130"/>
      <c r="L40" s="1"/>
      <c r="M40" s="1"/>
      <c r="N40" s="1"/>
    </row>
    <row r="41" spans="1:14" ht="20.100000000000001" customHeight="1" x14ac:dyDescent="0.2">
      <c r="A41" s="41" t="s">
        <v>53</v>
      </c>
      <c r="B41" s="71">
        <v>4520</v>
      </c>
      <c r="C41" s="144">
        <v>9240</v>
      </c>
      <c r="D41" s="60">
        <f>C41/B41</f>
        <v>2.0442477876106193</v>
      </c>
      <c r="E41" s="58">
        <v>12760</v>
      </c>
      <c r="F41" s="58">
        <v>12924</v>
      </c>
      <c r="G41" s="57">
        <f t="shared" si="6"/>
        <v>1.0128526645768026</v>
      </c>
      <c r="H41" s="47">
        <f>$H$37*J41/$J$37</f>
        <v>352.46908119937768</v>
      </c>
      <c r="I41" s="19">
        <v>0</v>
      </c>
      <c r="J41" s="47">
        <f t="shared" si="8"/>
        <v>12924</v>
      </c>
      <c r="K41" s="130"/>
      <c r="L41" s="1"/>
      <c r="M41" s="1"/>
      <c r="N41" s="1"/>
    </row>
    <row r="42" spans="1:14" ht="20.100000000000001" customHeight="1" x14ac:dyDescent="0.2">
      <c r="A42" s="41" t="s">
        <v>87</v>
      </c>
      <c r="B42" s="71">
        <v>3340</v>
      </c>
      <c r="C42" s="144">
        <v>4557</v>
      </c>
      <c r="D42" s="60">
        <f>C42/B42</f>
        <v>1.36437125748503</v>
      </c>
      <c r="E42" s="58" t="s">
        <v>24</v>
      </c>
      <c r="F42" s="47">
        <f>ROUND(F41*0.3439,1)</f>
        <v>4444.6000000000004</v>
      </c>
      <c r="G42" s="57" t="s">
        <v>24</v>
      </c>
      <c r="H42" s="47">
        <f>$H$37*J42/$J$37</f>
        <v>121.21510974146969</v>
      </c>
      <c r="I42" s="19">
        <v>0</v>
      </c>
      <c r="J42" s="47">
        <f>F42-I42</f>
        <v>4444.6000000000004</v>
      </c>
      <c r="K42" s="130"/>
      <c r="L42" s="1"/>
      <c r="M42" s="1"/>
      <c r="N42" s="1"/>
    </row>
    <row r="43" spans="1:14" ht="20.100000000000001" customHeight="1" x14ac:dyDescent="0.2">
      <c r="A43" s="21" t="s">
        <v>3</v>
      </c>
      <c r="B43" s="143">
        <v>4550</v>
      </c>
      <c r="C43" s="144">
        <v>6527</v>
      </c>
      <c r="D43" s="60">
        <f>C43/B43</f>
        <v>1.4345054945054945</v>
      </c>
      <c r="E43" s="47">
        <v>6940</v>
      </c>
      <c r="F43" s="47">
        <v>7062</v>
      </c>
      <c r="G43" s="57">
        <f t="shared" si="6"/>
        <v>1.0175792507204611</v>
      </c>
      <c r="H43" s="47">
        <f t="shared" si="7"/>
        <v>192.59800769343897</v>
      </c>
      <c r="I43" s="19">
        <v>0</v>
      </c>
      <c r="J43" s="47">
        <f t="shared" si="8"/>
        <v>7062</v>
      </c>
      <c r="K43" s="130"/>
      <c r="L43" s="1"/>
      <c r="M43" s="1"/>
      <c r="N43" s="1"/>
    </row>
    <row r="44" spans="1:14" ht="20.100000000000001" customHeight="1" x14ac:dyDescent="0.2">
      <c r="A44" s="21" t="s">
        <v>18</v>
      </c>
      <c r="B44" s="143">
        <v>860</v>
      </c>
      <c r="C44" s="144">
        <v>5227</v>
      </c>
      <c r="D44" s="60">
        <f>C44/B44</f>
        <v>6.0779069767441865</v>
      </c>
      <c r="E44" s="47">
        <v>21970</v>
      </c>
      <c r="F44" s="47">
        <v>22959</v>
      </c>
      <c r="G44" s="57">
        <f t="shared" si="6"/>
        <v>1.0450159308147473</v>
      </c>
      <c r="H44" s="47">
        <f>$H$37*J44/$J$37</f>
        <v>616.78543792020787</v>
      </c>
      <c r="I44" s="19">
        <v>343.3</v>
      </c>
      <c r="J44" s="47">
        <f t="shared" si="8"/>
        <v>22615.7</v>
      </c>
      <c r="K44" s="130"/>
      <c r="L44" s="1"/>
      <c r="M44" s="1"/>
      <c r="N44" s="1"/>
    </row>
    <row r="45" spans="1:14" ht="20.100000000000001" customHeight="1" x14ac:dyDescent="0.2">
      <c r="A45" s="21" t="s">
        <v>19</v>
      </c>
      <c r="B45" s="143">
        <v>920</v>
      </c>
      <c r="C45" s="143" t="s">
        <v>211</v>
      </c>
      <c r="D45" s="58" t="s">
        <v>51</v>
      </c>
      <c r="E45" s="47">
        <v>3290</v>
      </c>
      <c r="F45" s="47">
        <v>3506</v>
      </c>
      <c r="G45" s="57">
        <f t="shared" si="6"/>
        <v>1.0656534954407295</v>
      </c>
      <c r="H45" s="47">
        <f t="shared" si="7"/>
        <v>95.617192717813225</v>
      </c>
      <c r="I45" s="19">
        <v>0</v>
      </c>
      <c r="J45" s="47">
        <f t="shared" si="8"/>
        <v>3506</v>
      </c>
      <c r="K45" s="130"/>
      <c r="L45" s="1"/>
      <c r="M45" s="1"/>
      <c r="N45" s="1"/>
    </row>
    <row r="46" spans="1:14" ht="20.100000000000001" customHeight="1" x14ac:dyDescent="0.2">
      <c r="A46" s="21" t="s">
        <v>79</v>
      </c>
      <c r="B46" s="143">
        <v>4130</v>
      </c>
      <c r="C46" s="143" t="s">
        <v>212</v>
      </c>
      <c r="D46" s="58" t="s">
        <v>51</v>
      </c>
      <c r="E46" s="47">
        <v>5310</v>
      </c>
      <c r="F46" s="47">
        <v>5425</v>
      </c>
      <c r="G46" s="57">
        <f>F46/E46</f>
        <v>1.0216572504708097</v>
      </c>
      <c r="H46" s="47">
        <f>$H$37*J46/$J$37</f>
        <v>124.00780812546969</v>
      </c>
      <c r="I46" s="19">
        <v>878</v>
      </c>
      <c r="J46" s="47">
        <f t="shared" si="8"/>
        <v>4547</v>
      </c>
      <c r="K46" s="130"/>
      <c r="L46" s="1"/>
      <c r="M46" s="1"/>
      <c r="N46" s="1"/>
    </row>
    <row r="47" spans="1:14" ht="20.100000000000001" customHeight="1" x14ac:dyDescent="0.2">
      <c r="A47" s="21" t="s">
        <v>4</v>
      </c>
      <c r="B47" s="143">
        <v>1590</v>
      </c>
      <c r="C47" s="143" t="s">
        <v>213</v>
      </c>
      <c r="D47" s="58" t="s">
        <v>51</v>
      </c>
      <c r="E47" s="47">
        <v>2830</v>
      </c>
      <c r="F47" s="47">
        <v>2908</v>
      </c>
      <c r="G47" s="57">
        <f t="shared" si="6"/>
        <v>1.0275618374558304</v>
      </c>
      <c r="H47" s="47">
        <f t="shared" si="7"/>
        <v>79.308270514375593</v>
      </c>
      <c r="I47" s="19">
        <v>0</v>
      </c>
      <c r="J47" s="47">
        <f t="shared" si="8"/>
        <v>2908</v>
      </c>
      <c r="K47" s="130"/>
      <c r="L47" s="1"/>
      <c r="M47" s="1"/>
      <c r="N47" s="1"/>
    </row>
    <row r="48" spans="1:14" ht="20.100000000000001" customHeight="1" x14ac:dyDescent="0.2">
      <c r="A48" s="21" t="s">
        <v>20</v>
      </c>
      <c r="B48" s="143">
        <v>-1320</v>
      </c>
      <c r="C48" s="143" t="s">
        <v>90</v>
      </c>
      <c r="D48" s="58" t="s">
        <v>90</v>
      </c>
      <c r="E48" s="47">
        <v>19090</v>
      </c>
      <c r="F48" s="47">
        <v>20557</v>
      </c>
      <c r="G48" s="57">
        <f t="shared" si="6"/>
        <v>1.0768465165007857</v>
      </c>
      <c r="H48" s="47">
        <f t="shared" si="7"/>
        <v>560.63965507703551</v>
      </c>
      <c r="I48" s="19">
        <v>0</v>
      </c>
      <c r="J48" s="47">
        <f t="shared" si="8"/>
        <v>20557</v>
      </c>
      <c r="K48" s="130"/>
      <c r="L48" s="1"/>
      <c r="M48" s="1"/>
      <c r="N48" s="1"/>
    </row>
    <row r="49" spans="1:14" ht="20.100000000000001" customHeight="1" x14ac:dyDescent="0.2">
      <c r="A49" s="21" t="s">
        <v>1</v>
      </c>
      <c r="B49" s="143">
        <v>1030</v>
      </c>
      <c r="C49" s="143" t="s">
        <v>214</v>
      </c>
      <c r="D49" s="58" t="s">
        <v>51</v>
      </c>
      <c r="E49" s="47">
        <v>4020</v>
      </c>
      <c r="F49" s="47">
        <v>4164</v>
      </c>
      <c r="G49" s="57">
        <f t="shared" si="6"/>
        <v>1.035820895522388</v>
      </c>
      <c r="H49" s="47">
        <f t="shared" si="7"/>
        <v>113.56246163062586</v>
      </c>
      <c r="I49" s="19">
        <v>0</v>
      </c>
      <c r="J49" s="47">
        <f t="shared" si="8"/>
        <v>4164</v>
      </c>
      <c r="K49" s="130"/>
      <c r="L49" s="1"/>
      <c r="M49" s="1"/>
      <c r="N49" s="1"/>
    </row>
    <row r="50" spans="1:14" ht="20.100000000000001" customHeight="1" x14ac:dyDescent="0.2">
      <c r="A50" s="21" t="s">
        <v>45</v>
      </c>
      <c r="B50" s="143">
        <v>1360</v>
      </c>
      <c r="C50" s="145">
        <v>1702</v>
      </c>
      <c r="D50" s="60">
        <f>C50/B50</f>
        <v>1.2514705882352941</v>
      </c>
      <c r="E50" s="47" t="s">
        <v>24</v>
      </c>
      <c r="F50" s="47">
        <f>ROUND(F49*0.5754,1)</f>
        <v>2396</v>
      </c>
      <c r="G50" s="57" t="s">
        <v>24</v>
      </c>
      <c r="H50" s="47">
        <f t="shared" si="7"/>
        <v>65.344778594375498</v>
      </c>
      <c r="I50" s="19">
        <v>0</v>
      </c>
      <c r="J50" s="47">
        <f t="shared" si="8"/>
        <v>2396</v>
      </c>
      <c r="K50" s="130"/>
      <c r="L50" s="1"/>
      <c r="M50" s="1"/>
      <c r="N50" s="1"/>
    </row>
    <row r="51" spans="1:14" ht="20.100000000000001" customHeight="1" x14ac:dyDescent="0.2">
      <c r="A51" s="21" t="s">
        <v>88</v>
      </c>
      <c r="B51" s="143">
        <v>630</v>
      </c>
      <c r="C51" s="143" t="s">
        <v>215</v>
      </c>
      <c r="D51" s="58" t="s">
        <v>51</v>
      </c>
      <c r="E51" s="47">
        <v>2144.6999999999998</v>
      </c>
      <c r="F51" s="47">
        <v>2259.4</v>
      </c>
      <c r="G51" s="57">
        <f>F51/E51</f>
        <v>1.0534806732876394</v>
      </c>
      <c r="H51" s="47">
        <f t="shared" si="7"/>
        <v>61.030277770656724</v>
      </c>
      <c r="I51" s="19">
        <v>21.6</v>
      </c>
      <c r="J51" s="47">
        <f t="shared" si="8"/>
        <v>2237.8000000000002</v>
      </c>
      <c r="K51" s="130"/>
      <c r="L51" s="1"/>
      <c r="M51" s="1"/>
      <c r="N51" s="1"/>
    </row>
    <row r="52" spans="1:14" ht="20.100000000000001" customHeight="1" x14ac:dyDescent="0.2">
      <c r="A52" s="21" t="s">
        <v>5</v>
      </c>
      <c r="B52" s="143">
        <v>3280</v>
      </c>
      <c r="C52" s="143" t="s">
        <v>216</v>
      </c>
      <c r="D52" s="58" t="s">
        <v>51</v>
      </c>
      <c r="E52" s="47">
        <v>6090</v>
      </c>
      <c r="F52" s="47">
        <v>6236</v>
      </c>
      <c r="G52" s="57">
        <f t="shared" ref="G52:G58" si="9">F52/E52</f>
        <v>1.0239737274220033</v>
      </c>
      <c r="H52" s="47">
        <f t="shared" si="7"/>
        <v>170.07096799437628</v>
      </c>
      <c r="I52" s="19">
        <v>0</v>
      </c>
      <c r="J52" s="47">
        <f t="shared" si="8"/>
        <v>6236</v>
      </c>
      <c r="K52" s="130"/>
      <c r="L52" s="1"/>
      <c r="M52" s="1"/>
      <c r="N52" s="1"/>
    </row>
    <row r="53" spans="1:14" ht="20.100000000000001" customHeight="1" x14ac:dyDescent="0.2">
      <c r="A53" s="21" t="s">
        <v>21</v>
      </c>
      <c r="B53" s="143">
        <v>1190</v>
      </c>
      <c r="C53" s="143" t="s">
        <v>217</v>
      </c>
      <c r="D53" s="58" t="s">
        <v>51</v>
      </c>
      <c r="E53" s="47">
        <v>2850</v>
      </c>
      <c r="F53" s="47">
        <v>2958</v>
      </c>
      <c r="G53" s="57">
        <f t="shared" si="9"/>
        <v>1.0378947368421052</v>
      </c>
      <c r="H53" s="47">
        <f t="shared" si="7"/>
        <v>80.671892772188116</v>
      </c>
      <c r="I53" s="19">
        <v>0</v>
      </c>
      <c r="J53" s="47">
        <f t="shared" si="8"/>
        <v>2958</v>
      </c>
      <c r="K53" s="130"/>
      <c r="L53" s="67" t="s">
        <v>12</v>
      </c>
      <c r="M53" s="67" t="s">
        <v>12</v>
      </c>
      <c r="N53" s="1"/>
    </row>
    <row r="54" spans="1:14" ht="20.100000000000001" customHeight="1" x14ac:dyDescent="0.2">
      <c r="A54" s="21" t="s">
        <v>6</v>
      </c>
      <c r="B54" s="143">
        <v>2850</v>
      </c>
      <c r="C54" s="143" t="s">
        <v>218</v>
      </c>
      <c r="D54" s="58" t="s">
        <v>51</v>
      </c>
      <c r="E54" s="47">
        <v>8380</v>
      </c>
      <c r="F54" s="47">
        <v>8622</v>
      </c>
      <c r="G54" s="57">
        <f t="shared" si="9"/>
        <v>1.0288782816229116</v>
      </c>
      <c r="H54" s="47">
        <f t="shared" si="7"/>
        <v>235.14302213718926</v>
      </c>
      <c r="I54" s="19">
        <v>0</v>
      </c>
      <c r="J54" s="47">
        <f t="shared" si="8"/>
        <v>8622</v>
      </c>
      <c r="K54" s="130"/>
      <c r="L54" s="1"/>
      <c r="M54" s="1"/>
      <c r="N54" s="1"/>
    </row>
    <row r="55" spans="1:14" ht="20.100000000000001" customHeight="1" x14ac:dyDescent="0.2">
      <c r="A55" s="21" t="s">
        <v>22</v>
      </c>
      <c r="B55" s="143">
        <v>230</v>
      </c>
      <c r="C55" s="143" t="s">
        <v>219</v>
      </c>
      <c r="D55" s="58" t="s">
        <v>51</v>
      </c>
      <c r="E55" s="47">
        <v>2770</v>
      </c>
      <c r="F55" s="47">
        <v>2923</v>
      </c>
      <c r="G55" s="57">
        <f t="shared" si="9"/>
        <v>1.0552346570397111</v>
      </c>
      <c r="H55" s="47">
        <f t="shared" si="7"/>
        <v>79.717357191719358</v>
      </c>
      <c r="I55" s="19">
        <v>0</v>
      </c>
      <c r="J55" s="47">
        <f t="shared" si="8"/>
        <v>2923</v>
      </c>
      <c r="K55" s="130"/>
      <c r="L55" s="1"/>
      <c r="M55" s="1"/>
      <c r="N55" s="1"/>
    </row>
    <row r="56" spans="1:14" ht="20.100000000000001" customHeight="1" x14ac:dyDescent="0.2">
      <c r="A56" s="21" t="s">
        <v>7</v>
      </c>
      <c r="B56" s="143">
        <v>3470</v>
      </c>
      <c r="C56" s="144">
        <v>7045</v>
      </c>
      <c r="D56" s="60">
        <f>C56/B56</f>
        <v>2.0302593659942363</v>
      </c>
      <c r="E56" s="47">
        <v>6540</v>
      </c>
      <c r="F56" s="47">
        <v>6500</v>
      </c>
      <c r="G56" s="57">
        <f t="shared" si="9"/>
        <v>0.99388379204892963</v>
      </c>
      <c r="H56" s="47">
        <f t="shared" si="7"/>
        <v>177.27089351562637</v>
      </c>
      <c r="I56" s="19">
        <v>0</v>
      </c>
      <c r="J56" s="47">
        <f t="shared" si="8"/>
        <v>6500</v>
      </c>
      <c r="K56" s="130"/>
      <c r="L56" s="1"/>
      <c r="M56" s="1"/>
      <c r="N56" s="1"/>
    </row>
    <row r="57" spans="1:14" ht="20.100000000000001" customHeight="1" x14ac:dyDescent="0.2">
      <c r="A57" s="21" t="s">
        <v>33</v>
      </c>
      <c r="B57" s="143">
        <v>-500</v>
      </c>
      <c r="C57" s="145">
        <v>4538</v>
      </c>
      <c r="D57" s="60" t="s">
        <v>90</v>
      </c>
      <c r="E57" s="47">
        <f>6960+185</f>
        <v>7145</v>
      </c>
      <c r="F57" s="47">
        <f>7092+195</f>
        <v>7287</v>
      </c>
      <c r="G57" s="57">
        <f t="shared" si="9"/>
        <v>1.0198740377886635</v>
      </c>
      <c r="H57" s="47">
        <f t="shared" si="7"/>
        <v>198.73430785359525</v>
      </c>
      <c r="I57" s="19">
        <v>0</v>
      </c>
      <c r="J57" s="47">
        <f t="shared" si="8"/>
        <v>7287</v>
      </c>
      <c r="K57" s="130"/>
      <c r="L57" s="1" t="s">
        <v>12</v>
      </c>
      <c r="M57" s="1"/>
      <c r="N57" s="1"/>
    </row>
    <row r="58" spans="1:14" ht="20.100000000000001" customHeight="1" x14ac:dyDescent="0.2">
      <c r="A58" s="21" t="s">
        <v>8</v>
      </c>
      <c r="B58" s="143">
        <v>5800</v>
      </c>
      <c r="C58" s="144">
        <v>7926</v>
      </c>
      <c r="D58" s="61">
        <f>C58/B58</f>
        <v>1.366551724137931</v>
      </c>
      <c r="E58" s="47">
        <v>10160</v>
      </c>
      <c r="F58" s="47">
        <v>10146</v>
      </c>
      <c r="G58" s="57">
        <f t="shared" si="9"/>
        <v>0.99862204724409454</v>
      </c>
      <c r="H58" s="47">
        <f>$H$37*J58/$J$37</f>
        <v>276.70622855531462</v>
      </c>
      <c r="I58" s="19">
        <v>0</v>
      </c>
      <c r="J58" s="47">
        <f t="shared" si="8"/>
        <v>10146</v>
      </c>
      <c r="K58" s="130"/>
      <c r="L58" s="1" t="s">
        <v>12</v>
      </c>
      <c r="M58" s="1"/>
      <c r="N58" s="1"/>
    </row>
    <row r="59" spans="1:14" ht="20.100000000000001" customHeight="1" x14ac:dyDescent="0.2">
      <c r="A59" s="21" t="s">
        <v>44</v>
      </c>
      <c r="B59" s="143">
        <v>2350</v>
      </c>
      <c r="C59" s="144">
        <v>3761</v>
      </c>
      <c r="D59" s="61">
        <f>C59/B59</f>
        <v>1.6004255319148937</v>
      </c>
      <c r="E59" s="47" t="s">
        <v>24</v>
      </c>
      <c r="F59" s="47">
        <f>ROUND(F58*0.4892,1)</f>
        <v>4963.3999999999996</v>
      </c>
      <c r="G59" s="57" t="s">
        <v>24</v>
      </c>
      <c r="H59" s="47">
        <f t="shared" si="7"/>
        <v>135.36405428853229</v>
      </c>
      <c r="I59" s="19">
        <v>0</v>
      </c>
      <c r="J59" s="47">
        <f t="shared" si="8"/>
        <v>4963.3999999999996</v>
      </c>
      <c r="K59" s="130"/>
      <c r="L59" s="1"/>
      <c r="M59" s="1"/>
      <c r="N59" s="1"/>
    </row>
    <row r="60" spans="1:14" ht="20.100000000000001" customHeight="1" x14ac:dyDescent="0.2">
      <c r="A60" s="21" t="s">
        <v>40</v>
      </c>
      <c r="B60" s="143" t="s">
        <v>24</v>
      </c>
      <c r="C60" s="143" t="s">
        <v>24</v>
      </c>
      <c r="D60" s="58" t="s">
        <v>24</v>
      </c>
      <c r="E60" s="47">
        <v>405</v>
      </c>
      <c r="F60" s="47">
        <v>411</v>
      </c>
      <c r="G60" s="57">
        <f>F60/E60</f>
        <v>1.0148148148148148</v>
      </c>
      <c r="H60" s="47">
        <f t="shared" si="7"/>
        <v>11.208974959218835</v>
      </c>
      <c r="I60" s="19">
        <v>0</v>
      </c>
      <c r="J60" s="47">
        <f t="shared" si="8"/>
        <v>411</v>
      </c>
      <c r="K60" s="130"/>
      <c r="L60" s="1"/>
      <c r="M60" s="1"/>
      <c r="N60" s="1"/>
    </row>
    <row r="61" spans="1:14" ht="20.100000000000001" customHeight="1" x14ac:dyDescent="0.2">
      <c r="A61" s="21" t="s">
        <v>16</v>
      </c>
      <c r="B61" s="143">
        <v>2850</v>
      </c>
      <c r="C61" s="144">
        <v>8375</v>
      </c>
      <c r="D61" s="61">
        <f>C61/B61</f>
        <v>2.9385964912280702</v>
      </c>
      <c r="E61" s="47" t="s">
        <v>24</v>
      </c>
      <c r="F61" s="47">
        <f>F38+F49+F52+F54+F58+F60</f>
        <v>32213</v>
      </c>
      <c r="G61" s="59" t="s">
        <v>24</v>
      </c>
      <c r="H61" s="47">
        <f>H38+H49+H52+H54+H58+H60</f>
        <v>878.52727581828788</v>
      </c>
      <c r="I61" s="47">
        <f>I38+I49+I52+I54+I58+I60</f>
        <v>0</v>
      </c>
      <c r="J61" s="175" t="s">
        <v>75</v>
      </c>
      <c r="K61" s="130"/>
      <c r="L61" s="1"/>
      <c r="M61" s="1"/>
      <c r="N61" s="1"/>
    </row>
    <row r="62" spans="1:14" ht="20.100000000000001" customHeight="1" x14ac:dyDescent="0.2">
      <c r="A62" s="21" t="s">
        <v>14</v>
      </c>
      <c r="B62" s="143">
        <v>5160</v>
      </c>
      <c r="C62" s="144">
        <v>9888</v>
      </c>
      <c r="D62" s="61">
        <f>C62/B62</f>
        <v>1.9162790697674419</v>
      </c>
      <c r="E62" s="47" t="s">
        <v>24</v>
      </c>
      <c r="F62" s="47">
        <f>F43+F56</f>
        <v>13562</v>
      </c>
      <c r="G62" s="59" t="s">
        <v>24</v>
      </c>
      <c r="H62" s="47">
        <f>H43+H56</f>
        <v>369.86890120906537</v>
      </c>
      <c r="I62" s="47">
        <f>I43+I56</f>
        <v>0</v>
      </c>
      <c r="J62" s="176"/>
      <c r="K62" s="130"/>
      <c r="L62" s="1"/>
      <c r="M62" s="1"/>
      <c r="N62" s="1"/>
    </row>
    <row r="63" spans="1:14" ht="20.100000000000001" customHeight="1" x14ac:dyDescent="0.2">
      <c r="A63" s="41" t="s">
        <v>15</v>
      </c>
      <c r="B63" s="71">
        <v>-7320</v>
      </c>
      <c r="C63" s="143" t="s">
        <v>90</v>
      </c>
      <c r="D63" s="58" t="s">
        <v>90</v>
      </c>
      <c r="E63" s="47" t="s">
        <v>24</v>
      </c>
      <c r="F63" s="47">
        <f>F53+F55+F57</f>
        <v>13168</v>
      </c>
      <c r="G63" s="59" t="s">
        <v>24</v>
      </c>
      <c r="H63" s="47">
        <f>H53+H55+H57</f>
        <v>359.12355781750273</v>
      </c>
      <c r="I63" s="47">
        <f>I53+I55+I57</f>
        <v>0</v>
      </c>
      <c r="J63" s="176"/>
      <c r="K63" s="130"/>
      <c r="L63" s="1"/>
      <c r="M63" s="1"/>
      <c r="N63" s="1"/>
    </row>
    <row r="64" spans="1:14" ht="20.100000000000001" customHeight="1" x14ac:dyDescent="0.2">
      <c r="A64" s="21" t="s">
        <v>17</v>
      </c>
      <c r="B64" s="143">
        <v>-1900</v>
      </c>
      <c r="C64" s="144">
        <v>7883</v>
      </c>
      <c r="D64" s="61" t="s">
        <v>90</v>
      </c>
      <c r="E64" s="47" t="s">
        <v>24</v>
      </c>
      <c r="F64" s="47">
        <f>F61+F62+F63</f>
        <v>58943</v>
      </c>
      <c r="G64" s="59" t="s">
        <v>24</v>
      </c>
      <c r="H64" s="47">
        <f>H61+H62+H63</f>
        <v>1607.519734844856</v>
      </c>
      <c r="I64" s="47">
        <f>I61+I62+I63</f>
        <v>0</v>
      </c>
      <c r="J64" s="176"/>
      <c r="K64" s="130"/>
      <c r="L64" s="1"/>
      <c r="M64" s="1"/>
      <c r="N64" s="1"/>
    </row>
    <row r="65" spans="1:14" ht="20.100000000000001" customHeight="1" x14ac:dyDescent="0.2">
      <c r="A65" s="41" t="s">
        <v>34</v>
      </c>
      <c r="B65" s="71">
        <v>4800</v>
      </c>
      <c r="C65" s="143" t="s">
        <v>223</v>
      </c>
      <c r="D65" s="58" t="s">
        <v>51</v>
      </c>
      <c r="E65" s="47" t="s">
        <v>24</v>
      </c>
      <c r="F65" s="47">
        <f>F39+F40+F41+F44+F45+F46+F47+F51</f>
        <v>81918.399999999994</v>
      </c>
      <c r="G65" s="59" t="s">
        <v>24</v>
      </c>
      <c r="H65" s="47">
        <f>H39+H40+H41+H44+H45+H46+H47+H51</f>
        <v>1874.440610078108</v>
      </c>
      <c r="I65" s="47">
        <f>I39+I40+I41+I44+I45+I46+I47+I51</f>
        <v>13188.199999999999</v>
      </c>
      <c r="J65" s="177"/>
      <c r="K65" s="130"/>
      <c r="L65" s="1"/>
      <c r="M65" s="1"/>
      <c r="N65" s="1"/>
    </row>
    <row r="66" spans="1:14" ht="20.100000000000001" customHeight="1" x14ac:dyDescent="0.2">
      <c r="A66" s="173" t="s">
        <v>111</v>
      </c>
      <c r="B66" s="173"/>
      <c r="C66" s="173"/>
      <c r="D66" s="173"/>
      <c r="E66" s="173"/>
      <c r="F66" s="173"/>
      <c r="G66" s="173"/>
      <c r="H66" s="173"/>
      <c r="I66" s="174"/>
      <c r="J66" s="174"/>
      <c r="K66" s="130"/>
      <c r="L66" s="1"/>
      <c r="M66" s="1"/>
      <c r="N66" s="1"/>
    </row>
    <row r="67" spans="1:14" ht="20.100000000000001" customHeight="1" thickBot="1" x14ac:dyDescent="0.25">
      <c r="A67" s="92"/>
      <c r="B67" s="93"/>
      <c r="C67" s="93"/>
      <c r="D67" s="93"/>
      <c r="E67" s="93"/>
      <c r="F67" s="93"/>
      <c r="G67" s="93"/>
      <c r="H67" s="93"/>
      <c r="I67" s="94"/>
      <c r="J67" s="95"/>
      <c r="K67" s="77"/>
      <c r="L67" s="1"/>
      <c r="M67" s="1"/>
      <c r="N67" s="1"/>
    </row>
    <row r="68" spans="1:14" ht="20.100000000000001" customHeight="1" x14ac:dyDescent="0.2">
      <c r="A68" s="178" t="s">
        <v>84</v>
      </c>
      <c r="B68" s="179"/>
      <c r="C68" s="179"/>
      <c r="D68" s="179"/>
      <c r="E68" s="179"/>
      <c r="F68" s="179"/>
      <c r="G68" s="179"/>
      <c r="H68" s="179"/>
      <c r="I68" s="179"/>
      <c r="J68" s="180"/>
    </row>
    <row r="69" spans="1:14" ht="20.100000000000001" customHeight="1" x14ac:dyDescent="0.2">
      <c r="A69" s="96" t="s">
        <v>105</v>
      </c>
      <c r="B69" s="181" t="s">
        <v>133</v>
      </c>
      <c r="C69" s="182"/>
      <c r="D69" s="182"/>
      <c r="E69" s="182"/>
      <c r="F69" s="182"/>
      <c r="G69" s="182"/>
      <c r="H69" s="183"/>
      <c r="I69" s="183"/>
      <c r="J69" s="184"/>
    </row>
    <row r="70" spans="1:14" ht="20.100000000000001" customHeight="1" x14ac:dyDescent="0.2">
      <c r="A70" s="97" t="s">
        <v>17</v>
      </c>
      <c r="B70" s="160" t="s">
        <v>190</v>
      </c>
      <c r="C70" s="160"/>
      <c r="D70" s="160"/>
      <c r="E70" s="160"/>
      <c r="F70" s="160"/>
      <c r="G70" s="160"/>
      <c r="H70" s="160"/>
      <c r="I70" s="161"/>
      <c r="J70" s="162"/>
    </row>
    <row r="71" spans="1:14" ht="20.100000000000001" customHeight="1" x14ac:dyDescent="0.2">
      <c r="A71" s="97" t="s">
        <v>16</v>
      </c>
      <c r="B71" s="160" t="s">
        <v>191</v>
      </c>
      <c r="C71" s="160"/>
      <c r="D71" s="160"/>
      <c r="E71" s="160"/>
      <c r="F71" s="160"/>
      <c r="G71" s="160"/>
      <c r="H71" s="160"/>
      <c r="I71" s="161"/>
      <c r="J71" s="162"/>
    </row>
    <row r="72" spans="1:14" ht="20.100000000000001" customHeight="1" x14ac:dyDescent="0.2">
      <c r="A72" s="97" t="s">
        <v>14</v>
      </c>
      <c r="B72" s="160" t="s">
        <v>192</v>
      </c>
      <c r="C72" s="160"/>
      <c r="D72" s="160"/>
      <c r="E72" s="160"/>
      <c r="F72" s="160"/>
      <c r="G72" s="160"/>
      <c r="H72" s="160"/>
      <c r="I72" s="161"/>
      <c r="J72" s="162"/>
    </row>
    <row r="73" spans="1:14" ht="20.100000000000001" customHeight="1" x14ac:dyDescent="0.2">
      <c r="A73" s="97" t="s">
        <v>8</v>
      </c>
      <c r="B73" s="160" t="s">
        <v>199</v>
      </c>
      <c r="C73" s="160"/>
      <c r="D73" s="160"/>
      <c r="E73" s="160"/>
      <c r="F73" s="160"/>
      <c r="G73" s="160"/>
      <c r="H73" s="160"/>
      <c r="I73" s="161"/>
      <c r="J73" s="162"/>
    </row>
    <row r="74" spans="1:14" ht="20.100000000000001" customHeight="1" x14ac:dyDescent="0.2">
      <c r="A74" s="97" t="s">
        <v>86</v>
      </c>
      <c r="B74" s="160" t="s">
        <v>199</v>
      </c>
      <c r="C74" s="160"/>
      <c r="D74" s="160"/>
      <c r="E74" s="160"/>
      <c r="F74" s="160"/>
      <c r="G74" s="160"/>
      <c r="H74" s="160"/>
      <c r="I74" s="161"/>
      <c r="J74" s="162"/>
      <c r="L74" s="3" t="s">
        <v>12</v>
      </c>
    </row>
    <row r="75" spans="1:14" ht="20.100000000000001" customHeight="1" x14ac:dyDescent="0.2">
      <c r="A75" s="97" t="s">
        <v>23</v>
      </c>
      <c r="B75" s="160" t="s">
        <v>193</v>
      </c>
      <c r="C75" s="160"/>
      <c r="D75" s="160"/>
      <c r="E75" s="160"/>
      <c r="F75" s="160"/>
      <c r="G75" s="160"/>
      <c r="H75" s="160"/>
      <c r="I75" s="161"/>
      <c r="J75" s="162"/>
    </row>
    <row r="76" spans="1:14" ht="20.100000000000001" customHeight="1" x14ac:dyDescent="0.2">
      <c r="A76" s="97" t="s">
        <v>7</v>
      </c>
      <c r="B76" s="160" t="s">
        <v>194</v>
      </c>
      <c r="C76" s="160"/>
      <c r="D76" s="160"/>
      <c r="E76" s="160"/>
      <c r="F76" s="160"/>
      <c r="G76" s="160"/>
      <c r="H76" s="160"/>
      <c r="I76" s="161"/>
      <c r="J76" s="162"/>
    </row>
    <row r="77" spans="1:14" ht="20.100000000000001" customHeight="1" x14ac:dyDescent="0.2">
      <c r="A77" s="98" t="s">
        <v>53</v>
      </c>
      <c r="B77" s="160" t="s">
        <v>195</v>
      </c>
      <c r="C77" s="160"/>
      <c r="D77" s="160"/>
      <c r="E77" s="160"/>
      <c r="F77" s="160"/>
      <c r="G77" s="160"/>
      <c r="H77" s="160"/>
      <c r="I77" s="161"/>
      <c r="J77" s="162"/>
    </row>
    <row r="78" spans="1:14" ht="20.100000000000001" customHeight="1" x14ac:dyDescent="0.2">
      <c r="A78" s="98" t="s">
        <v>87</v>
      </c>
      <c r="B78" s="160" t="s">
        <v>196</v>
      </c>
      <c r="C78" s="160"/>
      <c r="D78" s="160"/>
      <c r="E78" s="160"/>
      <c r="F78" s="160"/>
      <c r="G78" s="160"/>
      <c r="H78" s="160"/>
      <c r="I78" s="161"/>
      <c r="J78" s="162"/>
    </row>
    <row r="79" spans="1:14" ht="20.100000000000001" customHeight="1" x14ac:dyDescent="0.2">
      <c r="A79" s="98" t="s">
        <v>18</v>
      </c>
      <c r="B79" s="166" t="s">
        <v>206</v>
      </c>
      <c r="C79" s="167"/>
      <c r="D79" s="167"/>
      <c r="E79" s="167"/>
      <c r="F79" s="167"/>
      <c r="G79" s="167"/>
      <c r="H79" s="167"/>
      <c r="I79" s="167"/>
      <c r="J79" s="168"/>
    </row>
    <row r="80" spans="1:14" ht="20.100000000000001" customHeight="1" x14ac:dyDescent="0.2">
      <c r="A80" s="98" t="s">
        <v>3</v>
      </c>
      <c r="B80" s="160" t="s">
        <v>197</v>
      </c>
      <c r="C80" s="160"/>
      <c r="D80" s="160"/>
      <c r="E80" s="160"/>
      <c r="F80" s="160"/>
      <c r="G80" s="160"/>
      <c r="H80" s="160"/>
      <c r="I80" s="161"/>
      <c r="J80" s="162"/>
    </row>
    <row r="81" spans="1:10" ht="20.100000000000001" customHeight="1" thickBot="1" x14ac:dyDescent="0.25">
      <c r="A81" s="99" t="s">
        <v>102</v>
      </c>
      <c r="B81" s="163" t="s">
        <v>198</v>
      </c>
      <c r="C81" s="163"/>
      <c r="D81" s="163"/>
      <c r="E81" s="163"/>
      <c r="F81" s="163"/>
      <c r="G81" s="163"/>
      <c r="H81" s="163"/>
      <c r="I81" s="164"/>
      <c r="J81" s="165"/>
    </row>
  </sheetData>
  <mergeCells count="30">
    <mergeCell ref="C11:N11"/>
    <mergeCell ref="A1:F1"/>
    <mergeCell ref="C3:H3"/>
    <mergeCell ref="C4:H4"/>
    <mergeCell ref="C5:H5"/>
    <mergeCell ref="C6:H6"/>
    <mergeCell ref="C7:H7"/>
    <mergeCell ref="C8:H8"/>
    <mergeCell ref="C9:H9"/>
    <mergeCell ref="C10:H10"/>
    <mergeCell ref="B73:J73"/>
    <mergeCell ref="A21:N21"/>
    <mergeCell ref="A32:N32"/>
    <mergeCell ref="A34:J34"/>
    <mergeCell ref="A35:J35"/>
    <mergeCell ref="J61:J65"/>
    <mergeCell ref="A66:J66"/>
    <mergeCell ref="A68:J68"/>
    <mergeCell ref="B69:J69"/>
    <mergeCell ref="B70:J70"/>
    <mergeCell ref="B71:J71"/>
    <mergeCell ref="B72:J72"/>
    <mergeCell ref="B80:J80"/>
    <mergeCell ref="B81:J81"/>
    <mergeCell ref="B74:J74"/>
    <mergeCell ref="B75:J75"/>
    <mergeCell ref="B76:J76"/>
    <mergeCell ref="B77:J77"/>
    <mergeCell ref="B78:J78"/>
    <mergeCell ref="B79:J79"/>
  </mergeCells>
  <pageMargins left="0.45" right="0.45" top="0.5" bottom="0.5" header="0.3" footer="0.3"/>
  <pageSetup paperSize="17"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zoomScaleNormal="100" workbookViewId="0">
      <selection sqref="A1:E1"/>
    </sheetView>
  </sheetViews>
  <sheetFormatPr defaultRowHeight="12.75" x14ac:dyDescent="0.2"/>
  <cols>
    <col min="1" max="1" width="18.7109375" customWidth="1"/>
    <col min="2" max="2" width="21.7109375" customWidth="1"/>
    <col min="3" max="7" width="18.7109375" customWidth="1"/>
    <col min="8" max="8" width="15.7109375" customWidth="1"/>
    <col min="9" max="9" width="27.140625" customWidth="1"/>
  </cols>
  <sheetData>
    <row r="1" spans="1:10" ht="20.100000000000001" customHeight="1" x14ac:dyDescent="0.25">
      <c r="A1" s="192" t="s">
        <v>120</v>
      </c>
      <c r="B1" s="192"/>
      <c r="C1" s="192"/>
      <c r="D1" s="192"/>
      <c r="E1" s="192"/>
      <c r="F1" s="8"/>
      <c r="G1" s="8"/>
    </row>
    <row r="2" spans="1:10" ht="20.100000000000001" customHeight="1" x14ac:dyDescent="0.25">
      <c r="A2" s="114" t="s">
        <v>12</v>
      </c>
      <c r="B2" s="111"/>
      <c r="C2" s="111"/>
      <c r="D2" s="111"/>
      <c r="E2" s="111"/>
      <c r="F2" s="8"/>
      <c r="G2" s="8"/>
    </row>
    <row r="3" spans="1:10" ht="20.100000000000001" customHeight="1" x14ac:dyDescent="0.2">
      <c r="A3" s="191" t="s">
        <v>61</v>
      </c>
      <c r="B3" s="191"/>
      <c r="C3" s="191"/>
      <c r="D3" s="7" t="s">
        <v>12</v>
      </c>
      <c r="E3" s="8"/>
      <c r="F3" s="8"/>
      <c r="G3" s="8"/>
    </row>
    <row r="4" spans="1:10" ht="20.100000000000001" customHeight="1" x14ac:dyDescent="0.2">
      <c r="A4" s="189" t="s">
        <v>130</v>
      </c>
      <c r="B4" s="189"/>
      <c r="C4" s="189"/>
      <c r="D4" s="189"/>
      <c r="E4" s="189"/>
      <c r="F4" s="63"/>
      <c r="G4" s="63"/>
      <c r="H4" s="63"/>
    </row>
    <row r="5" spans="1:10" ht="20.100000000000001" customHeight="1" x14ac:dyDescent="0.2">
      <c r="A5" s="189" t="s">
        <v>122</v>
      </c>
      <c r="B5" s="189"/>
      <c r="C5" s="189"/>
      <c r="D5" s="189"/>
      <c r="E5" s="112">
        <v>5.7099999999999998E-2</v>
      </c>
      <c r="F5" s="63"/>
      <c r="G5" s="63"/>
      <c r="H5" s="8"/>
      <c r="I5" s="8"/>
    </row>
    <row r="6" spans="1:10" ht="20.100000000000001" customHeight="1" x14ac:dyDescent="0.2">
      <c r="A6" s="190" t="s">
        <v>58</v>
      </c>
      <c r="B6" s="190"/>
      <c r="C6" s="190"/>
      <c r="D6" s="190"/>
      <c r="E6" s="190"/>
      <c r="F6" s="8"/>
      <c r="G6" s="8"/>
    </row>
    <row r="7" spans="1:10" ht="20.100000000000001" customHeight="1" x14ac:dyDescent="0.2">
      <c r="A7" s="190" t="s">
        <v>59</v>
      </c>
      <c r="B7" s="190"/>
      <c r="C7" s="190"/>
      <c r="D7" s="190"/>
      <c r="E7" s="190"/>
      <c r="F7" s="8"/>
      <c r="G7" s="8"/>
    </row>
    <row r="8" spans="1:10" ht="20.100000000000001" customHeight="1" x14ac:dyDescent="0.2">
      <c r="A8" s="195" t="s">
        <v>121</v>
      </c>
      <c r="B8" s="195"/>
      <c r="C8" s="195"/>
      <c r="D8" s="195"/>
      <c r="E8" s="195"/>
      <c r="F8" s="110"/>
      <c r="G8" s="8"/>
      <c r="I8" s="109" t="s">
        <v>12</v>
      </c>
    </row>
    <row r="9" spans="1:10" ht="20.100000000000001" customHeight="1" x14ac:dyDescent="0.2">
      <c r="A9" s="190" t="s">
        <v>60</v>
      </c>
      <c r="B9" s="190"/>
      <c r="C9" s="190"/>
      <c r="D9" s="190"/>
      <c r="E9" s="190"/>
      <c r="F9" s="8"/>
      <c r="G9" s="8"/>
      <c r="H9" s="55" t="s">
        <v>12</v>
      </c>
    </row>
    <row r="11" spans="1:10" ht="75" x14ac:dyDescent="0.2">
      <c r="A11" s="103" t="s">
        <v>123</v>
      </c>
      <c r="B11" s="23" t="s">
        <v>126</v>
      </c>
      <c r="C11" s="23" t="s">
        <v>98</v>
      </c>
      <c r="D11" s="23" t="s">
        <v>124</v>
      </c>
      <c r="E11" s="23" t="s">
        <v>128</v>
      </c>
      <c r="F11" s="23" t="s">
        <v>129</v>
      </c>
      <c r="G11" s="23" t="s">
        <v>127</v>
      </c>
      <c r="H11" s="23" t="s">
        <v>99</v>
      </c>
      <c r="I11" s="155" t="s">
        <v>228</v>
      </c>
    </row>
    <row r="12" spans="1:10" ht="15.95" customHeight="1" x14ac:dyDescent="0.25">
      <c r="A12" s="9" t="s">
        <v>54</v>
      </c>
      <c r="B12" s="11">
        <v>132200</v>
      </c>
      <c r="C12" s="5">
        <f>ROUND(B12/(365*(1-$E$5)),2)</f>
        <v>384.13</v>
      </c>
      <c r="D12" s="10"/>
      <c r="E12" s="10"/>
      <c r="F12" s="10"/>
      <c r="G12" s="12"/>
      <c r="H12" s="12"/>
      <c r="I12" s="152"/>
      <c r="J12" s="104" t="s">
        <v>12</v>
      </c>
    </row>
    <row r="13" spans="1:10" ht="15.95" customHeight="1" x14ac:dyDescent="0.2">
      <c r="A13" s="102" t="s">
        <v>2</v>
      </c>
      <c r="B13" s="11" t="s">
        <v>12</v>
      </c>
      <c r="C13" s="5">
        <f t="shared" ref="C13:C18" si="0">$C$12</f>
        <v>384.13</v>
      </c>
      <c r="D13" s="54">
        <v>30237.69</v>
      </c>
      <c r="E13" s="4">
        <v>2199</v>
      </c>
      <c r="F13" s="5">
        <f t="shared" ref="F13:F18" si="1">($B$12-D13-E13)/365</f>
        <v>273.32413698630137</v>
      </c>
      <c r="G13" s="5">
        <f t="shared" ref="G13:G18" si="2">ROUND(F13/(1-$E$5),2)</f>
        <v>289.88</v>
      </c>
      <c r="H13" s="5" t="s">
        <v>12</v>
      </c>
      <c r="I13" s="152"/>
      <c r="J13" s="104" t="s">
        <v>12</v>
      </c>
    </row>
    <row r="14" spans="1:10" ht="15.95" customHeight="1" x14ac:dyDescent="0.2">
      <c r="A14" s="102" t="s">
        <v>1</v>
      </c>
      <c r="B14" s="11" t="s">
        <v>12</v>
      </c>
      <c r="C14" s="5">
        <f t="shared" si="0"/>
        <v>384.13</v>
      </c>
      <c r="D14" s="54">
        <v>41700.870000000003</v>
      </c>
      <c r="E14" s="4">
        <v>2199</v>
      </c>
      <c r="F14" s="5">
        <f t="shared" si="1"/>
        <v>241.91816438356165</v>
      </c>
      <c r="G14" s="5">
        <f t="shared" si="2"/>
        <v>256.57</v>
      </c>
      <c r="H14" s="5">
        <f>ROUND(MAX($C$12,1.5*G14),2)</f>
        <v>384.86</v>
      </c>
      <c r="I14" s="153" t="s">
        <v>45</v>
      </c>
      <c r="J14" s="104" t="s">
        <v>12</v>
      </c>
    </row>
    <row r="15" spans="1:10" ht="15.95" customHeight="1" x14ac:dyDescent="0.2">
      <c r="A15" s="102" t="s">
        <v>5</v>
      </c>
      <c r="B15" s="11" t="s">
        <v>12</v>
      </c>
      <c r="C15" s="5">
        <f t="shared" si="0"/>
        <v>384.13</v>
      </c>
      <c r="D15" s="54">
        <v>35116.559999999998</v>
      </c>
      <c r="E15" s="4">
        <v>2199</v>
      </c>
      <c r="F15" s="5">
        <f t="shared" si="1"/>
        <v>259.9573698630137</v>
      </c>
      <c r="G15" s="5">
        <f t="shared" si="2"/>
        <v>275.7</v>
      </c>
      <c r="H15" s="5" t="s">
        <v>12</v>
      </c>
      <c r="I15" s="152"/>
      <c r="J15" s="104" t="s">
        <v>12</v>
      </c>
    </row>
    <row r="16" spans="1:10" ht="15.95" customHeight="1" x14ac:dyDescent="0.2">
      <c r="A16" s="102" t="s">
        <v>125</v>
      </c>
      <c r="B16" s="11" t="s">
        <v>12</v>
      </c>
      <c r="C16" s="5">
        <f t="shared" si="0"/>
        <v>384.13</v>
      </c>
      <c r="D16" s="54">
        <v>31570.45</v>
      </c>
      <c r="E16" s="4">
        <v>2199</v>
      </c>
      <c r="F16" s="5">
        <f t="shared" si="1"/>
        <v>269.67273972602743</v>
      </c>
      <c r="G16" s="5">
        <f t="shared" si="2"/>
        <v>286</v>
      </c>
      <c r="H16" s="5" t="s">
        <v>12</v>
      </c>
      <c r="I16" s="152"/>
      <c r="J16" s="104" t="s">
        <v>12</v>
      </c>
    </row>
    <row r="17" spans="1:12" ht="15.95" customHeight="1" x14ac:dyDescent="0.2">
      <c r="A17" s="102" t="s">
        <v>82</v>
      </c>
      <c r="B17" s="11" t="s">
        <v>12</v>
      </c>
      <c r="C17" s="5">
        <f t="shared" si="0"/>
        <v>384.13</v>
      </c>
      <c r="D17" s="54">
        <v>28139.67</v>
      </c>
      <c r="E17" s="4">
        <v>2199</v>
      </c>
      <c r="F17" s="5">
        <f t="shared" si="1"/>
        <v>279.07213698630136</v>
      </c>
      <c r="G17" s="5">
        <f t="shared" si="2"/>
        <v>295.97000000000003</v>
      </c>
      <c r="H17" s="5">
        <f t="shared" ref="H17:H19" si="3">ROUND(MAX($C$12,1.5*G17),2)</f>
        <v>443.96</v>
      </c>
      <c r="I17" s="153" t="s">
        <v>224</v>
      </c>
      <c r="J17" s="104" t="s">
        <v>12</v>
      </c>
    </row>
    <row r="18" spans="1:12" ht="15.95" customHeight="1" x14ac:dyDescent="0.2">
      <c r="A18" s="102" t="s">
        <v>40</v>
      </c>
      <c r="B18" s="11" t="s">
        <v>12</v>
      </c>
      <c r="C18" s="5">
        <f t="shared" si="0"/>
        <v>384.13</v>
      </c>
      <c r="D18" s="54">
        <v>29093.82</v>
      </c>
      <c r="E18" s="4">
        <v>2199</v>
      </c>
      <c r="F18" s="5">
        <f t="shared" si="1"/>
        <v>276.45802739726025</v>
      </c>
      <c r="G18" s="5">
        <f t="shared" si="2"/>
        <v>293.2</v>
      </c>
      <c r="H18" s="5" t="s">
        <v>12</v>
      </c>
      <c r="I18" s="152"/>
      <c r="J18" s="104" t="s">
        <v>12</v>
      </c>
    </row>
    <row r="19" spans="1:12" ht="15.95" customHeight="1" x14ac:dyDescent="0.2">
      <c r="A19" s="101" t="s">
        <v>16</v>
      </c>
      <c r="B19" s="11" t="s">
        <v>12</v>
      </c>
      <c r="C19" s="6"/>
      <c r="D19" s="54" t="s">
        <v>12</v>
      </c>
      <c r="E19" s="4" t="s">
        <v>12</v>
      </c>
      <c r="F19" s="5">
        <f>ROUND(G19*(1-$E$5),2)</f>
        <v>266.74</v>
      </c>
      <c r="G19" s="5">
        <f>ROUND(AVERAGE(G13:G18),2)</f>
        <v>282.89</v>
      </c>
      <c r="H19" s="5">
        <f t="shared" si="3"/>
        <v>424.34</v>
      </c>
      <c r="I19" s="153" t="s">
        <v>16</v>
      </c>
      <c r="J19" s="104" t="s">
        <v>12</v>
      </c>
      <c r="K19" s="158" t="s">
        <v>12</v>
      </c>
      <c r="L19" t="s">
        <v>12</v>
      </c>
    </row>
    <row r="20" spans="1:12" ht="15.95" customHeight="1" x14ac:dyDescent="0.25">
      <c r="A20" s="9" t="s">
        <v>55</v>
      </c>
      <c r="B20" s="11">
        <v>130300</v>
      </c>
      <c r="C20" s="5">
        <f>ROUND(B20/(365*(1-$E$5)),2)</f>
        <v>378.6</v>
      </c>
      <c r="D20" s="54"/>
      <c r="E20" s="4"/>
      <c r="F20" s="5"/>
      <c r="G20" s="6" t="s">
        <v>12</v>
      </c>
      <c r="H20" s="6" t="s">
        <v>12</v>
      </c>
      <c r="I20" s="152"/>
      <c r="J20" s="104" t="s">
        <v>12</v>
      </c>
    </row>
    <row r="21" spans="1:12" ht="15.95" customHeight="1" x14ac:dyDescent="0.2">
      <c r="A21" s="102" t="s">
        <v>3</v>
      </c>
      <c r="B21" s="11" t="s">
        <v>12</v>
      </c>
      <c r="C21" s="5">
        <f>$C$20</f>
        <v>378.6</v>
      </c>
      <c r="D21" s="54">
        <v>47570.74</v>
      </c>
      <c r="E21" s="4">
        <v>2199</v>
      </c>
      <c r="F21" s="5">
        <f>($B$20-D21-E21)/365</f>
        <v>220.63084931506853</v>
      </c>
      <c r="G21" s="5">
        <f>ROUND(F21/(1-$E$5),2)</f>
        <v>233.99</v>
      </c>
      <c r="H21" s="5">
        <f>ROUND(MAX($C$20,1.5*G21),2)</f>
        <v>378.6</v>
      </c>
      <c r="I21" s="153" t="s">
        <v>3</v>
      </c>
      <c r="J21" s="104" t="s">
        <v>12</v>
      </c>
    </row>
    <row r="22" spans="1:12" ht="15.95" customHeight="1" x14ac:dyDescent="0.2">
      <c r="A22" s="102" t="s">
        <v>7</v>
      </c>
      <c r="B22" s="11"/>
      <c r="C22" s="5">
        <f>$C$20</f>
        <v>378.6</v>
      </c>
      <c r="D22" s="54">
        <v>42390.95</v>
      </c>
      <c r="E22" s="4">
        <v>2199</v>
      </c>
      <c r="F22" s="5">
        <f>($B$20-D22-E22)/365</f>
        <v>234.82205479452057</v>
      </c>
      <c r="G22" s="5">
        <f>ROUND(F22/(1-$E$5),2)</f>
        <v>249.04</v>
      </c>
      <c r="H22" s="5">
        <f>ROUND(MAX($C$20,1.5*G22),2)</f>
        <v>378.6</v>
      </c>
      <c r="I22" s="153" t="s">
        <v>7</v>
      </c>
      <c r="J22" s="104" t="s">
        <v>12</v>
      </c>
    </row>
    <row r="23" spans="1:12" ht="15.95" customHeight="1" x14ac:dyDescent="0.2">
      <c r="A23" s="101" t="s">
        <v>14</v>
      </c>
      <c r="B23" s="11"/>
      <c r="C23" s="6"/>
      <c r="D23" s="54"/>
      <c r="E23" s="4" t="s">
        <v>12</v>
      </c>
      <c r="F23" s="5">
        <f>ROUND(G23*(1-$E$5),2)</f>
        <v>227.73</v>
      </c>
      <c r="G23" s="5">
        <f>ROUND(AVERAGE(G21:G22),2)</f>
        <v>241.52</v>
      </c>
      <c r="H23" s="5">
        <f>ROUND(MAX($C$20,1.5*G23),2)</f>
        <v>378.6</v>
      </c>
      <c r="I23" s="153" t="s">
        <v>14</v>
      </c>
      <c r="J23" s="104" t="s">
        <v>12</v>
      </c>
      <c r="K23" s="158" t="s">
        <v>12</v>
      </c>
    </row>
    <row r="24" spans="1:12" ht="15.95" customHeight="1" x14ac:dyDescent="0.25">
      <c r="A24" s="9" t="s">
        <v>57</v>
      </c>
      <c r="B24" s="11">
        <v>130300</v>
      </c>
      <c r="C24" s="5">
        <f>ROUND(B24/(365*(1-$E$5)),2)</f>
        <v>378.6</v>
      </c>
      <c r="D24" s="54"/>
      <c r="E24" s="4" t="s">
        <v>12</v>
      </c>
      <c r="F24" s="5"/>
      <c r="G24" s="6"/>
      <c r="H24" s="6"/>
      <c r="I24" s="152"/>
      <c r="J24" s="104" t="s">
        <v>12</v>
      </c>
    </row>
    <row r="25" spans="1:12" ht="15.95" customHeight="1" x14ac:dyDescent="0.2">
      <c r="A25" s="102" t="s">
        <v>21</v>
      </c>
      <c r="B25" s="11" t="s">
        <v>12</v>
      </c>
      <c r="C25" s="5">
        <f>$C$24</f>
        <v>378.6</v>
      </c>
      <c r="D25" s="54">
        <v>31279.759999999998</v>
      </c>
      <c r="E25" s="4">
        <v>2199</v>
      </c>
      <c r="F25" s="5">
        <f>($B$24-D25-E25)/365</f>
        <v>265.26367123287673</v>
      </c>
      <c r="G25" s="5">
        <f>ROUND(F25/(1-$E$5),2)</f>
        <v>281.33</v>
      </c>
      <c r="H25" s="5" t="s">
        <v>12</v>
      </c>
      <c r="I25" s="152"/>
      <c r="J25" s="104" t="s">
        <v>12</v>
      </c>
    </row>
    <row r="26" spans="1:12" ht="15.95" customHeight="1" x14ac:dyDescent="0.2">
      <c r="A26" s="102" t="s">
        <v>83</v>
      </c>
      <c r="B26" s="11"/>
      <c r="C26" s="5">
        <f t="shared" ref="C26:C27" si="4">$C$24</f>
        <v>378.6</v>
      </c>
      <c r="D26" s="54">
        <v>51175.41</v>
      </c>
      <c r="E26" s="4">
        <v>2199</v>
      </c>
      <c r="F26" s="5">
        <f>($B$24-D26-E26)/365</f>
        <v>210.75504109589039</v>
      </c>
      <c r="G26" s="5">
        <f>ROUND(F26/(1-$E$5),2)</f>
        <v>223.52</v>
      </c>
      <c r="H26" s="5" t="s">
        <v>12</v>
      </c>
      <c r="I26" s="152"/>
      <c r="J26" s="104" t="s">
        <v>12</v>
      </c>
    </row>
    <row r="27" spans="1:12" ht="15.95" customHeight="1" x14ac:dyDescent="0.2">
      <c r="A27" s="102" t="s">
        <v>81</v>
      </c>
      <c r="B27" s="11"/>
      <c r="C27" s="5">
        <f t="shared" si="4"/>
        <v>378.6</v>
      </c>
      <c r="D27" s="54">
        <v>30751.95</v>
      </c>
      <c r="E27" s="4">
        <v>2199</v>
      </c>
      <c r="F27" s="5">
        <f>($B$24-D27-E27)/365</f>
        <v>266.70972602739727</v>
      </c>
      <c r="G27" s="5">
        <f t="shared" ref="G27" si="5">ROUND(F27/(1-$E$5),2)</f>
        <v>282.86</v>
      </c>
      <c r="H27" s="5">
        <f>ROUND(MAX($C$24,1.5*G27),2)</f>
        <v>424.29</v>
      </c>
      <c r="I27" s="153" t="s">
        <v>81</v>
      </c>
      <c r="J27" s="104" t="s">
        <v>12</v>
      </c>
    </row>
    <row r="28" spans="1:12" ht="15.95" customHeight="1" x14ac:dyDescent="0.2">
      <c r="A28" s="101" t="s">
        <v>17</v>
      </c>
      <c r="B28" s="11" t="s">
        <v>12</v>
      </c>
      <c r="C28" s="5">
        <f>ROUND(AVERAGE(C13,C14,C15,C16,C17,C18,C21,C22,C25,C26,C27),2)</f>
        <v>381.62</v>
      </c>
      <c r="D28" s="54"/>
      <c r="E28" s="4" t="s">
        <v>12</v>
      </c>
      <c r="F28" s="5">
        <f>ROUND(G28*(1-$E$5),2)</f>
        <v>254.41</v>
      </c>
      <c r="G28" s="5">
        <f>ROUND(AVERAGE(G13,G14,G15,G16,G17,G18,G21,G22,G25,G26,G27),2)</f>
        <v>269.82</v>
      </c>
      <c r="H28" s="5">
        <f>ROUND(MAX($C$28,1.5*G28),2)</f>
        <v>404.73</v>
      </c>
      <c r="I28" s="153" t="s">
        <v>17</v>
      </c>
      <c r="J28" s="104" t="s">
        <v>12</v>
      </c>
      <c r="K28" s="158" t="s">
        <v>12</v>
      </c>
    </row>
    <row r="29" spans="1:12" ht="15.95" customHeight="1" x14ac:dyDescent="0.25">
      <c r="A29" s="9" t="s">
        <v>56</v>
      </c>
      <c r="B29" s="11">
        <v>128900</v>
      </c>
      <c r="C29" s="5">
        <f>ROUND(B29/(365*(1-$E$5)),2)</f>
        <v>374.54</v>
      </c>
      <c r="D29" s="54"/>
      <c r="E29" s="4" t="s">
        <v>12</v>
      </c>
      <c r="F29" s="5"/>
      <c r="G29" s="6"/>
      <c r="H29" s="6"/>
      <c r="I29" s="152"/>
      <c r="J29" s="104" t="s">
        <v>12</v>
      </c>
    </row>
    <row r="30" spans="1:12" ht="15.95" customHeight="1" x14ac:dyDescent="0.2">
      <c r="A30" s="154" t="s">
        <v>66</v>
      </c>
      <c r="B30" s="11"/>
      <c r="C30" s="5"/>
      <c r="D30" s="54">
        <v>27932.34</v>
      </c>
      <c r="E30" s="4">
        <v>2199</v>
      </c>
      <c r="F30" s="5">
        <f t="shared" ref="F30:F31" si="6">($B$29-D30-E30)/365</f>
        <v>270.5990684931507</v>
      </c>
      <c r="G30" s="5">
        <f t="shared" ref="G30:G31" si="7">ROUND(F30/(1-$E$5),2)</f>
        <v>286.99</v>
      </c>
      <c r="H30" s="5" t="s">
        <v>12</v>
      </c>
      <c r="I30" s="152"/>
      <c r="J30" s="104"/>
    </row>
    <row r="31" spans="1:12" ht="15.95" customHeight="1" x14ac:dyDescent="0.2">
      <c r="A31" s="154" t="s">
        <v>0</v>
      </c>
      <c r="B31" s="11"/>
      <c r="C31" s="5"/>
      <c r="D31" s="54">
        <v>36061.54</v>
      </c>
      <c r="E31" s="4">
        <v>2199</v>
      </c>
      <c r="F31" s="5">
        <f t="shared" si="6"/>
        <v>248.32728767123285</v>
      </c>
      <c r="G31" s="5">
        <f t="shared" si="7"/>
        <v>263.37</v>
      </c>
      <c r="H31" s="5" t="s">
        <v>12</v>
      </c>
      <c r="I31" s="152"/>
      <c r="J31" s="104"/>
    </row>
    <row r="32" spans="1:12" ht="15.95" customHeight="1" x14ac:dyDescent="0.2">
      <c r="A32" s="102" t="s">
        <v>53</v>
      </c>
      <c r="B32" s="11" t="s">
        <v>12</v>
      </c>
      <c r="C32" s="6" t="s">
        <v>12</v>
      </c>
      <c r="D32" s="54">
        <v>33819.550000000003</v>
      </c>
      <c r="E32" s="4">
        <v>2199</v>
      </c>
      <c r="F32" s="5">
        <f>($B$29-D32-E32)/365</f>
        <v>254.46972602739726</v>
      </c>
      <c r="G32" s="5">
        <f>ROUND(F32/(1-$E$5),2)</f>
        <v>269.88</v>
      </c>
      <c r="H32" s="5">
        <f>ROUND(MAX($C$29,1.5*G32),2)</f>
        <v>404.82</v>
      </c>
      <c r="I32" s="153" t="s">
        <v>225</v>
      </c>
      <c r="J32" s="104" t="s">
        <v>12</v>
      </c>
    </row>
    <row r="33" spans="1:10" ht="15.95" customHeight="1" x14ac:dyDescent="0.2">
      <c r="A33" s="102" t="s">
        <v>18</v>
      </c>
      <c r="B33" s="11"/>
      <c r="C33" s="6"/>
      <c r="D33" s="54">
        <v>17220.330000000002</v>
      </c>
      <c r="E33" s="4">
        <v>2199</v>
      </c>
      <c r="F33" s="5">
        <f>($B$29-D33-E33)/365</f>
        <v>299.94704109589043</v>
      </c>
      <c r="G33" s="5">
        <f>ROUND(F33/(1-$E$5),2)</f>
        <v>318.11</v>
      </c>
      <c r="H33" s="5">
        <f>ROUND(MAX($C$29,1.5*G33),2)</f>
        <v>477.17</v>
      </c>
      <c r="I33" s="153" t="s">
        <v>18</v>
      </c>
      <c r="J33" s="104" t="s">
        <v>12</v>
      </c>
    </row>
    <row r="34" spans="1:10" ht="15.95" customHeight="1" x14ac:dyDescent="0.2">
      <c r="A34" s="102" t="s">
        <v>19</v>
      </c>
      <c r="B34" s="11"/>
      <c r="C34" s="6"/>
      <c r="D34" s="54">
        <v>30598.15</v>
      </c>
      <c r="E34" s="4">
        <v>2199</v>
      </c>
      <c r="F34" s="5">
        <f t="shared" ref="F34:F37" si="8">($B$29-D34-E34)/365</f>
        <v>263.29547945205479</v>
      </c>
      <c r="G34" s="5">
        <f t="shared" ref="G34:G38" si="9">ROUND(F34/(1-$E$5),2)</f>
        <v>279.24</v>
      </c>
      <c r="H34" s="5" t="s">
        <v>12</v>
      </c>
      <c r="I34" s="152"/>
      <c r="J34" s="104"/>
    </row>
    <row r="35" spans="1:10" ht="15.95" customHeight="1" x14ac:dyDescent="0.2">
      <c r="A35" s="102" t="s">
        <v>79</v>
      </c>
      <c r="B35" s="11"/>
      <c r="C35" s="6"/>
      <c r="D35" s="54">
        <v>26214.06</v>
      </c>
      <c r="E35" s="4">
        <v>2199</v>
      </c>
      <c r="F35" s="5">
        <f t="shared" si="8"/>
        <v>275.30668493150688</v>
      </c>
      <c r="G35" s="5">
        <f t="shared" si="9"/>
        <v>291.98</v>
      </c>
      <c r="H35" s="5" t="s">
        <v>12</v>
      </c>
      <c r="I35" s="152"/>
      <c r="J35" s="104"/>
    </row>
    <row r="36" spans="1:10" ht="15.95" customHeight="1" x14ac:dyDescent="0.2">
      <c r="A36" s="102" t="s">
        <v>4</v>
      </c>
      <c r="B36" s="11"/>
      <c r="C36" s="6"/>
      <c r="D36" s="54">
        <v>28704.07</v>
      </c>
      <c r="E36" s="4">
        <v>2199</v>
      </c>
      <c r="F36" s="5">
        <f t="shared" si="8"/>
        <v>268.48473972602739</v>
      </c>
      <c r="G36" s="5">
        <f t="shared" si="9"/>
        <v>284.74</v>
      </c>
      <c r="H36" s="5" t="s">
        <v>12</v>
      </c>
      <c r="I36" s="152"/>
      <c r="J36" s="104"/>
    </row>
    <row r="37" spans="1:10" ht="15.95" customHeight="1" x14ac:dyDescent="0.2">
      <c r="A37" s="102" t="s">
        <v>20</v>
      </c>
      <c r="B37" s="11"/>
      <c r="C37" s="6"/>
      <c r="D37" s="54">
        <v>27255.94</v>
      </c>
      <c r="E37" s="4">
        <v>2199</v>
      </c>
      <c r="F37" s="5">
        <f t="shared" si="8"/>
        <v>272.4522191780822</v>
      </c>
      <c r="G37" s="5">
        <f t="shared" si="9"/>
        <v>288.95</v>
      </c>
      <c r="H37" s="5" t="s">
        <v>12</v>
      </c>
      <c r="I37" s="152"/>
      <c r="J37" s="104"/>
    </row>
    <row r="38" spans="1:10" ht="15.95" customHeight="1" x14ac:dyDescent="0.2">
      <c r="A38" s="102" t="s">
        <v>88</v>
      </c>
      <c r="B38" s="11"/>
      <c r="C38" s="6"/>
      <c r="D38" s="54">
        <v>46685.96</v>
      </c>
      <c r="E38" s="4">
        <v>2199</v>
      </c>
      <c r="F38" s="5">
        <f>($B$29-D38-E38)/365</f>
        <v>219.21928767123291</v>
      </c>
      <c r="G38" s="5">
        <f t="shared" si="9"/>
        <v>232.49</v>
      </c>
      <c r="H38" s="5" t="s">
        <v>12</v>
      </c>
      <c r="I38" s="152"/>
      <c r="J38" s="104"/>
    </row>
    <row r="39" spans="1:10" ht="15.95" customHeight="1" x14ac:dyDescent="0.2">
      <c r="A39" s="101" t="s">
        <v>13</v>
      </c>
      <c r="B39" s="11">
        <f>AVERAGE(B12,B20,B24,B29)</f>
        <v>130425</v>
      </c>
      <c r="C39" s="5">
        <f>ROUND(B39/(365*(1-$E$5)),2)</f>
        <v>378.97</v>
      </c>
      <c r="D39" s="54">
        <v>25483.54</v>
      </c>
      <c r="E39" s="4">
        <f>E32</f>
        <v>2199</v>
      </c>
      <c r="F39" s="5">
        <f>($B$39-D39-E39)/365</f>
        <v>281.48619178082191</v>
      </c>
      <c r="G39" s="5">
        <f>ROUND(F39/(1-$E$5),2)</f>
        <v>298.52999999999997</v>
      </c>
      <c r="H39" s="5">
        <f>ROUND(MAX($C$39,1.5*G39),2)</f>
        <v>447.8</v>
      </c>
      <c r="I39" s="153" t="s">
        <v>13</v>
      </c>
      <c r="J39" s="104" t="s">
        <v>12</v>
      </c>
    </row>
    <row r="40" spans="1:10" ht="15" customHeight="1" x14ac:dyDescent="0.2">
      <c r="A40" s="193" t="s">
        <v>100</v>
      </c>
      <c r="B40" s="194"/>
      <c r="C40" s="194"/>
      <c r="D40" s="194"/>
      <c r="E40" s="194"/>
      <c r="F40" s="194"/>
      <c r="G40" s="194"/>
      <c r="H40" s="194"/>
    </row>
  </sheetData>
  <mergeCells count="9">
    <mergeCell ref="A1:E1"/>
    <mergeCell ref="A3:C3"/>
    <mergeCell ref="A40:H40"/>
    <mergeCell ref="A8:E8"/>
    <mergeCell ref="A7:E7"/>
    <mergeCell ref="A6:E6"/>
    <mergeCell ref="A4:E4"/>
    <mergeCell ref="A5:D5"/>
    <mergeCell ref="A9:E9"/>
  </mergeCells>
  <pageMargins left="0.45" right="0.45" top="0.5" bottom="0.5" header="0.3" footer="0.3"/>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zoomScale="120" zoomScaleNormal="120" workbookViewId="0">
      <selection sqref="A1:C1"/>
    </sheetView>
  </sheetViews>
  <sheetFormatPr defaultRowHeight="12.75" x14ac:dyDescent="0.2"/>
  <cols>
    <col min="1" max="1" width="12.7109375" customWidth="1"/>
    <col min="2" max="2" width="100.7109375" customWidth="1"/>
    <col min="3" max="3" width="15.7109375" customWidth="1"/>
  </cols>
  <sheetData>
    <row r="1" spans="1:4" ht="20.100000000000001" customHeight="1" thickBot="1" x14ac:dyDescent="0.25">
      <c r="A1" s="196" t="s">
        <v>137</v>
      </c>
      <c r="B1" s="196"/>
      <c r="C1" s="196"/>
      <c r="D1" s="52" t="s">
        <v>12</v>
      </c>
    </row>
    <row r="2" spans="1:4" ht="30.95" customHeight="1" thickBot="1" x14ac:dyDescent="0.25">
      <c r="A2" s="49" t="s">
        <v>62</v>
      </c>
      <c r="B2" s="50" t="s">
        <v>63</v>
      </c>
      <c r="C2" s="91" t="s">
        <v>64</v>
      </c>
    </row>
    <row r="3" spans="1:4" ht="20.100000000000001" customHeight="1" x14ac:dyDescent="0.2">
      <c r="A3" s="127" t="s">
        <v>138</v>
      </c>
      <c r="B3" s="128" t="s">
        <v>139</v>
      </c>
      <c r="C3" s="129" t="s">
        <v>81</v>
      </c>
    </row>
    <row r="4" spans="1:4" ht="30" customHeight="1" x14ac:dyDescent="0.2">
      <c r="A4" s="122" t="s">
        <v>140</v>
      </c>
      <c r="B4" s="121" t="s">
        <v>141</v>
      </c>
      <c r="C4" s="123" t="s">
        <v>81</v>
      </c>
    </row>
    <row r="5" spans="1:4" ht="20.100000000000001" customHeight="1" x14ac:dyDescent="0.2">
      <c r="A5" s="122" t="s">
        <v>142</v>
      </c>
      <c r="B5" s="121" t="s">
        <v>143</v>
      </c>
      <c r="C5" s="123" t="s">
        <v>83</v>
      </c>
    </row>
    <row r="6" spans="1:4" ht="30" customHeight="1" x14ac:dyDescent="0.2">
      <c r="A6" s="122" t="s">
        <v>144</v>
      </c>
      <c r="B6" s="121" t="s">
        <v>145</v>
      </c>
      <c r="C6" s="123" t="s">
        <v>80</v>
      </c>
    </row>
    <row r="7" spans="1:4" ht="20.100000000000001" customHeight="1" x14ac:dyDescent="0.2">
      <c r="A7" s="122" t="s">
        <v>146</v>
      </c>
      <c r="B7" s="121" t="s">
        <v>147</v>
      </c>
      <c r="C7" s="123" t="s">
        <v>82</v>
      </c>
    </row>
    <row r="8" spans="1:4" ht="20.100000000000001" customHeight="1" x14ac:dyDescent="0.2">
      <c r="A8" s="122" t="s">
        <v>148</v>
      </c>
      <c r="B8" s="121" t="s">
        <v>149</v>
      </c>
      <c r="C8" s="123" t="s">
        <v>82</v>
      </c>
    </row>
    <row r="9" spans="1:4" ht="20.100000000000001" customHeight="1" x14ac:dyDescent="0.2">
      <c r="A9" s="122" t="s">
        <v>150</v>
      </c>
      <c r="B9" s="121" t="s">
        <v>151</v>
      </c>
      <c r="C9" s="123" t="s">
        <v>82</v>
      </c>
    </row>
    <row r="10" spans="1:4" ht="20.100000000000001" customHeight="1" x14ac:dyDescent="0.2">
      <c r="A10" s="122" t="s">
        <v>152</v>
      </c>
      <c r="B10" s="121" t="s">
        <v>153</v>
      </c>
      <c r="C10" s="123" t="s">
        <v>82</v>
      </c>
    </row>
    <row r="11" spans="1:4" ht="20.100000000000001" customHeight="1" x14ac:dyDescent="0.2">
      <c r="A11" s="122" t="s">
        <v>154</v>
      </c>
      <c r="B11" s="121" t="s">
        <v>155</v>
      </c>
      <c r="C11" s="123" t="s">
        <v>82</v>
      </c>
    </row>
    <row r="12" spans="1:4" ht="30" customHeight="1" x14ac:dyDescent="0.2">
      <c r="A12" s="122" t="s">
        <v>156</v>
      </c>
      <c r="B12" s="121" t="s">
        <v>157</v>
      </c>
      <c r="C12" s="123" t="s">
        <v>82</v>
      </c>
    </row>
    <row r="13" spans="1:4" ht="20.100000000000001" customHeight="1" x14ac:dyDescent="0.2">
      <c r="A13" s="122" t="s">
        <v>158</v>
      </c>
      <c r="B13" s="121" t="s">
        <v>159</v>
      </c>
      <c r="C13" s="123" t="s">
        <v>82</v>
      </c>
    </row>
    <row r="14" spans="1:4" ht="30" customHeight="1" x14ac:dyDescent="0.2">
      <c r="A14" s="122" t="s">
        <v>160</v>
      </c>
      <c r="B14" s="121" t="s">
        <v>161</v>
      </c>
      <c r="C14" s="123" t="s">
        <v>82</v>
      </c>
    </row>
    <row r="15" spans="1:4" ht="20.100000000000001" customHeight="1" x14ac:dyDescent="0.2">
      <c r="A15" s="122" t="s">
        <v>162</v>
      </c>
      <c r="B15" s="121" t="s">
        <v>163</v>
      </c>
      <c r="C15" s="123" t="s">
        <v>82</v>
      </c>
    </row>
    <row r="16" spans="1:4" ht="20.100000000000001" customHeight="1" x14ac:dyDescent="0.2">
      <c r="A16" s="122" t="s">
        <v>164</v>
      </c>
      <c r="B16" s="121" t="s">
        <v>165</v>
      </c>
      <c r="C16" s="123" t="s">
        <v>82</v>
      </c>
    </row>
    <row r="17" spans="1:3" ht="20.100000000000001" customHeight="1" x14ac:dyDescent="0.2">
      <c r="A17" s="122" t="s">
        <v>166</v>
      </c>
      <c r="B17" s="121" t="s">
        <v>167</v>
      </c>
      <c r="C17" s="123" t="s">
        <v>82</v>
      </c>
    </row>
    <row r="18" spans="1:3" ht="20.100000000000001" customHeight="1" x14ac:dyDescent="0.2">
      <c r="A18" s="122" t="s">
        <v>168</v>
      </c>
      <c r="B18" s="121" t="s">
        <v>169</v>
      </c>
      <c r="C18" s="123" t="s">
        <v>82</v>
      </c>
    </row>
    <row r="19" spans="1:3" ht="20.100000000000001" customHeight="1" x14ac:dyDescent="0.2">
      <c r="A19" s="122" t="s">
        <v>170</v>
      </c>
      <c r="B19" s="121" t="s">
        <v>171</v>
      </c>
      <c r="C19" s="123" t="s">
        <v>82</v>
      </c>
    </row>
    <row r="20" spans="1:3" ht="20.100000000000001" customHeight="1" x14ac:dyDescent="0.2">
      <c r="A20" s="122" t="s">
        <v>172</v>
      </c>
      <c r="B20" s="121" t="s">
        <v>173</v>
      </c>
      <c r="C20" s="123" t="s">
        <v>82</v>
      </c>
    </row>
    <row r="21" spans="1:3" ht="20.100000000000001" customHeight="1" x14ac:dyDescent="0.2">
      <c r="A21" s="122" t="s">
        <v>174</v>
      </c>
      <c r="B21" s="121" t="s">
        <v>175</v>
      </c>
      <c r="C21" s="123" t="s">
        <v>82</v>
      </c>
    </row>
    <row r="22" spans="1:3" ht="20.100000000000001" customHeight="1" x14ac:dyDescent="0.2">
      <c r="A22" s="122" t="s">
        <v>176</v>
      </c>
      <c r="B22" s="121" t="s">
        <v>177</v>
      </c>
      <c r="C22" s="123" t="s">
        <v>82</v>
      </c>
    </row>
    <row r="23" spans="1:3" ht="20.100000000000001" customHeight="1" x14ac:dyDescent="0.2">
      <c r="A23" s="122" t="s">
        <v>178</v>
      </c>
      <c r="B23" s="121" t="s">
        <v>179</v>
      </c>
      <c r="C23" s="123" t="s">
        <v>83</v>
      </c>
    </row>
    <row r="24" spans="1:3" ht="30" customHeight="1" x14ac:dyDescent="0.2">
      <c r="A24" s="122" t="s">
        <v>180</v>
      </c>
      <c r="B24" s="121" t="s">
        <v>181</v>
      </c>
      <c r="C24" s="123" t="s">
        <v>80</v>
      </c>
    </row>
    <row r="25" spans="1:3" ht="20.100000000000001" customHeight="1" x14ac:dyDescent="0.2">
      <c r="A25" s="122" t="s">
        <v>182</v>
      </c>
      <c r="B25" s="121" t="s">
        <v>183</v>
      </c>
      <c r="C25" s="123" t="s">
        <v>80</v>
      </c>
    </row>
    <row r="26" spans="1:3" ht="20.100000000000001" customHeight="1" x14ac:dyDescent="0.2">
      <c r="A26" s="122" t="s">
        <v>109</v>
      </c>
      <c r="B26" s="121" t="s">
        <v>110</v>
      </c>
      <c r="C26" s="123" t="s">
        <v>66</v>
      </c>
    </row>
    <row r="27" spans="1:3" ht="20.100000000000001" customHeight="1" x14ac:dyDescent="0.2">
      <c r="A27" s="122" t="s">
        <v>184</v>
      </c>
      <c r="B27" s="121" t="s">
        <v>185</v>
      </c>
      <c r="C27" s="123" t="s">
        <v>80</v>
      </c>
    </row>
    <row r="28" spans="1:3" ht="30" customHeight="1" x14ac:dyDescent="0.2">
      <c r="A28" s="122" t="s">
        <v>186</v>
      </c>
      <c r="B28" s="121" t="s">
        <v>187</v>
      </c>
      <c r="C28" s="123" t="s">
        <v>80</v>
      </c>
    </row>
    <row r="29" spans="1:3" ht="30" customHeight="1" thickBot="1" x14ac:dyDescent="0.25">
      <c r="A29" s="124" t="s">
        <v>188</v>
      </c>
      <c r="B29" s="125" t="s">
        <v>189</v>
      </c>
      <c r="C29" s="126" t="s">
        <v>106</v>
      </c>
    </row>
    <row r="30" spans="1:3" ht="20.100000000000001" customHeight="1" x14ac:dyDescent="0.2">
      <c r="A30" s="118"/>
      <c r="B30" s="119"/>
      <c r="C30" s="120"/>
    </row>
    <row r="31" spans="1:3" ht="15" customHeight="1" thickBot="1" x14ac:dyDescent="0.25">
      <c r="A31" s="53"/>
      <c r="B31" s="53"/>
      <c r="C31" s="53"/>
    </row>
    <row r="32" spans="1:3" ht="15" customHeight="1" thickBot="1" x14ac:dyDescent="0.25">
      <c r="A32" s="197" t="s">
        <v>136</v>
      </c>
      <c r="B32" s="198"/>
      <c r="C32" s="199"/>
    </row>
    <row r="33" spans="1:9" ht="30.95" customHeight="1" thickBot="1" x14ac:dyDescent="0.25">
      <c r="A33" s="49" t="s">
        <v>62</v>
      </c>
      <c r="B33" s="50" t="s">
        <v>63</v>
      </c>
      <c r="C33" s="91" t="s">
        <v>64</v>
      </c>
    </row>
    <row r="34" spans="1:9" ht="15" customHeight="1" thickBot="1" x14ac:dyDescent="0.25">
      <c r="A34" s="88" t="s">
        <v>107</v>
      </c>
      <c r="B34" s="89"/>
      <c r="C34" s="90"/>
    </row>
    <row r="35" spans="1:9" ht="15" customHeight="1" x14ac:dyDescent="0.2"/>
    <row r="36" spans="1:9" ht="15" customHeight="1" x14ac:dyDescent="0.2"/>
    <row r="37" spans="1:9" ht="15" customHeight="1" x14ac:dyDescent="0.2">
      <c r="E37" s="137"/>
      <c r="F37" s="137"/>
      <c r="I37" s="137"/>
    </row>
    <row r="38" spans="1:9" ht="30" customHeight="1" x14ac:dyDescent="0.2">
      <c r="B38" s="137"/>
      <c r="C38" s="137"/>
      <c r="E38" s="137"/>
      <c r="F38" s="137"/>
      <c r="I38" s="137"/>
    </row>
    <row r="39" spans="1:9" ht="15" customHeight="1" x14ac:dyDescent="0.2">
      <c r="B39" s="137"/>
      <c r="C39" s="137"/>
      <c r="E39" s="137"/>
      <c r="F39" s="137"/>
      <c r="I39" s="137"/>
    </row>
    <row r="40" spans="1:9" ht="15" customHeight="1" x14ac:dyDescent="0.2">
      <c r="B40" s="137"/>
      <c r="C40" s="137"/>
      <c r="E40" s="137"/>
      <c r="F40" s="137"/>
      <c r="I40" s="137"/>
    </row>
    <row r="41" spans="1:9" ht="15" customHeight="1" x14ac:dyDescent="0.2">
      <c r="B41" s="137"/>
      <c r="C41" s="137"/>
      <c r="E41" s="137"/>
      <c r="F41" s="137"/>
      <c r="I41" s="137"/>
    </row>
    <row r="42" spans="1:9" ht="15" customHeight="1" x14ac:dyDescent="0.2">
      <c r="B42" s="137"/>
      <c r="C42" s="137"/>
      <c r="E42" s="137"/>
      <c r="F42" s="137"/>
      <c r="I42" s="137"/>
    </row>
    <row r="43" spans="1:9" ht="15" customHeight="1" x14ac:dyDescent="0.2">
      <c r="B43" s="137"/>
      <c r="C43" s="137"/>
      <c r="E43" s="137"/>
      <c r="F43" s="137"/>
      <c r="I43" s="137"/>
    </row>
    <row r="44" spans="1:9" ht="15" customHeight="1" x14ac:dyDescent="0.2">
      <c r="B44" s="137"/>
      <c r="C44" s="137"/>
      <c r="E44" s="137"/>
      <c r="F44" s="137"/>
      <c r="I44" s="137"/>
    </row>
    <row r="45" spans="1:9" ht="15" customHeight="1" x14ac:dyDescent="0.2">
      <c r="B45" s="137"/>
      <c r="C45" s="137"/>
      <c r="E45" s="137"/>
      <c r="F45" s="137"/>
      <c r="I45" s="137"/>
    </row>
    <row r="46" spans="1:9" ht="15" customHeight="1" x14ac:dyDescent="0.2">
      <c r="B46" s="137"/>
      <c r="C46" s="137"/>
      <c r="E46" s="137"/>
      <c r="F46" s="137"/>
      <c r="I46" s="137"/>
    </row>
    <row r="47" spans="1:9" ht="15" customHeight="1" x14ac:dyDescent="0.2">
      <c r="B47" s="137"/>
      <c r="C47" s="137"/>
      <c r="E47" s="137"/>
      <c r="F47" s="137"/>
      <c r="I47" s="137"/>
    </row>
    <row r="48" spans="1:9" ht="15" customHeight="1" x14ac:dyDescent="0.2">
      <c r="B48" s="137"/>
      <c r="C48" s="137"/>
      <c r="E48" s="137"/>
      <c r="F48" s="137"/>
      <c r="I48" s="137"/>
    </row>
    <row r="49" spans="2:9" ht="15" customHeight="1" x14ac:dyDescent="0.2">
      <c r="B49" s="137"/>
      <c r="C49" s="137"/>
      <c r="E49" s="137"/>
      <c r="F49" s="137"/>
      <c r="I49" s="137"/>
    </row>
    <row r="50" spans="2:9" ht="15" customHeight="1" x14ac:dyDescent="0.2">
      <c r="B50" s="137"/>
      <c r="C50" s="137"/>
      <c r="E50" s="137"/>
      <c r="F50" s="137"/>
      <c r="I50" s="137"/>
    </row>
    <row r="51" spans="2:9" ht="15" customHeight="1" x14ac:dyDescent="0.2">
      <c r="B51" s="137"/>
      <c r="C51" s="137"/>
      <c r="E51" s="137"/>
      <c r="F51" s="137"/>
      <c r="I51" s="137"/>
    </row>
    <row r="52" spans="2:9" ht="15" customHeight="1" x14ac:dyDescent="0.2">
      <c r="B52" s="137"/>
      <c r="C52" s="137"/>
      <c r="E52" s="137"/>
      <c r="F52" s="137"/>
      <c r="I52" s="137"/>
    </row>
    <row r="53" spans="2:9" ht="15" customHeight="1" x14ac:dyDescent="0.2">
      <c r="B53" s="137"/>
      <c r="C53" s="137"/>
      <c r="E53" s="137"/>
      <c r="F53" s="137"/>
      <c r="I53" s="137"/>
    </row>
    <row r="54" spans="2:9" ht="15" customHeight="1" x14ac:dyDescent="0.2">
      <c r="B54" s="137"/>
      <c r="C54" s="137"/>
      <c r="E54" s="137"/>
      <c r="F54" s="137"/>
      <c r="I54" s="137"/>
    </row>
    <row r="55" spans="2:9" ht="15" customHeight="1" x14ac:dyDescent="0.2">
      <c r="B55" s="137"/>
      <c r="C55" s="137"/>
      <c r="E55" s="137"/>
      <c r="F55" s="137"/>
      <c r="I55" s="137"/>
    </row>
    <row r="56" spans="2:9" ht="15" customHeight="1" x14ac:dyDescent="0.2">
      <c r="B56" s="137"/>
      <c r="C56" s="137"/>
      <c r="E56" s="137"/>
      <c r="F56" s="137"/>
      <c r="I56" s="137"/>
    </row>
    <row r="57" spans="2:9" ht="15" customHeight="1" x14ac:dyDescent="0.2">
      <c r="B57" s="137"/>
      <c r="C57" s="137"/>
      <c r="E57" s="137"/>
      <c r="F57" s="137"/>
      <c r="I57" s="137"/>
    </row>
    <row r="58" spans="2:9" ht="15" customHeight="1" x14ac:dyDescent="0.2">
      <c r="B58" s="137"/>
      <c r="C58" s="137"/>
      <c r="E58" s="137"/>
      <c r="F58" s="137"/>
      <c r="I58" s="137"/>
    </row>
    <row r="59" spans="2:9" ht="30" customHeight="1" x14ac:dyDescent="0.2">
      <c r="B59" s="137"/>
      <c r="C59" s="137"/>
      <c r="E59" s="137"/>
      <c r="F59" s="137"/>
      <c r="I59" s="137"/>
    </row>
    <row r="60" spans="2:9" ht="15" customHeight="1" x14ac:dyDescent="0.2">
      <c r="B60" s="137"/>
      <c r="C60" s="137"/>
      <c r="E60" s="137"/>
      <c r="F60" s="137"/>
      <c r="I60" s="137"/>
    </row>
    <row r="61" spans="2:9" ht="15" customHeight="1" x14ac:dyDescent="0.2">
      <c r="B61" s="137"/>
      <c r="C61" s="137"/>
      <c r="E61" s="137"/>
      <c r="F61" s="137"/>
    </row>
    <row r="62" spans="2:9" ht="15" customHeight="1" x14ac:dyDescent="0.2">
      <c r="B62" s="137"/>
      <c r="C62" s="137"/>
      <c r="E62" s="137"/>
      <c r="F62" s="137"/>
    </row>
    <row r="63" spans="2:9" ht="15" customHeight="1" x14ac:dyDescent="0.2">
      <c r="B63" s="137"/>
      <c r="C63" s="137"/>
      <c r="E63" s="137"/>
      <c r="F63" s="137"/>
    </row>
    <row r="64" spans="2:9" ht="15" customHeight="1" x14ac:dyDescent="0.2">
      <c r="B64" s="137"/>
      <c r="C64" s="137"/>
      <c r="E64" s="137"/>
      <c r="F64" s="137"/>
    </row>
    <row r="65" spans="2:6" ht="15" customHeight="1" x14ac:dyDescent="0.2">
      <c r="B65" s="137"/>
      <c r="C65" s="137"/>
      <c r="E65" s="137"/>
      <c r="F65" s="137"/>
    </row>
    <row r="66" spans="2:6" ht="15" customHeight="1" x14ac:dyDescent="0.2"/>
    <row r="67" spans="2:6" ht="15" customHeight="1" x14ac:dyDescent="0.2"/>
  </sheetData>
  <mergeCells count="2">
    <mergeCell ref="A1:C1"/>
    <mergeCell ref="A32:C32"/>
  </mergeCells>
  <printOptions horizontalCentered="1" verticalCentered="1"/>
  <pageMargins left="0.45" right="0.45" top="0.5" bottom="0.5" header="0.3" footer="0.3"/>
  <pageSetup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5"/>
  <sheetViews>
    <sheetView zoomScaleNormal="100" workbookViewId="0">
      <selection sqref="A1:B1"/>
    </sheetView>
  </sheetViews>
  <sheetFormatPr defaultRowHeight="12.75" x14ac:dyDescent="0.2"/>
  <cols>
    <col min="1" max="1" width="66.140625" customWidth="1"/>
    <col min="2" max="2" width="16.7109375" customWidth="1"/>
    <col min="3" max="10" width="15.7109375" customWidth="1"/>
    <col min="11" max="11" width="18.28515625" customWidth="1"/>
    <col min="12" max="14" width="15.7109375" customWidth="1"/>
  </cols>
  <sheetData>
    <row r="1" spans="1:14" ht="20.100000000000001" customHeight="1" x14ac:dyDescent="0.2">
      <c r="A1" s="200" t="s">
        <v>131</v>
      </c>
      <c r="B1" s="201"/>
      <c r="C1" s="68"/>
      <c r="D1" s="115" t="s">
        <v>12</v>
      </c>
      <c r="E1" s="68"/>
      <c r="F1" s="68"/>
    </row>
    <row r="2" spans="1:14" ht="20.100000000000001" customHeight="1" x14ac:dyDescent="0.2">
      <c r="A2" s="84" t="s">
        <v>67</v>
      </c>
      <c r="B2" s="85">
        <f>'2018-2019 Parameters'!B6</f>
        <v>1.0909</v>
      </c>
      <c r="C2" s="13" t="s">
        <v>12</v>
      </c>
      <c r="D2" s="117" t="s">
        <v>205</v>
      </c>
      <c r="E2" s="14" t="s">
        <v>12</v>
      </c>
    </row>
    <row r="3" spans="1:14" ht="20.100000000000001" customHeight="1" x14ac:dyDescent="0.2">
      <c r="A3" s="86" t="s">
        <v>68</v>
      </c>
      <c r="B3" s="87">
        <f>'2018-2019 Parameters'!B7</f>
        <v>0.95099999999999996</v>
      </c>
      <c r="C3" s="13"/>
      <c r="D3" s="14"/>
      <c r="E3" s="14"/>
      <c r="L3" s="65" t="s">
        <v>12</v>
      </c>
      <c r="M3" s="65"/>
      <c r="N3" s="65"/>
    </row>
    <row r="4" spans="1:14" ht="30" customHeight="1" x14ac:dyDescent="0.2">
      <c r="A4" s="42" t="s">
        <v>92</v>
      </c>
      <c r="B4" s="32" t="s">
        <v>69</v>
      </c>
      <c r="C4" s="32" t="s">
        <v>17</v>
      </c>
      <c r="D4" s="32" t="s">
        <v>16</v>
      </c>
      <c r="E4" s="32" t="s">
        <v>14</v>
      </c>
      <c r="F4" s="32" t="s">
        <v>8</v>
      </c>
      <c r="G4" s="32" t="s">
        <v>44</v>
      </c>
      <c r="H4" s="32" t="s">
        <v>45</v>
      </c>
      <c r="I4" s="32" t="s">
        <v>7</v>
      </c>
      <c r="J4" s="32" t="s">
        <v>53</v>
      </c>
      <c r="K4" s="38" t="s">
        <v>89</v>
      </c>
      <c r="L4" s="73" t="s">
        <v>18</v>
      </c>
      <c r="M4" s="73" t="s">
        <v>3</v>
      </c>
      <c r="N4" s="73" t="s">
        <v>102</v>
      </c>
    </row>
    <row r="5" spans="1:14" ht="20.100000000000001" customHeight="1" x14ac:dyDescent="0.2">
      <c r="A5" s="45" t="s">
        <v>48</v>
      </c>
      <c r="B5" s="71">
        <f>'2018-2019 Parameters'!B18</f>
        <v>161704.29999999999</v>
      </c>
      <c r="C5" s="71">
        <f>'2018-2019 Parameters'!C18</f>
        <v>70371.899999999994</v>
      </c>
      <c r="D5" s="71">
        <f>'2018-2019 Parameters'!D18</f>
        <v>38751.199999999997</v>
      </c>
      <c r="E5" s="71">
        <f>'2018-2019 Parameters'!E18</f>
        <v>16467.3</v>
      </c>
      <c r="F5" s="71">
        <f>'2018-2019 Parameters'!F18</f>
        <v>12537.3</v>
      </c>
      <c r="G5" s="71">
        <f>'2018-2019 Parameters'!G18</f>
        <v>6446.2</v>
      </c>
      <c r="H5" s="71">
        <f>'2018-2019 Parameters'!H18</f>
        <v>3149</v>
      </c>
      <c r="I5" s="71">
        <f>'2018-2019 Parameters'!I18</f>
        <v>8434.1</v>
      </c>
      <c r="J5" s="71">
        <f>'2018-2019 Parameters'!J18</f>
        <v>16045.9</v>
      </c>
      <c r="K5" s="71">
        <f>'2018-2019 Parameters'!K18</f>
        <v>6019.2</v>
      </c>
      <c r="L5" s="71">
        <f>'2018-2019 Parameters'!L18</f>
        <v>27824.257999999998</v>
      </c>
      <c r="M5" s="71">
        <f>'2018-2019 Parameters'!M18</f>
        <v>8685.6</v>
      </c>
      <c r="N5" s="71">
        <f>'2018-2019 Parameters'!N18</f>
        <v>10073.5</v>
      </c>
    </row>
    <row r="6" spans="1:14" ht="20.100000000000001" customHeight="1" x14ac:dyDescent="0.2">
      <c r="A6" s="43" t="s">
        <v>70</v>
      </c>
      <c r="B6" s="74">
        <f>'2018-2019 Parameters'!B8</f>
        <v>161418.4</v>
      </c>
      <c r="C6" s="74">
        <f>'2018-2019 Parameters'!F64</f>
        <v>58943</v>
      </c>
      <c r="D6" s="74">
        <f>'2018-2019 Parameters'!F61</f>
        <v>32213</v>
      </c>
      <c r="E6" s="74">
        <f>'2018-2019 Parameters'!F62</f>
        <v>13562</v>
      </c>
      <c r="F6" s="74">
        <f>'2018-2019 Parameters'!F58</f>
        <v>10146</v>
      </c>
      <c r="G6" s="74">
        <f>'2018-2019 Parameters'!F59</f>
        <v>4963.3999999999996</v>
      </c>
      <c r="H6" s="74">
        <f>'2018-2019 Parameters'!F50</f>
        <v>2396</v>
      </c>
      <c r="I6" s="74">
        <f>'2018-2019 Parameters'!F56</f>
        <v>6500</v>
      </c>
      <c r="J6" s="74">
        <f>'2018-2019 Parameters'!F41</f>
        <v>12924</v>
      </c>
      <c r="K6" s="74">
        <f>'2018-2019 Parameters'!F42</f>
        <v>4444.6000000000004</v>
      </c>
      <c r="L6" s="74">
        <f>'2018-2019 Parameters'!F44</f>
        <v>22959</v>
      </c>
      <c r="M6" s="74">
        <f>'2018-2019 Parameters'!F43</f>
        <v>7062</v>
      </c>
      <c r="N6" s="74">
        <f>'2018-2019 Parameters'!F57</f>
        <v>7287</v>
      </c>
    </row>
    <row r="7" spans="1:14" ht="20.100000000000001" customHeight="1" x14ac:dyDescent="0.2">
      <c r="A7" s="43" t="s">
        <v>71</v>
      </c>
      <c r="B7" s="74">
        <f>'2018-2019 Parameters'!B16</f>
        <v>13188.199999999999</v>
      </c>
      <c r="C7" s="74">
        <f>'2018-2019 Parameters'!C16</f>
        <v>0</v>
      </c>
      <c r="D7" s="74">
        <f>'2018-2019 Parameters'!D16</f>
        <v>0</v>
      </c>
      <c r="E7" s="74">
        <f>'2018-2019 Parameters'!E16</f>
        <v>0</v>
      </c>
      <c r="F7" s="74">
        <f>'2018-2019 Parameters'!F16</f>
        <v>0</v>
      </c>
      <c r="G7" s="74">
        <f>'2018-2019 Parameters'!G16</f>
        <v>0</v>
      </c>
      <c r="H7" s="74">
        <f>'2018-2019 Parameters'!H16</f>
        <v>0</v>
      </c>
      <c r="I7" s="74">
        <f>'2018-2019 Parameters'!I16</f>
        <v>0</v>
      </c>
      <c r="J7" s="74">
        <f>'2018-2019 Parameters'!J16</f>
        <v>0</v>
      </c>
      <c r="K7" s="74">
        <f>'2018-2019 Parameters'!K16</f>
        <v>0</v>
      </c>
      <c r="L7" s="74">
        <f>'2018-2019 Parameters'!L16</f>
        <v>343.3</v>
      </c>
      <c r="M7" s="74">
        <f>'2018-2019 Parameters'!M16</f>
        <v>0</v>
      </c>
      <c r="N7" s="74">
        <f>'2018-2019 Parameters'!N16</f>
        <v>0</v>
      </c>
    </row>
    <row r="8" spans="1:14" ht="20.100000000000001" customHeight="1" x14ac:dyDescent="0.2">
      <c r="A8" s="43" t="s">
        <v>72</v>
      </c>
      <c r="B8" s="74">
        <f>B6-B7</f>
        <v>148230.19999999998</v>
      </c>
      <c r="C8" s="74">
        <f t="shared" ref="C8:I8" si="0">C6-C7</f>
        <v>58943</v>
      </c>
      <c r="D8" s="74">
        <f t="shared" si="0"/>
        <v>32213</v>
      </c>
      <c r="E8" s="74">
        <f t="shared" si="0"/>
        <v>13562</v>
      </c>
      <c r="F8" s="74">
        <f t="shared" si="0"/>
        <v>10146</v>
      </c>
      <c r="G8" s="74">
        <f t="shared" si="0"/>
        <v>4963.3999999999996</v>
      </c>
      <c r="H8" s="74">
        <f t="shared" si="0"/>
        <v>2396</v>
      </c>
      <c r="I8" s="74">
        <f t="shared" si="0"/>
        <v>6500</v>
      </c>
      <c r="J8" s="74">
        <f>J6-J7</f>
        <v>12924</v>
      </c>
      <c r="K8" s="74">
        <f>K6-K7</f>
        <v>4444.6000000000004</v>
      </c>
      <c r="L8" s="74">
        <f>L6-L7</f>
        <v>22615.7</v>
      </c>
      <c r="M8" s="74">
        <f>M6-M7</f>
        <v>7062</v>
      </c>
      <c r="N8" s="74">
        <f>N6-N7</f>
        <v>7287</v>
      </c>
    </row>
    <row r="9" spans="1:14" ht="20.100000000000001" customHeight="1" x14ac:dyDescent="0.2">
      <c r="A9" s="43" t="s">
        <v>43</v>
      </c>
      <c r="B9" s="74">
        <f>'2018-2019 Parameters'!B19</f>
        <v>4042.6</v>
      </c>
      <c r="C9" s="74">
        <f>'2018-2019 Parameters'!C19</f>
        <v>1607.519734844856</v>
      </c>
      <c r="D9" s="74">
        <f>'2018-2019 Parameters'!D19</f>
        <v>878.52727581828788</v>
      </c>
      <c r="E9" s="74">
        <f>'2018-2019 Parameters'!E19</f>
        <v>369.86890120906537</v>
      </c>
      <c r="F9" s="74">
        <f>'2018-2019 Parameters'!F19</f>
        <v>276.70622855531462</v>
      </c>
      <c r="G9" s="74">
        <f>'2018-2019 Parameters'!G19</f>
        <v>135.36405428853229</v>
      </c>
      <c r="H9" s="74">
        <f>'2018-2019 Parameters'!H19</f>
        <v>65.344778594375498</v>
      </c>
      <c r="I9" s="74">
        <f>'2018-2019 Parameters'!I19</f>
        <v>177.27089351562637</v>
      </c>
      <c r="J9" s="74">
        <f>'2018-2019 Parameters'!J19</f>
        <v>352.46908119937768</v>
      </c>
      <c r="K9" s="74">
        <f>'2018-2019 Parameters'!K19</f>
        <v>121.21510974146969</v>
      </c>
      <c r="L9" s="74">
        <f>'2018-2019 Parameters'!L19</f>
        <v>616.78543792020787</v>
      </c>
      <c r="M9" s="74">
        <f>'2018-2019 Parameters'!M19</f>
        <v>192.59800769343897</v>
      </c>
      <c r="N9" s="74">
        <f>'2018-2019 Parameters'!N19</f>
        <v>198.73430785359525</v>
      </c>
    </row>
    <row r="10" spans="1:14" ht="20.100000000000001" customHeight="1" x14ac:dyDescent="0.2">
      <c r="A10" s="44" t="s">
        <v>91</v>
      </c>
      <c r="B10" s="74"/>
      <c r="C10" s="74"/>
      <c r="D10" s="74"/>
      <c r="E10" s="74"/>
      <c r="F10" s="74"/>
      <c r="G10" s="74"/>
      <c r="H10" s="74"/>
      <c r="I10" s="74"/>
      <c r="J10" s="74"/>
      <c r="K10" s="74"/>
      <c r="L10" s="74"/>
      <c r="M10" s="74"/>
      <c r="N10" s="74"/>
    </row>
    <row r="11" spans="1:14" ht="20.100000000000001" customHeight="1" x14ac:dyDescent="0.2">
      <c r="A11" s="43" t="s">
        <v>73</v>
      </c>
      <c r="B11" s="75">
        <v>4.7E-2</v>
      </c>
      <c r="C11" s="75">
        <v>6.0999999999999999E-2</v>
      </c>
      <c r="D11" s="75">
        <v>6.2E-2</v>
      </c>
      <c r="E11" s="75">
        <v>7.0000000000000007E-2</v>
      </c>
      <c r="F11" s="75">
        <v>6.9000000000000006E-2</v>
      </c>
      <c r="G11" s="75">
        <v>6.9000000000000006E-2</v>
      </c>
      <c r="H11" s="75">
        <v>5.8999999999999997E-2</v>
      </c>
      <c r="I11" s="75">
        <v>6.5000000000000002E-2</v>
      </c>
      <c r="J11" s="75">
        <v>5.0999999999999997E-2</v>
      </c>
      <c r="K11" s="75">
        <v>5.0999999999999997E-2</v>
      </c>
      <c r="L11" s="75">
        <v>5.3999999999999999E-2</v>
      </c>
      <c r="M11" s="75">
        <v>7.1999999999999995E-2</v>
      </c>
      <c r="N11" s="75">
        <v>5.3999999999999999E-2</v>
      </c>
    </row>
    <row r="12" spans="1:14" ht="20.100000000000001" customHeight="1" x14ac:dyDescent="0.2">
      <c r="A12" s="43" t="s">
        <v>74</v>
      </c>
      <c r="B12" s="139">
        <f>B8*B11*$B$2*$B$3</f>
        <v>7227.6982225704587</v>
      </c>
      <c r="C12" s="139">
        <f>C8*C11*$B$2*$B$3</f>
        <v>3730.1605947056996</v>
      </c>
      <c r="D12" s="139">
        <f t="shared" ref="D12:I12" si="1">D8*D11*$B$2*$B$3</f>
        <v>2071.9931761553994</v>
      </c>
      <c r="E12" s="139">
        <f t="shared" si="1"/>
        <v>984.8888907060001</v>
      </c>
      <c r="F12" s="139">
        <f t="shared" si="1"/>
        <v>726.28890099659998</v>
      </c>
      <c r="G12" s="139">
        <f t="shared" si="1"/>
        <v>355.29886962414002</v>
      </c>
      <c r="H12" s="139">
        <f t="shared" si="1"/>
        <v>146.65750220759998</v>
      </c>
      <c r="I12" s="139">
        <f t="shared" si="1"/>
        <v>438.32089274999993</v>
      </c>
      <c r="J12" s="139">
        <f>J8*J11*$B$2*$B$3</f>
        <v>683.80549139159984</v>
      </c>
      <c r="K12" s="139">
        <f>K8*K11*$B$2*$B$3</f>
        <v>235.16263440413999</v>
      </c>
      <c r="L12" s="139">
        <f>L8*L11*$B$2*$B$3</f>
        <v>1266.9785229940201</v>
      </c>
      <c r="M12" s="139">
        <f>M8*M11*$B$2*$B$3</f>
        <v>527.50389209759999</v>
      </c>
      <c r="N12" s="139">
        <f>N8*N11*$B$2*$B$3</f>
        <v>408.23288675819998</v>
      </c>
    </row>
    <row r="13" spans="1:14" ht="20.100000000000001" customHeight="1" x14ac:dyDescent="0.2">
      <c r="A13" s="81" t="s">
        <v>114</v>
      </c>
      <c r="B13" s="140">
        <f>B12-B9</f>
        <v>3185.0982225704588</v>
      </c>
      <c r="C13" s="140">
        <f>C12-C9</f>
        <v>2122.6408598608436</v>
      </c>
      <c r="D13" s="140">
        <f t="shared" ref="D13:K13" si="2">D12-D9</f>
        <v>1193.4659003371116</v>
      </c>
      <c r="E13" s="140">
        <f t="shared" si="2"/>
        <v>615.01998949693473</v>
      </c>
      <c r="F13" s="140">
        <f t="shared" si="2"/>
        <v>449.58267244128535</v>
      </c>
      <c r="G13" s="140">
        <f t="shared" si="2"/>
        <v>219.93481533560774</v>
      </c>
      <c r="H13" s="140">
        <f t="shared" si="2"/>
        <v>81.312723613224478</v>
      </c>
      <c r="I13" s="140">
        <f t="shared" si="2"/>
        <v>261.04999923437356</v>
      </c>
      <c r="J13" s="140">
        <f t="shared" si="2"/>
        <v>331.33641019222216</v>
      </c>
      <c r="K13" s="140">
        <f t="shared" si="2"/>
        <v>113.9475246626703</v>
      </c>
      <c r="L13" s="140">
        <f>L12-L9</f>
        <v>650.1930850738122</v>
      </c>
      <c r="M13" s="140">
        <f>M12-M9</f>
        <v>334.90588440416104</v>
      </c>
      <c r="N13" s="140">
        <f>N12-N9</f>
        <v>209.49857890460473</v>
      </c>
    </row>
    <row r="14" spans="1:14" ht="20.100000000000001" customHeight="1" x14ac:dyDescent="0.2">
      <c r="A14" s="44" t="s">
        <v>108</v>
      </c>
      <c r="B14" s="71"/>
      <c r="C14" s="71"/>
      <c r="D14" s="71"/>
      <c r="E14" s="71"/>
      <c r="F14" s="71"/>
      <c r="G14" s="71"/>
      <c r="H14" s="71"/>
      <c r="I14" s="71"/>
      <c r="J14" s="71"/>
      <c r="K14" s="71"/>
      <c r="L14" s="71"/>
      <c r="M14" s="71"/>
      <c r="N14" s="71"/>
    </row>
    <row r="15" spans="1:14" ht="20.100000000000001" customHeight="1" x14ac:dyDescent="0.2">
      <c r="A15" s="43" t="s">
        <v>73</v>
      </c>
      <c r="B15" s="75">
        <v>8.5000000000000006E-2</v>
      </c>
      <c r="C15" s="75">
        <v>0.20499999999999999</v>
      </c>
      <c r="D15" s="75">
        <v>0.19700000000000001</v>
      </c>
      <c r="E15" s="75">
        <v>0.16300000000000001</v>
      </c>
      <c r="F15" s="75">
        <v>0.23200000000000001</v>
      </c>
      <c r="G15" s="75">
        <v>0.219</v>
      </c>
      <c r="H15" s="75">
        <v>0.11600000000000001</v>
      </c>
      <c r="I15" s="75">
        <v>0.20300000000000001</v>
      </c>
      <c r="J15" s="75">
        <v>0.182</v>
      </c>
      <c r="K15" s="75">
        <v>0.17100000000000001</v>
      </c>
      <c r="L15" s="75">
        <v>0.29199999999999998</v>
      </c>
      <c r="M15" s="75">
        <v>0.17</v>
      </c>
      <c r="N15" s="75">
        <v>0.183</v>
      </c>
    </row>
    <row r="16" spans="1:14" ht="20.100000000000001" customHeight="1" x14ac:dyDescent="0.2">
      <c r="A16" s="43" t="s">
        <v>74</v>
      </c>
      <c r="B16" s="136">
        <f>B8*B15*$B$2*$B$3</f>
        <v>13071.369125925299</v>
      </c>
      <c r="C16" s="136">
        <f>C8*C15*$B$2*$B$3</f>
        <v>12535.785605158499</v>
      </c>
      <c r="D16" s="136">
        <f t="shared" ref="D16:I16" si="3">D8*D15*$B$2*$B$3</f>
        <v>6583.5912210099004</v>
      </c>
      <c r="E16" s="136">
        <f t="shared" si="3"/>
        <v>2293.3841312154</v>
      </c>
      <c r="F16" s="136">
        <f t="shared" si="3"/>
        <v>2442.0148555248002</v>
      </c>
      <c r="G16" s="136">
        <f t="shared" si="3"/>
        <v>1127.6877166331399</v>
      </c>
      <c r="H16" s="136">
        <f t="shared" si="3"/>
        <v>288.34356366240002</v>
      </c>
      <c r="I16" s="136">
        <f t="shared" si="3"/>
        <v>1368.90986505</v>
      </c>
      <c r="J16" s="136">
        <f>J8*J15*$B$2*$B$3</f>
        <v>2440.2470477112001</v>
      </c>
      <c r="K16" s="136">
        <f>K8*K15*$B$2*$B$3</f>
        <v>788.48648006094015</v>
      </c>
      <c r="L16" s="136">
        <f>L8*L15*$B$2*$B$3</f>
        <v>6851.0690502639591</v>
      </c>
      <c r="M16" s="136">
        <f>M8*M15*$B$2*$B$3</f>
        <v>1245.4953007860001</v>
      </c>
      <c r="N16" s="136">
        <f>N8*N15*$B$2*$B$3</f>
        <v>1383.4558940139</v>
      </c>
    </row>
    <row r="17" spans="1:14" ht="20.100000000000001" customHeight="1" x14ac:dyDescent="0.2">
      <c r="A17" s="81" t="s">
        <v>115</v>
      </c>
      <c r="B17" s="141">
        <f>B16-B9</f>
        <v>9028.7691259252988</v>
      </c>
      <c r="C17" s="141">
        <f t="shared" ref="C17:K17" si="4">C16-C9</f>
        <v>10928.265870313642</v>
      </c>
      <c r="D17" s="141">
        <f t="shared" si="4"/>
        <v>5705.0639451916122</v>
      </c>
      <c r="E17" s="141">
        <f t="shared" si="4"/>
        <v>1923.5152300063346</v>
      </c>
      <c r="F17" s="141">
        <f t="shared" si="4"/>
        <v>2165.3086269694854</v>
      </c>
      <c r="G17" s="141">
        <f t="shared" si="4"/>
        <v>992.32366234460756</v>
      </c>
      <c r="H17" s="141">
        <f t="shared" si="4"/>
        <v>222.99878506802452</v>
      </c>
      <c r="I17" s="141">
        <f t="shared" si="4"/>
        <v>1191.6389715343737</v>
      </c>
      <c r="J17" s="141">
        <f t="shared" si="4"/>
        <v>2087.7779665118223</v>
      </c>
      <c r="K17" s="141">
        <f t="shared" si="4"/>
        <v>667.27137031947041</v>
      </c>
      <c r="L17" s="141">
        <f>L16-L9</f>
        <v>6234.283612343751</v>
      </c>
      <c r="M17" s="141">
        <f>M16-M9</f>
        <v>1052.8972930925611</v>
      </c>
      <c r="N17" s="141">
        <f>N16-N9</f>
        <v>1184.7215861603047</v>
      </c>
    </row>
    <row r="18" spans="1:14" ht="20.100000000000001" customHeight="1" x14ac:dyDescent="0.2">
      <c r="A18" s="44" t="s">
        <v>113</v>
      </c>
      <c r="B18" s="71"/>
      <c r="C18" s="71"/>
      <c r="D18" s="71"/>
      <c r="E18" s="76"/>
      <c r="F18" s="71"/>
      <c r="G18" s="71"/>
      <c r="H18" s="71"/>
      <c r="I18" s="76"/>
      <c r="J18" s="71"/>
      <c r="K18" s="71"/>
      <c r="L18" s="71"/>
      <c r="M18" s="71"/>
      <c r="N18" s="71"/>
    </row>
    <row r="19" spans="1:14" ht="20.100000000000001" customHeight="1" x14ac:dyDescent="0.2">
      <c r="A19" s="82" t="s">
        <v>114</v>
      </c>
      <c r="B19" s="83">
        <f>B11</f>
        <v>4.7E-2</v>
      </c>
      <c r="C19" s="83">
        <f t="shared" ref="C19:K19" si="5">C11</f>
        <v>6.0999999999999999E-2</v>
      </c>
      <c r="D19" s="83">
        <f t="shared" si="5"/>
        <v>6.2E-2</v>
      </c>
      <c r="E19" s="83">
        <f t="shared" si="5"/>
        <v>7.0000000000000007E-2</v>
      </c>
      <c r="F19" s="83">
        <f>F11</f>
        <v>6.9000000000000006E-2</v>
      </c>
      <c r="G19" s="83">
        <f t="shared" si="5"/>
        <v>6.9000000000000006E-2</v>
      </c>
      <c r="H19" s="83">
        <f t="shared" si="5"/>
        <v>5.8999999999999997E-2</v>
      </c>
      <c r="I19" s="83">
        <f t="shared" si="5"/>
        <v>6.5000000000000002E-2</v>
      </c>
      <c r="J19" s="83">
        <f t="shared" si="5"/>
        <v>5.0999999999999997E-2</v>
      </c>
      <c r="K19" s="83">
        <f t="shared" si="5"/>
        <v>5.0999999999999997E-2</v>
      </c>
      <c r="L19" s="83">
        <f>L11</f>
        <v>5.3999999999999999E-2</v>
      </c>
      <c r="M19" s="83">
        <f>M11</f>
        <v>7.1999999999999995E-2</v>
      </c>
      <c r="N19" s="83">
        <f>N11</f>
        <v>5.3999999999999999E-2</v>
      </c>
    </row>
    <row r="20" spans="1:14" ht="20.100000000000001" customHeight="1" x14ac:dyDescent="0.2">
      <c r="A20" s="82" t="s">
        <v>115</v>
      </c>
      <c r="B20" s="83">
        <f>B15</f>
        <v>8.5000000000000006E-2</v>
      </c>
      <c r="C20" s="83">
        <f t="shared" ref="C20:K20" si="6">C15</f>
        <v>0.20499999999999999</v>
      </c>
      <c r="D20" s="83">
        <f t="shared" si="6"/>
        <v>0.19700000000000001</v>
      </c>
      <c r="E20" s="83">
        <f t="shared" si="6"/>
        <v>0.16300000000000001</v>
      </c>
      <c r="F20" s="83">
        <f>F15</f>
        <v>0.23200000000000001</v>
      </c>
      <c r="G20" s="83">
        <f t="shared" si="6"/>
        <v>0.219</v>
      </c>
      <c r="H20" s="83">
        <f t="shared" si="6"/>
        <v>0.11600000000000001</v>
      </c>
      <c r="I20" s="83">
        <f t="shared" si="6"/>
        <v>0.20300000000000001</v>
      </c>
      <c r="J20" s="83">
        <f t="shared" si="6"/>
        <v>0.182</v>
      </c>
      <c r="K20" s="83">
        <f t="shared" si="6"/>
        <v>0.17100000000000001</v>
      </c>
      <c r="L20" s="83">
        <f>L15</f>
        <v>0.29199999999999998</v>
      </c>
      <c r="M20" s="83">
        <f>M15</f>
        <v>0.17</v>
      </c>
      <c r="N20" s="83">
        <f>N15</f>
        <v>0.183</v>
      </c>
    </row>
    <row r="21" spans="1:14" ht="15" x14ac:dyDescent="0.2">
      <c r="A21" s="51" t="s">
        <v>12</v>
      </c>
      <c r="B21" s="15"/>
      <c r="C21" s="15"/>
      <c r="D21" s="15"/>
      <c r="E21" s="15"/>
      <c r="F21" s="15"/>
      <c r="G21" s="15"/>
      <c r="H21" s="15"/>
      <c r="I21" s="15"/>
    </row>
    <row r="37" spans="2:9" x14ac:dyDescent="0.2">
      <c r="E37" s="137"/>
      <c r="F37" s="137"/>
      <c r="I37" s="137"/>
    </row>
    <row r="38" spans="2:9" x14ac:dyDescent="0.2">
      <c r="B38" s="137"/>
      <c r="C38" s="137"/>
      <c r="E38" s="137"/>
      <c r="F38" s="137"/>
      <c r="I38" s="137"/>
    </row>
    <row r="39" spans="2:9" x14ac:dyDescent="0.2">
      <c r="B39" s="137"/>
      <c r="C39" s="137"/>
      <c r="E39" s="137"/>
      <c r="F39" s="137"/>
      <c r="I39" s="137"/>
    </row>
    <row r="40" spans="2:9" x14ac:dyDescent="0.2">
      <c r="B40" s="137"/>
      <c r="C40" s="137"/>
      <c r="E40" s="137"/>
      <c r="F40" s="137"/>
      <c r="I40" s="137"/>
    </row>
    <row r="41" spans="2:9" x14ac:dyDescent="0.2">
      <c r="B41" s="137"/>
      <c r="C41" s="137"/>
      <c r="E41" s="137"/>
      <c r="F41" s="137"/>
      <c r="I41" s="137"/>
    </row>
    <row r="42" spans="2:9" x14ac:dyDescent="0.2">
      <c r="B42" s="137"/>
      <c r="C42" s="137"/>
      <c r="E42" s="137"/>
      <c r="F42" s="137"/>
      <c r="I42" s="137"/>
    </row>
    <row r="43" spans="2:9" x14ac:dyDescent="0.2">
      <c r="B43" s="137"/>
      <c r="C43" s="137"/>
      <c r="E43" s="137"/>
      <c r="F43" s="137"/>
      <c r="I43" s="137"/>
    </row>
    <row r="44" spans="2:9" x14ac:dyDescent="0.2">
      <c r="B44" s="137"/>
      <c r="C44" s="137"/>
      <c r="E44" s="137"/>
      <c r="F44" s="137"/>
      <c r="I44" s="137"/>
    </row>
    <row r="45" spans="2:9" x14ac:dyDescent="0.2">
      <c r="B45" s="137"/>
      <c r="C45" s="137"/>
      <c r="E45" s="137"/>
      <c r="F45" s="137"/>
      <c r="I45" s="137"/>
    </row>
    <row r="46" spans="2:9" x14ac:dyDescent="0.2">
      <c r="B46" s="137"/>
      <c r="C46" s="137"/>
      <c r="E46" s="137"/>
      <c r="F46" s="137"/>
      <c r="I46" s="137"/>
    </row>
    <row r="47" spans="2:9" x14ac:dyDescent="0.2">
      <c r="B47" s="137"/>
      <c r="C47" s="137"/>
      <c r="E47" s="137"/>
      <c r="F47" s="137"/>
      <c r="I47" s="137"/>
    </row>
    <row r="48" spans="2:9" x14ac:dyDescent="0.2">
      <c r="B48" s="137"/>
      <c r="C48" s="137"/>
      <c r="E48" s="137"/>
      <c r="F48" s="137"/>
      <c r="I48" s="137"/>
    </row>
    <row r="49" spans="2:9" x14ac:dyDescent="0.2">
      <c r="B49" s="137"/>
      <c r="C49" s="137"/>
      <c r="E49" s="137"/>
      <c r="F49" s="137"/>
      <c r="I49" s="137"/>
    </row>
    <row r="50" spans="2:9" x14ac:dyDescent="0.2">
      <c r="B50" s="137"/>
      <c r="C50" s="137"/>
      <c r="E50" s="137"/>
      <c r="F50" s="137"/>
      <c r="I50" s="137"/>
    </row>
    <row r="51" spans="2:9" x14ac:dyDescent="0.2">
      <c r="B51" s="137"/>
      <c r="C51" s="137"/>
      <c r="E51" s="137"/>
      <c r="F51" s="137"/>
      <c r="I51" s="137"/>
    </row>
    <row r="52" spans="2:9" x14ac:dyDescent="0.2">
      <c r="B52" s="137"/>
      <c r="C52" s="137"/>
      <c r="E52" s="137"/>
      <c r="F52" s="137"/>
      <c r="I52" s="137"/>
    </row>
    <row r="53" spans="2:9" x14ac:dyDescent="0.2">
      <c r="B53" s="137"/>
      <c r="C53" s="137"/>
      <c r="E53" s="137"/>
      <c r="F53" s="137"/>
      <c r="I53" s="137"/>
    </row>
    <row r="54" spans="2:9" x14ac:dyDescent="0.2">
      <c r="B54" s="137"/>
      <c r="C54" s="137"/>
      <c r="E54" s="137"/>
      <c r="F54" s="137"/>
      <c r="I54" s="137"/>
    </row>
    <row r="55" spans="2:9" x14ac:dyDescent="0.2">
      <c r="B55" s="137"/>
      <c r="C55" s="137"/>
      <c r="E55" s="137"/>
      <c r="F55" s="137"/>
      <c r="I55" s="137"/>
    </row>
    <row r="56" spans="2:9" x14ac:dyDescent="0.2">
      <c r="B56" s="137"/>
      <c r="C56" s="137"/>
      <c r="E56" s="137"/>
      <c r="F56" s="137"/>
      <c r="I56" s="137"/>
    </row>
    <row r="57" spans="2:9" x14ac:dyDescent="0.2">
      <c r="B57" s="137"/>
      <c r="C57" s="137"/>
      <c r="E57" s="137"/>
      <c r="F57" s="137"/>
      <c r="I57" s="137"/>
    </row>
    <row r="58" spans="2:9" x14ac:dyDescent="0.2">
      <c r="B58" s="137"/>
      <c r="C58" s="137"/>
      <c r="E58" s="137"/>
      <c r="F58" s="137"/>
      <c r="I58" s="137"/>
    </row>
    <row r="59" spans="2:9" x14ac:dyDescent="0.2">
      <c r="B59" s="137"/>
      <c r="C59" s="137"/>
      <c r="E59" s="137"/>
      <c r="F59" s="137"/>
      <c r="I59" s="137"/>
    </row>
    <row r="60" spans="2:9" x14ac:dyDescent="0.2">
      <c r="B60" s="137"/>
      <c r="C60" s="137"/>
      <c r="E60" s="137"/>
      <c r="F60" s="137"/>
      <c r="I60" s="137"/>
    </row>
    <row r="61" spans="2:9" x14ac:dyDescent="0.2">
      <c r="B61" s="137"/>
      <c r="C61" s="137"/>
      <c r="E61" s="137"/>
      <c r="F61" s="137"/>
    </row>
    <row r="62" spans="2:9" x14ac:dyDescent="0.2">
      <c r="B62" s="137"/>
      <c r="C62" s="137"/>
      <c r="E62" s="137"/>
      <c r="F62" s="137"/>
    </row>
    <row r="63" spans="2:9" x14ac:dyDescent="0.2">
      <c r="B63" s="137"/>
      <c r="C63" s="137"/>
      <c r="E63" s="137"/>
      <c r="F63" s="137"/>
    </row>
    <row r="64" spans="2:9" x14ac:dyDescent="0.2">
      <c r="B64" s="137"/>
      <c r="C64" s="137"/>
      <c r="E64" s="137"/>
      <c r="F64" s="137"/>
    </row>
    <row r="65" spans="2:6" x14ac:dyDescent="0.2">
      <c r="B65" s="137"/>
      <c r="C65" s="137"/>
      <c r="E65" s="137"/>
      <c r="F65" s="137"/>
    </row>
  </sheetData>
  <mergeCells count="1">
    <mergeCell ref="A1:B1"/>
  </mergeCells>
  <printOptions horizontalCentered="1" verticalCentered="1"/>
  <pageMargins left="0.45" right="0.45" top="0.5" bottom="0.5" header="0.3" footer="0.3"/>
  <pageSetup scale="4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4"/>
  <sheetViews>
    <sheetView workbookViewId="0">
      <selection activeCell="E23" sqref="E23"/>
    </sheetView>
  </sheetViews>
  <sheetFormatPr defaultRowHeight="12.75" x14ac:dyDescent="0.2"/>
  <cols>
    <col min="1" max="1" width="75.7109375" customWidth="1"/>
    <col min="2" max="2" width="18.42578125" customWidth="1"/>
    <col min="3" max="3" width="16.42578125" customWidth="1"/>
    <col min="4" max="8" width="15.7109375" customWidth="1"/>
  </cols>
  <sheetData>
    <row r="1" spans="1:8" ht="24.95" customHeight="1" x14ac:dyDescent="0.2">
      <c r="A1" s="202" t="s">
        <v>134</v>
      </c>
      <c r="B1" s="202"/>
      <c r="C1" s="202"/>
      <c r="D1" s="202"/>
      <c r="E1" s="202"/>
      <c r="F1" s="202"/>
      <c r="G1" s="202"/>
    </row>
    <row r="2" spans="1:8" ht="24.95" customHeight="1" x14ac:dyDescent="0.2">
      <c r="A2" s="133"/>
      <c r="B2" s="203" t="s">
        <v>135</v>
      </c>
      <c r="C2" s="203"/>
      <c r="D2" s="203"/>
      <c r="E2" s="203"/>
      <c r="F2" s="203"/>
      <c r="G2" s="203"/>
    </row>
    <row r="3" spans="1:8" ht="24.95" customHeight="1" x14ac:dyDescent="0.25">
      <c r="A3" s="132" t="s">
        <v>12</v>
      </c>
      <c r="B3" s="113" t="s">
        <v>200</v>
      </c>
      <c r="C3" s="113" t="s">
        <v>93</v>
      </c>
      <c r="D3" s="113" t="s">
        <v>94</v>
      </c>
      <c r="E3" s="113" t="s">
        <v>95</v>
      </c>
      <c r="F3" s="113" t="s">
        <v>96</v>
      </c>
      <c r="G3" s="113" t="s">
        <v>97</v>
      </c>
    </row>
    <row r="4" spans="1:8" ht="20.100000000000001" customHeight="1" x14ac:dyDescent="0.2">
      <c r="A4" s="150" t="s">
        <v>201</v>
      </c>
      <c r="B4" s="143">
        <v>7707</v>
      </c>
      <c r="C4" s="143">
        <v>168</v>
      </c>
      <c r="D4" s="143">
        <v>1276</v>
      </c>
      <c r="E4" s="143">
        <v>5193</v>
      </c>
      <c r="F4" s="143">
        <v>670</v>
      </c>
      <c r="G4" s="143">
        <v>362</v>
      </c>
    </row>
    <row r="5" spans="1:8" ht="20.100000000000001" customHeight="1" x14ac:dyDescent="0.2">
      <c r="A5" s="150" t="s">
        <v>202</v>
      </c>
      <c r="B5" s="143">
        <v>3500</v>
      </c>
      <c r="C5" s="143">
        <v>76</v>
      </c>
      <c r="D5" s="143">
        <v>579</v>
      </c>
      <c r="E5" s="143">
        <v>2358</v>
      </c>
      <c r="F5" s="143">
        <v>304</v>
      </c>
      <c r="G5" s="143">
        <v>164</v>
      </c>
    </row>
    <row r="6" spans="1:8" ht="20.100000000000001" customHeight="1" x14ac:dyDescent="0.2">
      <c r="A6" s="41" t="s">
        <v>220</v>
      </c>
      <c r="B6" s="146">
        <v>11505</v>
      </c>
      <c r="C6" s="146">
        <v>188</v>
      </c>
      <c r="D6" s="146">
        <v>3171</v>
      </c>
      <c r="E6" s="146">
        <v>5130</v>
      </c>
      <c r="F6" s="146">
        <v>2196</v>
      </c>
      <c r="G6" s="146">
        <v>820</v>
      </c>
    </row>
    <row r="7" spans="1:8" ht="20.100000000000001" customHeight="1" x14ac:dyDescent="0.2">
      <c r="A7" s="151" t="s">
        <v>203</v>
      </c>
      <c r="B7" s="146">
        <v>4776.7</v>
      </c>
      <c r="C7" s="146">
        <v>0</v>
      </c>
      <c r="D7" s="146">
        <v>1916.2</v>
      </c>
      <c r="E7" s="146">
        <v>2683</v>
      </c>
      <c r="F7" s="146">
        <v>0</v>
      </c>
      <c r="G7" s="146">
        <v>177.5</v>
      </c>
    </row>
    <row r="8" spans="1:8" ht="20.100000000000001" customHeight="1" x14ac:dyDescent="0.2">
      <c r="A8" s="131" t="s">
        <v>204</v>
      </c>
      <c r="B8" s="205">
        <f t="shared" ref="B8:G8" si="0">IF(MIN(B4-B5-B7,B6-B5-B7)&lt;0,0,MIN(B4-B5-B7,B6-B5-B7))</f>
        <v>0</v>
      </c>
      <c r="C8" s="146">
        <f t="shared" si="0"/>
        <v>92</v>
      </c>
      <c r="D8" s="146">
        <f t="shared" si="0"/>
        <v>0</v>
      </c>
      <c r="E8" s="146">
        <f t="shared" si="0"/>
        <v>89</v>
      </c>
      <c r="F8" s="146">
        <f t="shared" si="0"/>
        <v>366</v>
      </c>
      <c r="G8" s="146">
        <f t="shared" si="0"/>
        <v>20.5</v>
      </c>
    </row>
    <row r="9" spans="1:8" ht="15" x14ac:dyDescent="0.2">
      <c r="A9" s="110" t="s">
        <v>41</v>
      </c>
    </row>
    <row r="10" spans="1:8" ht="14.25" x14ac:dyDescent="0.2">
      <c r="A10" s="134" t="s">
        <v>221</v>
      </c>
    </row>
    <row r="11" spans="1:8" ht="50.1" customHeight="1" x14ac:dyDescent="0.2">
      <c r="A11" s="204" t="s">
        <v>229</v>
      </c>
      <c r="B11" s="204"/>
      <c r="C11" s="204"/>
      <c r="D11" s="204"/>
      <c r="E11" s="204"/>
      <c r="F11" s="204"/>
      <c r="G11" s="204"/>
      <c r="H11" s="204"/>
    </row>
    <row r="13" spans="1:8" x14ac:dyDescent="0.2">
      <c r="B13" s="142" t="s">
        <v>12</v>
      </c>
      <c r="C13" s="142" t="s">
        <v>12</v>
      </c>
      <c r="D13" s="142" t="s">
        <v>12</v>
      </c>
      <c r="E13" s="142" t="s">
        <v>12</v>
      </c>
      <c r="F13" s="142" t="s">
        <v>12</v>
      </c>
      <c r="G13" s="142" t="s">
        <v>12</v>
      </c>
      <c r="H13" s="142" t="s">
        <v>12</v>
      </c>
    </row>
    <row r="36" spans="2:9" x14ac:dyDescent="0.2">
      <c r="E36" s="137"/>
      <c r="F36" s="137"/>
      <c r="I36" s="137"/>
    </row>
    <row r="37" spans="2:9" x14ac:dyDescent="0.2">
      <c r="B37" s="137"/>
      <c r="C37" s="137"/>
      <c r="E37" s="137"/>
      <c r="F37" s="137"/>
      <c r="I37" s="137"/>
    </row>
    <row r="38" spans="2:9" x14ac:dyDescent="0.2">
      <c r="B38" s="137"/>
      <c r="C38" s="137"/>
      <c r="E38" s="137"/>
      <c r="F38" s="137"/>
      <c r="I38" s="137"/>
    </row>
    <row r="39" spans="2:9" x14ac:dyDescent="0.2">
      <c r="B39" s="137"/>
      <c r="C39" s="137"/>
      <c r="E39" s="137"/>
      <c r="F39" s="137"/>
      <c r="I39" s="137"/>
    </row>
    <row r="40" spans="2:9" x14ac:dyDescent="0.2">
      <c r="B40" s="137"/>
      <c r="C40" s="137"/>
      <c r="E40" s="137"/>
      <c r="F40" s="137"/>
      <c r="I40" s="137"/>
    </row>
    <row r="41" spans="2:9" x14ac:dyDescent="0.2">
      <c r="B41" s="137"/>
      <c r="C41" s="137"/>
      <c r="E41" s="137"/>
      <c r="F41" s="137"/>
      <c r="I41" s="137"/>
    </row>
    <row r="42" spans="2:9" x14ac:dyDescent="0.2">
      <c r="B42" s="137"/>
      <c r="C42" s="137"/>
      <c r="E42" s="137"/>
      <c r="F42" s="137"/>
      <c r="I42" s="137"/>
    </row>
    <row r="43" spans="2:9" x14ac:dyDescent="0.2">
      <c r="B43" s="137"/>
      <c r="C43" s="137"/>
      <c r="E43" s="137"/>
      <c r="F43" s="137"/>
      <c r="I43" s="137"/>
    </row>
    <row r="44" spans="2:9" x14ac:dyDescent="0.2">
      <c r="B44" s="137"/>
      <c r="C44" s="137"/>
      <c r="E44" s="137"/>
      <c r="F44" s="137"/>
      <c r="I44" s="137"/>
    </row>
    <row r="45" spans="2:9" x14ac:dyDescent="0.2">
      <c r="B45" s="137"/>
      <c r="C45" s="137"/>
      <c r="E45" s="137"/>
      <c r="F45" s="137"/>
      <c r="I45" s="137"/>
    </row>
    <row r="46" spans="2:9" x14ac:dyDescent="0.2">
      <c r="B46" s="137"/>
      <c r="C46" s="137"/>
      <c r="E46" s="137"/>
      <c r="F46" s="137"/>
      <c r="I46" s="137"/>
    </row>
    <row r="47" spans="2:9" x14ac:dyDescent="0.2">
      <c r="B47" s="137"/>
      <c r="C47" s="137"/>
      <c r="E47" s="137"/>
      <c r="F47" s="137"/>
      <c r="I47" s="137"/>
    </row>
    <row r="48" spans="2:9" x14ac:dyDescent="0.2">
      <c r="B48" s="137"/>
      <c r="C48" s="137"/>
      <c r="E48" s="137"/>
      <c r="F48" s="137"/>
      <c r="I48" s="137"/>
    </row>
    <row r="49" spans="2:9" x14ac:dyDescent="0.2">
      <c r="B49" s="137"/>
      <c r="C49" s="137"/>
      <c r="E49" s="137"/>
      <c r="F49" s="137"/>
      <c r="I49" s="137"/>
    </row>
    <row r="50" spans="2:9" x14ac:dyDescent="0.2">
      <c r="B50" s="137"/>
      <c r="C50" s="137"/>
      <c r="E50" s="137"/>
      <c r="F50" s="137"/>
      <c r="I50" s="137"/>
    </row>
    <row r="51" spans="2:9" x14ac:dyDescent="0.2">
      <c r="B51" s="137"/>
      <c r="C51" s="137"/>
      <c r="E51" s="137"/>
      <c r="F51" s="137"/>
      <c r="I51" s="137"/>
    </row>
    <row r="52" spans="2:9" x14ac:dyDescent="0.2">
      <c r="B52" s="137"/>
      <c r="C52" s="137"/>
      <c r="E52" s="137"/>
      <c r="F52" s="137"/>
      <c r="I52" s="137"/>
    </row>
    <row r="53" spans="2:9" x14ac:dyDescent="0.2">
      <c r="B53" s="137"/>
      <c r="C53" s="137"/>
      <c r="E53" s="137"/>
      <c r="F53" s="137"/>
      <c r="I53" s="137"/>
    </row>
    <row r="54" spans="2:9" x14ac:dyDescent="0.2">
      <c r="B54" s="137"/>
      <c r="C54" s="137"/>
      <c r="E54" s="137"/>
      <c r="F54" s="137"/>
      <c r="I54" s="137"/>
    </row>
    <row r="55" spans="2:9" x14ac:dyDescent="0.2">
      <c r="B55" s="137"/>
      <c r="C55" s="137"/>
      <c r="E55" s="137"/>
      <c r="F55" s="137"/>
      <c r="I55" s="137"/>
    </row>
    <row r="56" spans="2:9" x14ac:dyDescent="0.2">
      <c r="B56" s="137"/>
      <c r="C56" s="137"/>
      <c r="E56" s="137"/>
      <c r="F56" s="137"/>
      <c r="I56" s="137"/>
    </row>
    <row r="57" spans="2:9" x14ac:dyDescent="0.2">
      <c r="B57" s="137"/>
      <c r="C57" s="137"/>
      <c r="E57" s="137"/>
      <c r="F57" s="137"/>
      <c r="I57" s="137"/>
    </row>
    <row r="58" spans="2:9" x14ac:dyDescent="0.2">
      <c r="B58" s="137"/>
      <c r="C58" s="137"/>
      <c r="E58" s="137"/>
      <c r="F58" s="137"/>
      <c r="I58" s="137"/>
    </row>
    <row r="59" spans="2:9" x14ac:dyDescent="0.2">
      <c r="B59" s="137"/>
      <c r="C59" s="137"/>
      <c r="E59" s="137"/>
      <c r="F59" s="137"/>
      <c r="I59" s="137"/>
    </row>
    <row r="60" spans="2:9" x14ac:dyDescent="0.2">
      <c r="B60" s="137"/>
      <c r="C60" s="137"/>
      <c r="E60" s="137"/>
      <c r="F60" s="137"/>
    </row>
    <row r="61" spans="2:9" x14ac:dyDescent="0.2">
      <c r="B61" s="137"/>
      <c r="C61" s="137"/>
      <c r="E61" s="137"/>
      <c r="F61" s="137"/>
    </row>
    <row r="62" spans="2:9" x14ac:dyDescent="0.2">
      <c r="B62" s="137"/>
      <c r="C62" s="137"/>
      <c r="E62" s="137"/>
      <c r="F62" s="137"/>
    </row>
    <row r="63" spans="2:9" x14ac:dyDescent="0.2">
      <c r="B63" s="137"/>
      <c r="C63" s="137"/>
      <c r="E63" s="137"/>
      <c r="F63" s="137"/>
    </row>
    <row r="64" spans="2:9" x14ac:dyDescent="0.2">
      <c r="B64" s="137"/>
      <c r="C64" s="137"/>
      <c r="E64" s="137"/>
      <c r="F64" s="137"/>
    </row>
  </sheetData>
  <mergeCells count="3">
    <mergeCell ref="A1:G1"/>
    <mergeCell ref="B2:G2"/>
    <mergeCell ref="A11:H11"/>
  </mergeCells>
  <pageMargins left="0.7" right="0.7" top="0.75" bottom="0.75" header="0.3" footer="0.3"/>
  <pageSetup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2018-2019 Parameters</vt:lpstr>
      <vt:lpstr>Net CONE</vt:lpstr>
      <vt:lpstr>Key Transmission Upgrades</vt:lpstr>
      <vt:lpstr>DR Rel Targets</vt:lpstr>
      <vt:lpstr>Cap Import Limits</vt:lpstr>
      <vt:lpstr>'2018-2019 Parameters'!Print_Area</vt:lpstr>
      <vt:lpstr>'Cap Import Limits'!Print_Area</vt:lpstr>
      <vt:lpstr>'DR Rel Targets'!Print_Area</vt:lpstr>
      <vt:lpstr>'Key Transmission Upgrades'!Print_Area</vt:lpstr>
      <vt:lpstr>'Net CONE'!Print_Area</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PJM User</dc:creator>
  <cp:lastModifiedBy>Jeffrey Bastian</cp:lastModifiedBy>
  <cp:lastPrinted>2015-04-14T14:46:19Z</cp:lastPrinted>
  <dcterms:created xsi:type="dcterms:W3CDTF">2007-01-26T13:56:48Z</dcterms:created>
  <dcterms:modified xsi:type="dcterms:W3CDTF">2015-04-21T12:52:49Z</dcterms:modified>
</cp:coreProperties>
</file>