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worksheets/sheet1.xml" ContentType="application/vnd.openxmlformats-officedocument.spreadsheetml.worksheet+xml"/>
  <Override PartName="/xl/customProperty3.bin" ContentType="application/vnd.openxmlformats-officedocument.spreadsheetml.customProperty"/>
  <Override PartName="/xl/customProperty4.bin" ContentType="application/vnd.openxmlformats-officedocument.spreadsheetml.customProperty"/>
  <Override PartName="/xl/worksheets/sheet2.xml" ContentType="application/vnd.openxmlformats-officedocument.spreadsheetml.worksheet+xml"/>
  <Override PartName="/xl/customProperty5.bin" ContentType="application/vnd.openxmlformats-officedocument.spreadsheetml.customProperty"/>
  <Override PartName="/xl/customProperty6.bin" ContentType="application/vnd.openxmlformats-officedocument.spreadsheetml.customProperty"/>
  <Override PartName="/xl/worksheets/sheet3.xml" ContentType="application/vnd.openxmlformats-officedocument.spreadsheetml.worksheet+xml"/>
  <Override PartName="/xl/customProperty7.bin" ContentType="application/vnd.openxmlformats-officedocument.spreadsheetml.customProperty"/>
  <Override PartName="/xl/customProperty8.bin" ContentType="application/vnd.openxmlformats-officedocument.spreadsheetml.customProperty"/>
  <Override PartName="/xl/worksheets/sheet4.xml" ContentType="application/vnd.openxmlformats-officedocument.spreadsheetml.worksheet+xml"/>
  <Override PartName="/xl/customProperty9.bin" ContentType="application/vnd.openxmlformats-officedocument.spreadsheetml.customProperty"/>
  <Override PartName="/xl/customProperty10.bin" ContentType="application/vnd.openxmlformats-officedocument.spreadsheetml.customProperty"/>
  <Override PartName="/xl/worksheets/sheet5.xml" ContentType="application/vnd.openxmlformats-officedocument.spreadsheetml.worksheet+xml"/>
  <Override PartName="/xl/customProperty11.bin" ContentType="application/vnd.openxmlformats-officedocument.spreadsheetml.customProperty"/>
  <Override PartName="/xl/customProperty12.bin" ContentType="application/vnd.openxmlformats-officedocument.spreadsheetml.customProperty"/>
  <Override PartName="/xl/worksheets/sheet6.xml" ContentType="application/vnd.openxmlformats-officedocument.spreadsheetml.worksheet+xml"/>
  <Override PartName="/xl/customProperty13.bin" ContentType="application/vnd.openxmlformats-officedocument.spreadsheetml.customProperty"/>
  <Override PartName="/xl/customProperty14.bin" ContentType="application/vnd.openxmlformats-officedocument.spreadsheetml.customProperty"/>
  <Override PartName="/xl/worksheets/sheet7.xml" ContentType="application/vnd.openxmlformats-officedocument.spreadsheetml.worksheet+xml"/>
  <Override PartName="/xl/customProperty15.bin" ContentType="application/vnd.openxmlformats-officedocument.spreadsheetml.customProperty"/>
  <Override PartName="/xl/customProperty16.bin" ContentType="application/vnd.openxmlformats-officedocument.spreadsheetml.customProperty"/>
  <Override PartName="/xl/worksheets/sheet8.xml" ContentType="application/vnd.openxmlformats-officedocument.spreadsheetml.worksheet+xml"/>
  <Override PartName="/xl/customProperty17.bin" ContentType="application/vnd.openxmlformats-officedocument.spreadsheetml.customProperty"/>
  <Override PartName="/xl/customProperty18.bin" ContentType="application/vnd.openxmlformats-officedocument.spreadsheetml.customProperty"/>
  <Override PartName="/xl/worksheets/sheet9.xml" ContentType="application/vnd.openxmlformats-officedocument.spreadsheetml.worksheet+xml"/>
  <Override PartName="/xl/customProperty19.bin" ContentType="application/vnd.openxmlformats-officedocument.spreadsheetml.customProperty"/>
  <Override PartName="/xl/customProperty20.bin" ContentType="application/vnd.openxmlformats-officedocument.spreadsheetml.customProperty"/>
  <Override PartName="/xl/worksheets/sheet10.xml" ContentType="application/vnd.openxmlformats-officedocument.spreadsheetml.worksheet+xml"/>
  <Override PartName="/xl/customProperty21.bin" ContentType="application/vnd.openxmlformats-officedocument.spreadsheetml.customProperty"/>
  <Override PartName="/xl/customProperty22.bin" ContentType="application/vnd.openxmlformats-officedocument.spreadsheetml.customProperty"/>
  <Override PartName="/xl/worksheets/sheet11.xml" ContentType="application/vnd.openxmlformats-officedocument.spreadsheetml.worksheet+xml"/>
  <Override PartName="/xl/customProperty23.bin" ContentType="application/vnd.openxmlformats-officedocument.spreadsheetml.customProperty"/>
  <Override PartName="/xl/customProperty24.bin" ContentType="application/vnd.openxmlformats-officedocument.spreadsheetml.customProperty"/>
  <Override PartName="/xl/worksheets/sheet12.xml" ContentType="application/vnd.openxmlformats-officedocument.spreadsheetml.worksheet+xml"/>
  <Override PartName="/xl/customProperty25.bin" ContentType="application/vnd.openxmlformats-officedocument.spreadsheetml.customProperty"/>
  <Override PartName="/xl/customProperty26.bin" ContentType="application/vnd.openxmlformats-officedocument.spreadsheetml.customProperty"/>
  <Override PartName="/xl/worksheets/sheet13.xml" ContentType="application/vnd.openxmlformats-officedocument.spreadsheetml.worksheet+xml"/>
  <Override PartName="/xl/customProperty27.bin" ContentType="application/vnd.openxmlformats-officedocument.spreadsheetml.customProperty"/>
  <Override PartName="/xl/customProperty28.bin" ContentType="application/vnd.openxmlformats-officedocument.spreadsheetml.customProperty"/>
  <Override PartName="/xl/worksheets/sheet14.xml" ContentType="application/vnd.openxmlformats-officedocument.spreadsheetml.worksheet+xml"/>
  <Override PartName="/xl/customProperty29.bin" ContentType="application/vnd.openxmlformats-officedocument.spreadsheetml.customProperty"/>
  <Override PartName="/xl/customProperty30.bin" ContentType="application/vnd.openxmlformats-officedocument.spreadsheetml.customProperty"/>
  <Override PartName="/xl/worksheets/sheet15.xml" ContentType="application/vnd.openxmlformats-officedocument.spreadsheetml.worksheet+xml"/>
  <Override PartName="/xl/customProperty31.bin" ContentType="application/vnd.openxmlformats-officedocument.spreadsheetml.customProperty"/>
  <Override PartName="/xl/customProperty32.bin" ContentType="application/vnd.openxmlformats-officedocument.spreadsheetml.customProperty"/>
  <Override PartName="/xl/worksheets/sheet16.xml" ContentType="application/vnd.openxmlformats-officedocument.spreadsheetml.worksheet+xml"/>
  <Override PartName="/xl/customProperty33.bin" ContentType="application/vnd.openxmlformats-officedocument.spreadsheetml.customProperty"/>
  <Override PartName="/xl/customProperty34.bin" ContentType="application/vnd.openxmlformats-officedocument.spreadsheetml.customProperty"/>
  <Override PartName="/xl/worksheets/sheet17.xml" ContentType="application/vnd.openxmlformats-officedocument.spreadsheetml.worksheet+xml"/>
  <Override PartName="/xl/customProperty35.bin" ContentType="application/vnd.openxmlformats-officedocument.spreadsheetml.customProperty"/>
  <Override PartName="/xl/customProperty36.bin" ContentType="application/vnd.openxmlformats-officedocument.spreadsheetml.customProperty"/>
  <Override PartName="/xl/worksheets/sheet18.xml" ContentType="application/vnd.openxmlformats-officedocument.spreadsheetml.worksheet+xml"/>
  <Override PartName="/xl/customProperty37.bin" ContentType="application/vnd.openxmlformats-officedocument.spreadsheetml.customProperty"/>
  <Override PartName="/xl/customProperty38.bin" ContentType="application/vnd.openxmlformats-officedocument.spreadsheetml.customProperty"/>
  <Override PartName="/xl/worksheets/sheet19.xml" ContentType="application/vnd.openxmlformats-officedocument.spreadsheetml.worksheet+xml"/>
  <Override PartName="/xl/worksheets/sheet20.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fileSharing readOnlyRecommended="1" userName="Aspose"/>
  <workbookPr updateLinks="never" codeName="ThisWorkbook" filterPrivacy="1" hidePivotFieldList="1" defaultThemeVersion="124226"/>
  <mc:AlternateContent xmlns:mc="http://schemas.openxmlformats.org/markup-compatibility/2006">
    <mc:Choice Requires="x15">
      <x15ac:absPath xmlns:x15ac="http://schemas.microsoft.com/office/spreadsheetml/2010/11/ac" url="C:\Users\sitij\AppData\Local\Temp\2tjo0frh\"/>
    </mc:Choice>
  </mc:AlternateContent>
  <bookViews>
    <workbookView xWindow="-120" yWindow="-120" windowWidth="29040" windowHeight="15840" tabRatio="900" activeTab="0"/>
  </bookViews>
  <sheets>
    <sheet name="Appendix A" sheetId="1" r:id="rId2"/>
    <sheet name="1A - ADIT" sheetId="2" r:id="rId3"/>
    <sheet name="1B - ADIT Proration" sheetId="42" r:id="rId4"/>
    <sheet name="1C - ADIT Prior Year" sheetId="14" r:id="rId5"/>
    <sheet name="1D - ADIT True-up" sheetId="43" r:id="rId6"/>
    <sheet name="1E - ADIT True-Up Proration" sheetId="44" r:id="rId7"/>
    <sheet name="2 - Other Taxes" sheetId="4" r:id="rId8"/>
    <sheet name="3 - Revenue Credits" sheetId="5" r:id="rId9"/>
    <sheet name="4 - Cost Support" sheetId="7" r:id="rId10"/>
    <sheet name="5 - CWIP in Rate Base" sheetId="41" r:id="rId11"/>
    <sheet name="6A - NITS True-Up " sheetId="8" r:id="rId12"/>
    <sheet name="6B - Schedule 12 True-Up" sheetId="49" r:id="rId13"/>
    <sheet name="7A - Project ROE Adder" sheetId="46" r:id="rId14"/>
    <sheet name="7B - Schedule 12 Projects" sheetId="47" r:id="rId15"/>
    <sheet name="8 - Depreciations Rates" sheetId="38" r:id="rId16"/>
    <sheet name="9 - Excess ADIT" sheetId="40" r:id="rId17"/>
    <sheet name="10 - Misc. Liabilities" sheetId="45" r:id="rId18"/>
    <sheet name="11 - Corrections" sheetId="48" r:id="rId19"/>
    <sheet name="12 - Schedule 1A" sheetId="50" r:id="rId20"/>
    <sheet name="13 - A&amp;G Detail" sheetId="51" r:id="rId21"/>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xlnm.Print_Area" localSheetId="16">'10 - Misc. Liabilities'!$A$1:$R$28</definedName>
    <definedName name="_xlnm.Print_Area" localSheetId="1">'1A - ADIT'!$A$1:$I$100</definedName>
    <definedName name="_xlnm.Print_Area" localSheetId="2">'1B - ADIT Proration'!$A$1:$S$28</definedName>
    <definedName name="_xlnm.Print_Area" localSheetId="3">'1C - ADIT Prior Year'!$A$1:$I$95</definedName>
    <definedName name="_xlnm.Print_Area" localSheetId="5">'1E - ADIT True-Up Proration'!$A$1:$Q$55</definedName>
    <definedName name="_xlnm.Print_Area" localSheetId="6">'2 - Other Taxes'!$A$1:$J$61</definedName>
    <definedName name="_xlnm.Print_Area" localSheetId="7">'3 - Revenue Credits'!$A$2:$F$41</definedName>
    <definedName name="_xlnm.Print_Area" localSheetId="8">'4 - Cost Support'!$A$1:$V$345</definedName>
    <definedName name="_xlnm.Print_Area" localSheetId="10">'6A - NITS True-Up '!$A$1:$L$75</definedName>
    <definedName name="_xlnm.Print_Area" localSheetId="11">'6B - Schedule 12 True-Up'!$A$1:$L$76</definedName>
    <definedName name="_xlnm.Print_Area" localSheetId="12">'7A - Project ROE Adder'!$A$1:$Z$21</definedName>
    <definedName name="_xlnm.Print_Area" localSheetId="13">'7B - Schedule 12 Projects'!$A$1:$Z$26</definedName>
    <definedName name="_xlnm.Print_Area" localSheetId="15">'9 - Excess ADIT'!$A$1:$Q$44</definedName>
    <definedName name="_xlnm.Print_Area" localSheetId="0">'Appendix A'!$A$3:$H$314</definedName>
    <definedName name="_xlnm.Print_Titles" localSheetId="8">'4 - Cost Support'!$1:$3</definedName>
    <definedName name="_xlnm.Print_Titles" localSheetId="0">'Appendix A'!$2:$6</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1" hidden="1">'1A - ADIT'!#REF!</definedName>
    <definedName name="Z_28948E05_8F34_4F1E_96FB_A80A6A844600_.wvu.Cols" localSheetId="3" hidden="1">'1C - ADIT Prior Year'!#REF!</definedName>
    <definedName name="Z_28948E05_8F34_4F1E_96FB_A80A6A844600_.wvu.PrintArea" localSheetId="1" hidden="1">'1A - ADIT'!$B$1:$I$88</definedName>
    <definedName name="Z_28948E05_8F34_4F1E_96FB_A80A6A844600_.wvu.PrintArea" localSheetId="3" hidden="1">'1C - ADIT Prior Year'!$B$1:$I$82</definedName>
    <definedName name="Z_416404B7_8533_4A12_ABD0_58CFDEB49D80_.wvu.PrintArea" localSheetId="3" hidden="1">'1C - ADIT Prior Year'!$B$1:$I$87</definedName>
    <definedName name="Z_416404B7_8533_4A12_ABD0_58CFDEB49D80_.wvu.PrintArea" localSheetId="11" hidden="1">'6B - Schedule 12 True-Up'!$B$1:$L$71</definedName>
    <definedName name="Z_63011E91_4609_4523_98FE_FD252E915668_.wvu.Cols" localSheetId="1" hidden="1">'1A - ADIT'!#REF!</definedName>
    <definedName name="Z_63011E91_4609_4523_98FE_FD252E915668_.wvu.Cols" localSheetId="3" hidden="1">'1C - ADIT Prior Year'!#REF!</definedName>
    <definedName name="Z_63011E91_4609_4523_98FE_FD252E915668_.wvu.PrintArea" localSheetId="1" hidden="1">'1A - ADIT'!$B$1:$I$88</definedName>
    <definedName name="Z_63011E91_4609_4523_98FE_FD252E915668_.wvu.PrintArea" localSheetId="3" hidden="1">'1C - ADIT Prior Year'!$B$1:$I$82</definedName>
    <definedName name="Z_6928E596_79BD_4CEC_9F0D_07E62D69B2A5_.wvu.Cols" localSheetId="1" hidden="1">'1A - ADIT'!#REF!</definedName>
    <definedName name="Z_6928E596_79BD_4CEC_9F0D_07E62D69B2A5_.wvu.Cols" localSheetId="3" hidden="1">'1C - ADIT Prior Year'!#REF!</definedName>
    <definedName name="Z_6928E596_79BD_4CEC_9F0D_07E62D69B2A5_.wvu.PrintArea" localSheetId="1" hidden="1">'1A - ADIT'!$B$1:$I$88</definedName>
    <definedName name="Z_6928E596_79BD_4CEC_9F0D_07E62D69B2A5_.wvu.PrintArea" localSheetId="3" hidden="1">'1C - ADIT Prior Year'!$B$1:$I$82</definedName>
    <definedName name="Z_71B42B22_A376_44B5_B0C1_23FC1AA3DBA2_.wvu.Cols" localSheetId="1" hidden="1">'1A - ADIT'!#REF!</definedName>
    <definedName name="Z_71B42B22_A376_44B5_B0C1_23FC1AA3DBA2_.wvu.Cols" localSheetId="3" hidden="1">'1C - ADIT Prior Year'!#REF!</definedName>
    <definedName name="Z_71B42B22_A376_44B5_B0C1_23FC1AA3DBA2_.wvu.PrintArea" localSheetId="1" hidden="1">'1A - ADIT'!$B$1:$I$88</definedName>
    <definedName name="Z_71B42B22_A376_44B5_B0C1_23FC1AA3DBA2_.wvu.PrintArea" localSheetId="3" hidden="1">'1C - ADIT Prior Year'!$B$1:$I$82</definedName>
    <definedName name="Z_8FBB4DC9_2D51_4AB9_80D8_F8474B404C29_.wvu.Cols" localSheetId="1" hidden="1">'1A - ADIT'!#REF!</definedName>
    <definedName name="Z_8FBB4DC9_2D51_4AB9_80D8_F8474B404C29_.wvu.Cols" localSheetId="3" hidden="1">'1C - ADIT Prior Year'!#REF!</definedName>
    <definedName name="Z_8FBB4DC9_2D51_4AB9_80D8_F8474B404C29_.wvu.PrintArea" localSheetId="1" hidden="1">'1A - ADIT'!$B$1:$I$88</definedName>
    <definedName name="Z_8FBB4DC9_2D51_4AB9_80D8_F8474B404C29_.wvu.PrintArea" localSheetId="3" hidden="1">'1C - ADIT Prior Year'!$B$1:$I$82</definedName>
    <definedName name="Z_B647CB7F_C846_4278_B6B1_1EF7F3C004F5_.wvu.Cols" localSheetId="1" hidden="1">'1A - ADIT'!#REF!</definedName>
    <definedName name="Z_B647CB7F_C846_4278_B6B1_1EF7F3C004F5_.wvu.Cols" localSheetId="3" hidden="1">'1C - ADIT Prior Year'!#REF!</definedName>
    <definedName name="Z_B647CB7F_C846_4278_B6B1_1EF7F3C004F5_.wvu.PrintArea" localSheetId="1" hidden="1">'1A - ADIT'!$B$1:$I$88</definedName>
    <definedName name="Z_B647CB7F_C846_4278_B6B1_1EF7F3C004F5_.wvu.PrintArea" localSheetId="3" hidden="1">'1C - ADIT Prior Year'!$B$1:$I$82</definedName>
    <definedName name="Z_DC91DEF3_837B_4BB9_A81E_3B78C5914E6C_.wvu.Cols" localSheetId="1" hidden="1">'1A - ADIT'!#REF!</definedName>
    <definedName name="Z_DC91DEF3_837B_4BB9_A81E_3B78C5914E6C_.wvu.Cols" localSheetId="3" hidden="1">'1C - ADIT Prior Year'!#REF!</definedName>
    <definedName name="Z_DC91DEF3_837B_4BB9_A81E_3B78C5914E6C_.wvu.PrintArea" localSheetId="1" hidden="1">'1A - ADIT'!$B$1:$I$88</definedName>
    <definedName name="Z_DC91DEF3_837B_4BB9_A81E_3B78C5914E6C_.wvu.PrintArea" localSheetId="3" hidden="1">'1C - ADIT Prior Year'!$B$1:$I$82</definedName>
    <definedName name="Z_FAAD9AAC_1337_43AB_BF1F_CCF9DFCF5B78_.wvu.Cols" localSheetId="1" hidden="1">'1A - ADIT'!#REF!</definedName>
    <definedName name="Z_FAAD9AAC_1337_43AB_BF1F_CCF9DFCF5B78_.wvu.Cols" localSheetId="3" hidden="1">'1C - ADIT Prior Year'!#REF!</definedName>
    <definedName name="Z_FAAD9AAC_1337_43AB_BF1F_CCF9DFCF5B78_.wvu.PrintArea" localSheetId="1" hidden="1">'1A - ADIT'!$B$1:$I$88</definedName>
    <definedName name="Z_FAAD9AAC_1337_43AB_BF1F_CCF9DFCF5B78_.wvu.PrintArea" localSheetId="3" hidden="1">'1C - ADIT Prior Year'!$B$1:$I$82</definedName>
  </definedNames>
  <calcPr fullCalcOnLoad="1"/>
  <extLst/>
</workbook>
</file>

<file path=xl/calcChain.xml><?xml version="1.0" encoding="utf-8"?>
<calcChain xmlns="http://schemas.openxmlformats.org/spreadsheetml/2006/main">
  <c r="H293" i="1" l="1"/>
</calcChain>
</file>

<file path=xl/sharedStrings.xml><?xml version="1.0" encoding="utf-8"?>
<sst xmlns="http://schemas.openxmlformats.org/spreadsheetml/2006/main" count="2128" uniqueCount="1022">
  <si>
    <t>Dayton Power and Light</t>
  </si>
  <si>
    <t xml:space="preserve">ATTACHMENT H-15A </t>
  </si>
  <si>
    <t xml:space="preserve">Projected for </t>
  </si>
  <si>
    <t>Formula Rate -- Appendix A (electric only)</t>
  </si>
  <si>
    <t>Notes</t>
  </si>
  <si>
    <t>Formula Rate Attachment Reference or Instruction</t>
  </si>
  <si>
    <t>Shaded cells are input cells</t>
  </si>
  <si>
    <t>Allocators</t>
  </si>
  <si>
    <t>Wages &amp; Salary Allocation Factor</t>
  </si>
  <si>
    <t>Transmission Wages Expense</t>
  </si>
  <si>
    <t>Total O&amp;M Wages Expense</t>
  </si>
  <si>
    <t>Less A&amp;G Wages Expense</t>
  </si>
  <si>
    <t>Total Wages Less A&amp;G Wages Expense</t>
  </si>
  <si>
    <t>Wages &amp; Salary Allocator</t>
  </si>
  <si>
    <t>Plant Allocation Factors</t>
  </si>
  <si>
    <t>Electric Plant in Service</t>
  </si>
  <si>
    <t>Accumulated Depreciation (Total Electric Plant)</t>
  </si>
  <si>
    <t>Net Plant</t>
  </si>
  <si>
    <t>Transmission Gross Plant</t>
  </si>
  <si>
    <t>Gross Plant Allocator</t>
  </si>
  <si>
    <t>Transmission Net Plant</t>
  </si>
  <si>
    <t>Net Plant Allocator</t>
  </si>
  <si>
    <t>Plant Calculations</t>
  </si>
  <si>
    <t>Plant In Service</t>
  </si>
  <si>
    <t>Transmission Plant In Service</t>
  </si>
  <si>
    <t>General</t>
  </si>
  <si>
    <t>Intangible - Electric</t>
  </si>
  <si>
    <t>Common Plant - Electric</t>
  </si>
  <si>
    <t>Total General, Intangible &amp; Common Plant</t>
  </si>
  <si>
    <t>Wage &amp; Salary Allocator</t>
  </si>
  <si>
    <t>General and Intangible Plant Allocated to Transmission</t>
  </si>
  <si>
    <t>Total Plant In Service</t>
  </si>
  <si>
    <t>Accumulated Depreciation</t>
  </si>
  <si>
    <t>Transmission Accumulated Depreciation</t>
  </si>
  <si>
    <t>Accumulated General Depreciation</t>
  </si>
  <si>
    <t>Accumulated Intangible Amortization</t>
  </si>
  <si>
    <t>Accumulated Common Plant Depreciation and Amortization- Electric</t>
  </si>
  <si>
    <t>Accumulated General, Intangible and Common Depreciation</t>
  </si>
  <si>
    <t>Subtotal General, Intangible and Common Accum. Depreciation Allocated to Transmission</t>
  </si>
  <si>
    <t>Total Accumulated Depreciation</t>
  </si>
  <si>
    <t>Total Net Plant in Service</t>
  </si>
  <si>
    <t>Adjustments To Rate Base</t>
  </si>
  <si>
    <t>Accumulated Deferred Income Taxes</t>
  </si>
  <si>
    <t>Excluding FAS 109</t>
  </si>
  <si>
    <t>Excess ADIT</t>
  </si>
  <si>
    <t xml:space="preserve">CWIP Incentive </t>
  </si>
  <si>
    <t xml:space="preserve">CWIP Balances  </t>
  </si>
  <si>
    <t>Abandoned Transmission Projects</t>
  </si>
  <si>
    <t>Unamortized Abandoned Transmission Projects</t>
  </si>
  <si>
    <t xml:space="preserve">Plant Held for Future Use </t>
  </si>
  <si>
    <t>Prepayments</t>
  </si>
  <si>
    <t xml:space="preserve">Prepayments </t>
  </si>
  <si>
    <t>Prepayments Allocated to Transmission</t>
  </si>
  <si>
    <t>Materials and Supplies</t>
  </si>
  <si>
    <t>Undistributed Stores Expense</t>
  </si>
  <si>
    <t>Total Undistributed Stores Expense Allocated to Transmission</t>
  </si>
  <si>
    <t>Transmission Materials &amp; Supplies</t>
  </si>
  <si>
    <t>Total Materials &amp; Supplies for Transmission</t>
  </si>
  <si>
    <t>Cash Working Capital</t>
  </si>
  <si>
    <t xml:space="preserve">Operation &amp; Maintenance Expense </t>
  </si>
  <si>
    <t>Total Cash Working Capital for Transmission</t>
  </si>
  <si>
    <t>Unfunded Reserves</t>
  </si>
  <si>
    <t>Property Insurance</t>
  </si>
  <si>
    <t>Property Insurance Allocated to Transmission</t>
  </si>
  <si>
    <t>Injuries and Damages</t>
  </si>
  <si>
    <t>Total</t>
  </si>
  <si>
    <t>Wage and Salary Allocator</t>
  </si>
  <si>
    <t>I&amp;J and P&amp;B Allocated to Transmission</t>
  </si>
  <si>
    <t>Miscellaneous Operating Provisions - Transmission Portion</t>
  </si>
  <si>
    <t>Deferred Credits</t>
  </si>
  <si>
    <t>Miscellaneous Current and Accrued Liabilities</t>
  </si>
  <si>
    <t>Total Adjustments to Rate Base</t>
  </si>
  <si>
    <t>Rate Base</t>
  </si>
  <si>
    <t>Operations &amp; Maintenance Expense</t>
  </si>
  <si>
    <t>Transmission O&amp;M</t>
  </si>
  <si>
    <t>Less:  Excluded Transmission O&amp;M</t>
  </si>
  <si>
    <t>Allocated Administrative &amp; General Expenses</t>
  </si>
  <si>
    <t>Total A&amp;G</t>
  </si>
  <si>
    <t xml:space="preserve">    Less Property Insurance Expense</t>
  </si>
  <si>
    <t xml:space="preserve">    Less Regulatory Commission Expense</t>
  </si>
  <si>
    <t xml:space="preserve">    Less Service Company and DP&amp;L Costs Directly Assigned to A&amp;G Distribution and Transmission</t>
  </si>
  <si>
    <t>Administrative &amp; General Expenses</t>
  </si>
  <si>
    <t>Administrative &amp; General Expenses Allocated to Transmission</t>
  </si>
  <si>
    <t>Directly Assigned A&amp;G</t>
  </si>
  <si>
    <t>Service Company and DP&amp;L Costs Directly Assigned to A&amp;G Transmission</t>
  </si>
  <si>
    <t>Subtotal</t>
  </si>
  <si>
    <t>Property Insurance Account 924</t>
  </si>
  <si>
    <t>Total A&amp;G for Transmission</t>
  </si>
  <si>
    <t xml:space="preserve">Total Transmission O&amp;M </t>
  </si>
  <si>
    <t>Depreciation &amp; Amortization Expense</t>
  </si>
  <si>
    <t>Depreciation Expense</t>
  </si>
  <si>
    <t>Transmission Depreciation Expense</t>
  </si>
  <si>
    <t>Amortization of Abandoned Plant Projects</t>
  </si>
  <si>
    <t>General and Common Depreciation Expense</t>
  </si>
  <si>
    <t>Intangible Amortization Expense</t>
  </si>
  <si>
    <t>General and Common Depreciation &amp; Intangible Amortization Allocated to Transmission</t>
  </si>
  <si>
    <t>Total Transmission Depreciation &amp; Amortization</t>
  </si>
  <si>
    <t xml:space="preserve">Taxes Other than Income Taxes                                                   </t>
  </si>
  <si>
    <t>Taxes Other than Income Taxes</t>
  </si>
  <si>
    <t>Total Transmission Taxes Other than Income Taxes</t>
  </si>
  <si>
    <t>Rate of Return</t>
  </si>
  <si>
    <t>Long Term Interest</t>
  </si>
  <si>
    <t>Preferred Dividends</t>
  </si>
  <si>
    <t>Capitalization</t>
  </si>
  <si>
    <t>Common Stock</t>
  </si>
  <si>
    <t>Proprietary Capital</t>
  </si>
  <si>
    <t xml:space="preserve">    Less: Accumulated Other Comprehensive Income (Account 219)</t>
  </si>
  <si>
    <t xml:space="preserve">    Less: Preferred Stock</t>
  </si>
  <si>
    <t xml:space="preserve">    Less: Unappropriated, Undistributed Subsidiary Earnings (Account 216.1)</t>
  </si>
  <si>
    <t>Long Term Debt</t>
  </si>
  <si>
    <t xml:space="preserve">      Add: Unamortized  Loss on Reacquired Debt </t>
  </si>
  <si>
    <t xml:space="preserve">               Unamortized Premium</t>
  </si>
  <si>
    <t xml:space="preserve">               Unamortized Gain on Reacquired Debt</t>
  </si>
  <si>
    <t xml:space="preserve">               Long-term Portion of Derivative Assets - Hedges</t>
  </si>
  <si>
    <t xml:space="preserve">              Derivative Instrument Liabilities - Hedges</t>
  </si>
  <si>
    <t>Preferred Stock</t>
  </si>
  <si>
    <t>Total  Capitalization</t>
  </si>
  <si>
    <t>Debt %</t>
  </si>
  <si>
    <t>Total Long Term Debt</t>
  </si>
  <si>
    <t>Preferred %</t>
  </si>
  <si>
    <t>Common %</t>
  </si>
  <si>
    <t>Debt Cost</t>
  </si>
  <si>
    <t>Preferred Cost</t>
  </si>
  <si>
    <t>Common Cost</t>
  </si>
  <si>
    <t>Fixed</t>
  </si>
  <si>
    <t>Weighted Cost of Debt</t>
  </si>
  <si>
    <t>Total Long Term Debt (WCLTD)</t>
  </si>
  <si>
    <t>Weighted Cost of Preferred</t>
  </si>
  <si>
    <t>Weighted Cost of Common</t>
  </si>
  <si>
    <t>Rate of Return on Rate Base ( ROR )</t>
  </si>
  <si>
    <t>Transmission Investment Return = Rate Base * Rate of Return</t>
  </si>
  <si>
    <t xml:space="preserve">Income Taxes                                                                                                       </t>
  </si>
  <si>
    <t xml:space="preserve"> </t>
  </si>
  <si>
    <t>Income Tax Rates</t>
  </si>
  <si>
    <t>FIT=Federal Income Tax Rate</t>
  </si>
  <si>
    <t>SIT=State Income Tax Rate or Composite</t>
  </si>
  <si>
    <t>MIT= Average Municipality Tax Rate</t>
  </si>
  <si>
    <t>p</t>
  </si>
  <si>
    <t>(percent of federal income tax deductible for state purposes)</t>
  </si>
  <si>
    <t>Per State Tax Code</t>
  </si>
  <si>
    <t>Composite Income Tax Rate (T)</t>
  </si>
  <si>
    <t xml:space="preserve">     = FIT + SIT + MIT - (SIT + MIT) * FIT - (FIT * p * SIT)</t>
  </si>
  <si>
    <t>T / (1-T)</t>
  </si>
  <si>
    <t>1/(1-T)</t>
  </si>
  <si>
    <t>ITC Adjustment</t>
  </si>
  <si>
    <t>Amortization of Investment Tax Credit - Transmission</t>
  </si>
  <si>
    <t>Amortization of Investment Tax Credit - General</t>
  </si>
  <si>
    <t>Amortization of Investment Tax Credit - General Allocated to Transmission</t>
  </si>
  <si>
    <t>Total Amortization of Investment Tax Credit - Transmission</t>
  </si>
  <si>
    <t>ITC Amortization Allocated to Transmission</t>
  </si>
  <si>
    <t>Equity AFUDC Component of Transmission Depreciation</t>
  </si>
  <si>
    <t>Tax Effect of AFUDC Equity Permanent Difference</t>
  </si>
  <si>
    <t>Equity AFUDC Adjustment for Transmission</t>
  </si>
  <si>
    <t>Amortization of Excess Accumulated Deferred Income Taxes</t>
  </si>
  <si>
    <t>Amortization of Excess ADIT</t>
  </si>
  <si>
    <t>Amortization of Excess ADIT for Transmission</t>
  </si>
  <si>
    <t>Income Tax Component</t>
  </si>
  <si>
    <t xml:space="preserve">     (T/1-T) * Weighted Cost of Preferred and Common * Rate Base</t>
  </si>
  <si>
    <t>Transmission Income Taxes</t>
  </si>
  <si>
    <t>Transmission Revenue Requirement</t>
  </si>
  <si>
    <t>Summary</t>
  </si>
  <si>
    <t>Net Property, Plant &amp; Equipment</t>
  </si>
  <si>
    <t>Total Transmission O&amp;M</t>
  </si>
  <si>
    <t>Taxes Other than Income</t>
  </si>
  <si>
    <t>Investment Return</t>
  </si>
  <si>
    <t>Income Taxes</t>
  </si>
  <si>
    <t>Gross Transmission Revenue Requirement</t>
  </si>
  <si>
    <t>Adjustment to Remove Revenue Requirements Associated with Excluded Transmission Facilities</t>
  </si>
  <si>
    <t>Excluded Transmission Facilities</t>
  </si>
  <si>
    <t>Included Transmission Facilities</t>
  </si>
  <si>
    <t>Inclusion Ratio</t>
  </si>
  <si>
    <t>Gross Revenue Requirement</t>
  </si>
  <si>
    <t>Adjusted Gross Revenue Requirement</t>
  </si>
  <si>
    <t>Revenue Credits &amp; Interest on Network Credits</t>
  </si>
  <si>
    <t>Revenue Credits</t>
  </si>
  <si>
    <t>Net Transmission Revenue Requirement</t>
  </si>
  <si>
    <t>Zonal Network Integration Transmission Service Rate and Carrying Charges</t>
  </si>
  <si>
    <t>Carrying Charges</t>
  </si>
  <si>
    <t xml:space="preserve">Net Transmission Plant and CWIP </t>
  </si>
  <si>
    <t xml:space="preserve">Net Plant Carrying Charge </t>
  </si>
  <si>
    <t>Net Plant Carrying Charge without Depreciation</t>
  </si>
  <si>
    <t>Net Plant Carrying Charge without Depreciation, Return, nor Income Taxes</t>
  </si>
  <si>
    <t>True-up amount</t>
  </si>
  <si>
    <t>Corrections</t>
  </si>
  <si>
    <t>ROE Adder for DP&amp;L Projects Included Only in the Dayton Zone</t>
  </si>
  <si>
    <t>Facility Credits under Section 30.9 of the PJM OATT</t>
  </si>
  <si>
    <t>Annual Transmission Revenue Requirement - Dayton Zone</t>
  </si>
  <si>
    <t>Network Integration Transmission Service Rate - Dayton Zone</t>
  </si>
  <si>
    <t>1 CP Peak</t>
  </si>
  <si>
    <t>Rate ($/MW-Year)</t>
  </si>
  <si>
    <t>Network Integration Transmission Service Rate - Dayton Zone ($/MW/Year)</t>
  </si>
  <si>
    <t>Monthly Rate</t>
  </si>
  <si>
    <t>Weekly Rate</t>
  </si>
  <si>
    <t>Daily On-Peak Rate</t>
  </si>
  <si>
    <t>Daily Off-Peak Rate</t>
  </si>
  <si>
    <t>A</t>
  </si>
  <si>
    <t>Calculated using 13-month average balances</t>
  </si>
  <si>
    <t>B</t>
  </si>
  <si>
    <t>C</t>
  </si>
  <si>
    <t>D</t>
  </si>
  <si>
    <t xml:space="preserve">Includes 100% of Regulatory Commission Expenses charged to A&amp;G </t>
  </si>
  <si>
    <t>E</t>
  </si>
  <si>
    <t>Includes Regulatory Commission Expenses charged to A&amp;G and directly related to transmission service, RTO filings, or transmission siting and all itemized in Form 1 at 351.h</t>
  </si>
  <si>
    <t>F</t>
  </si>
  <si>
    <t>CWIP can only be included in rate base if authorized by the Commission</t>
  </si>
  <si>
    <t>G</t>
  </si>
  <si>
    <t>H</t>
  </si>
  <si>
    <t>I</t>
  </si>
  <si>
    <t>J</t>
  </si>
  <si>
    <t>K</t>
  </si>
  <si>
    <t>Calculated using the average of the beginning and end of current year balances.  Goodwill may only be included pursuant to a Commission Order authorizing such inclusion</t>
  </si>
  <si>
    <t>L</t>
  </si>
  <si>
    <t xml:space="preserve">Calculated using the average of the beginning and end of current year balances </t>
  </si>
  <si>
    <t>M</t>
  </si>
  <si>
    <t>Unamortized Abandoned Plant and Amortization of Abandoned Plant may only be included pursuant to a Commission Order authorizing such inclusion</t>
  </si>
  <si>
    <t>N</t>
  </si>
  <si>
    <t>O</t>
  </si>
  <si>
    <t>P</t>
  </si>
  <si>
    <t>Q</t>
  </si>
  <si>
    <t>R</t>
  </si>
  <si>
    <t>S</t>
  </si>
  <si>
    <t xml:space="preserve">Include any Network or Facility Credits provided pursuant to Section 30.9 of the PJM OATT if not already included in another category of the Formula Rate.  </t>
  </si>
  <si>
    <t>END</t>
  </si>
  <si>
    <t>T</t>
  </si>
  <si>
    <t>Only</t>
  </si>
  <si>
    <t>Transmission</t>
  </si>
  <si>
    <t xml:space="preserve">Plant </t>
  </si>
  <si>
    <t>Labor</t>
  </si>
  <si>
    <t>Revenue</t>
  </si>
  <si>
    <t>Related</t>
  </si>
  <si>
    <t>ADIT</t>
  </si>
  <si>
    <t>ADIT-190 w/o prorated items</t>
  </si>
  <si>
    <t>ADIT-282 w/o prorated items</t>
  </si>
  <si>
    <t>ADIT-283 w/o prorated items</t>
  </si>
  <si>
    <t>End of  Year ADIT</t>
  </si>
  <si>
    <t>End of  Previous Year ADIT (from 1C - ADIT Prior Year)</t>
  </si>
  <si>
    <t>Average Beginning and End of Year - Nonprorated Items</t>
  </si>
  <si>
    <t>ADIT-282 - Prorated Items</t>
  </si>
  <si>
    <t>Total ADIT</t>
  </si>
  <si>
    <t>Items that are not prorated are below.  Debit amounts are shown as positive and credit amounts are shown as negative.</t>
  </si>
  <si>
    <t>dissimilar items with amounts exceeding $100,000 will be listed separately;</t>
  </si>
  <si>
    <t>ADIT-190</t>
  </si>
  <si>
    <t>Excluded</t>
  </si>
  <si>
    <t>Justification</t>
  </si>
  <si>
    <t>Vacation Pay</t>
  </si>
  <si>
    <t xml:space="preserve">Book estimate accrued and expensed - tax deduction when paid. </t>
  </si>
  <si>
    <t>Post-retirement Benefits - FAS 106</t>
  </si>
  <si>
    <t xml:space="preserve">FAS 106 - Post Retirement Benefits Obligation </t>
  </si>
  <si>
    <t>Deferred Compensation</t>
  </si>
  <si>
    <t>Federal Taxes Deferred - FAS 109</t>
  </si>
  <si>
    <t>FAS 109 - primarily associated with items previously flowed through due to regulation.  Removed below.</t>
  </si>
  <si>
    <t>Union Disability</t>
  </si>
  <si>
    <t>Reversal for book reserves for employee disability, and medical reserves - tax deduction when paid</t>
  </si>
  <si>
    <t>Federal Deferred Tax on Future Tax Impacts</t>
  </si>
  <si>
    <t>FIN 48 deferred tax offsets to reflect tax position uncertainties.</t>
  </si>
  <si>
    <t>Employee Stock Plans</t>
  </si>
  <si>
    <t>Book estimate accrued and expensed - tax deduction when paid</t>
  </si>
  <si>
    <t>Bad Debt Expense</t>
  </si>
  <si>
    <t>Reversal of book reserve and tax deduction for actual bad debt charge offs</t>
  </si>
  <si>
    <t>State Income Taxes</t>
  </si>
  <si>
    <t>Capitalized Interest Income</t>
  </si>
  <si>
    <t>Tax capitalized interest on certain pollution control bonds</t>
  </si>
  <si>
    <t>Deferred Federal Taxes on CAT Tax Credit</t>
  </si>
  <si>
    <t>Other</t>
  </si>
  <si>
    <t>Miscellaneous book tax differences</t>
  </si>
  <si>
    <t>Subtotal - p234</t>
  </si>
  <si>
    <t>Less FASB 109 Above if not separately removed</t>
  </si>
  <si>
    <t>All FAS 109 items excluded from formula rate</t>
  </si>
  <si>
    <t>Instructions for Account 190:</t>
  </si>
  <si>
    <t>1.  ADIT items related to Non-Electric Operations or which are not significant are excluded and directly assigned to Column C</t>
  </si>
  <si>
    <t>2.  ADIT items related only to Transmission are directly assigned to Column D</t>
  </si>
  <si>
    <t>3.  ADIT items related to Plant are included in Column E</t>
  </si>
  <si>
    <t>4.  ADIT items related to Labor are included in Column F</t>
  </si>
  <si>
    <t xml:space="preserve">5. Deferred income taxes arise when items are included in taxable income in different periods than they are included in book income and rates. </t>
  </si>
  <si>
    <t xml:space="preserve">       If the item giving rise to the ADIT is not included in the formula rate revenue requirement, the associated ADIT amount shall be excluded</t>
  </si>
  <si>
    <t>Total Without Exclusions</t>
  </si>
  <si>
    <t>ADIT- 282</t>
  </si>
  <si>
    <t>Depreciation - Liberalized Depreciation</t>
  </si>
  <si>
    <t>Other Plant related book tax temporary differences (e.g., repairs deductions, deductions for mixed service costs capitalized for book purposes, etc.)</t>
  </si>
  <si>
    <t>Instructions for Account 282:</t>
  </si>
  <si>
    <t>1.  ADIT items related only to Non-Electric Operations or Production are directly assigned to Column C</t>
  </si>
  <si>
    <t>3.  ADIT items related to Plant and not in Columns C &amp; D are included in Column E</t>
  </si>
  <si>
    <t>4.  ADIT items related to labor and not in Columns C &amp; D are included in Column F</t>
  </si>
  <si>
    <t>ADIT-283</t>
  </si>
  <si>
    <t>Capitalized Software</t>
  </si>
  <si>
    <t>Book tax difference related to software costs</t>
  </si>
  <si>
    <t>Reacquisition of Bonds</t>
  </si>
  <si>
    <t>Cost of reacquiring bonds deducted when incurred for tax purposes and being amortized over time for book purposes.  Removed below</t>
  </si>
  <si>
    <t>Pensions</t>
  </si>
  <si>
    <t>Phase-in Deferral</t>
  </si>
  <si>
    <t>FAS 109</t>
  </si>
  <si>
    <t>Pay Incentives</t>
  </si>
  <si>
    <t>Book/tax difference related to bonus accruals - tax deduction taken when bonuses are paid</t>
  </si>
  <si>
    <t>Primarily related to unrealized gains and losses on hedging transactions</t>
  </si>
  <si>
    <t xml:space="preserve">Subtotal - p277  </t>
  </si>
  <si>
    <t>Less: FASB 109 Above if not separately removed</t>
  </si>
  <si>
    <t>Less:  Reacquisition of Bonds</t>
  </si>
  <si>
    <t>Included in cost of debt</t>
  </si>
  <si>
    <t>Instructions for Account 283:</t>
  </si>
  <si>
    <t>Attachment H-15A</t>
  </si>
  <si>
    <t>Debit amounts are shown as positive and credit amounts are shown as negative.</t>
  </si>
  <si>
    <t>(a)</t>
  </si>
  <si>
    <t>(b)</t>
  </si>
  <si>
    <t>(c)</t>
  </si>
  <si>
    <t>(d)</t>
  </si>
  <si>
    <t>(e)</t>
  </si>
  <si>
    <t>(f)</t>
  </si>
  <si>
    <t>(g)</t>
  </si>
  <si>
    <t>(h)</t>
  </si>
  <si>
    <t>(i)</t>
  </si>
  <si>
    <t>(j)</t>
  </si>
  <si>
    <t>(k)</t>
  </si>
  <si>
    <t>(l)</t>
  </si>
  <si>
    <t>(m)</t>
  </si>
  <si>
    <t>(n)</t>
  </si>
  <si>
    <t>(o)</t>
  </si>
  <si>
    <t>(p)</t>
  </si>
  <si>
    <t>(q)</t>
  </si>
  <si>
    <t>Beginning Balance &amp; Monthly Changes</t>
  </si>
  <si>
    <t>Year</t>
  </si>
  <si>
    <t>Days in the Month</t>
  </si>
  <si>
    <t>Number of Days Remaining in Year After Current Month</t>
  </si>
  <si>
    <t>Total Days in the Projected Rate Year</t>
  </si>
  <si>
    <t>Weighting for Projection</t>
  </si>
  <si>
    <t>Beginning Balance/
Monthly Amount/ Ending Balance</t>
  </si>
  <si>
    <t>Plant Related</t>
  </si>
  <si>
    <t>Plant Allocation</t>
  </si>
  <si>
    <t>Plant Proration
(f) x (l)</t>
  </si>
  <si>
    <t>Labor Related</t>
  </si>
  <si>
    <t>Labor Allocation</t>
  </si>
  <si>
    <t>Labor Proration
(f) x (p)</t>
  </si>
  <si>
    <t>Total Transmission Prorated Amount</t>
  </si>
  <si>
    <t>January</t>
  </si>
  <si>
    <t>February</t>
  </si>
  <si>
    <t>March</t>
  </si>
  <si>
    <t>April</t>
  </si>
  <si>
    <t>May</t>
  </si>
  <si>
    <t>June</t>
  </si>
  <si>
    <t>July</t>
  </si>
  <si>
    <t>August</t>
  </si>
  <si>
    <t>September</t>
  </si>
  <si>
    <t>October</t>
  </si>
  <si>
    <t>November</t>
  </si>
  <si>
    <t>December</t>
  </si>
  <si>
    <t>Prorated Balance</t>
  </si>
  <si>
    <t>Account 282</t>
  </si>
  <si>
    <t>Transmission Proration
(d) x (f)</t>
  </si>
  <si>
    <t>December 31st balance Prorated Items (FF1 274.2.b less non Prorated Items)</t>
  </si>
  <si>
    <t>Attachment 1C - Accumulated Deferred Income Taxes (ADIT) Worksheet - December 31 of Prior Year</t>
  </si>
  <si>
    <t>Contains all ADIT Items - Prorated and Nonprorated.  Debit amounts are shown as positive and credit amounts are shown as negative.</t>
  </si>
  <si>
    <t>FIN 48 deferred tax offsets to reflect tax position uncertainties</t>
  </si>
  <si>
    <t>Tax capitalized interest on certain pollution control bondsn</t>
  </si>
  <si>
    <t>Deferred taxes a CAT (Commercial Activites Tax similar to a gross receipts tax) credit</t>
  </si>
  <si>
    <t>Miscellaneous book tax differencesn</t>
  </si>
  <si>
    <t>1.  ADIT items related to Non-Electric Operations or are not significant are excluded and directly assigned to Column C</t>
  </si>
  <si>
    <t>4.  ADIT items related to Labor and not in Columns C &amp; D are included in Column F</t>
  </si>
  <si>
    <t xml:space="preserve">5.  Deferred income taxes arise when items are included in taxable income in different periods than they are included in book income and rates. </t>
  </si>
  <si>
    <t>Only Transmission</t>
  </si>
  <si>
    <t>Miscellaneous book tax differences primarily related to non-utility activities</t>
  </si>
  <si>
    <t>Average Beginning and End of Year ADIT 283 and 190</t>
  </si>
  <si>
    <t>Actual Average and Prorated ADIT Balance</t>
  </si>
  <si>
    <t>Only Transmission Related</t>
  </si>
  <si>
    <t>Remove as included in cost of debt</t>
  </si>
  <si>
    <t xml:space="preserve">  </t>
  </si>
  <si>
    <t xml:space="preserve">Note:  The calculations for depreciation-related  ADIT in the projected net revenue requirement and the Annual True-Up calculation will be performed in accordance with Treasury regulation Section 1.167(l)-1(h)(6). </t>
  </si>
  <si>
    <t xml:space="preserve">Differences attributable to over-projection of ADIT in the annual projection will result in a proportionate reversal of the projected prorated ADIT activity to the extent of the over-projection. </t>
  </si>
  <si>
    <t xml:space="preserve">Differences attributable to under-projection of ADIT in the annual projection will result in an adjustment to the projected prorated ADIT activity by the difference between the projected monthly activity </t>
  </si>
  <si>
    <t xml:space="preserve">and the actual monthly activity. However, when projected monthly ADIT activity is an increase and actual monthly ADIT activity is a decrease, actual monthly ADIT activity will be used. </t>
  </si>
  <si>
    <t xml:space="preserve">Likewise, when projected monthly ADIT activity is a decrease and actual monthly ADIT activity is an increase, actual monthly ADIT activity will be used.  </t>
  </si>
  <si>
    <t>ADIT Proration</t>
  </si>
  <si>
    <t xml:space="preserve"> Debit amounts are shown as positive and credit amounts are shown as negative.</t>
  </si>
  <si>
    <t>Days in Period</t>
  </si>
  <si>
    <t>Projection - Proration of Projected Deferred Tax Activity</t>
  </si>
  <si>
    <t>Actual Activity - Proration of Projected Deferred Tax Activity and Averaging of Other Deferred Tax Activity</t>
  </si>
  <si>
    <t>Month</t>
  </si>
  <si>
    <t xml:space="preserve">Number of Days Remaining in Year After Month's Accrual of Deferred Taxes </t>
  </si>
  <si>
    <t>Total Days in Projected Rate Year (Line 14, Col B)</t>
  </si>
  <si>
    <t>Proration Percentage (Attachment 1B - Col. C / Col. D)</t>
  </si>
  <si>
    <t>Projected Monthly Activity</t>
  </si>
  <si>
    <t>Prorated Amount  (E*F)</t>
  </si>
  <si>
    <t>Actual Monthly Activity</t>
  </si>
  <si>
    <t>Difference between projected monthly and actual monthly activity</t>
  </si>
  <si>
    <t>Preserve proration when actual monthly and projected monthly activity are either both increases or decreases.  
(See Note 1)</t>
  </si>
  <si>
    <t>Difference between projected and actual activity when actual and projected activity are either both increases or decreases.  
(See Note 1)</t>
  </si>
  <si>
    <t>Actual activity (Col I) when projected activity is an increase while actual activity is a decrease OR projected activity is a decrease while actual activity is an increase.
(See Note 1)</t>
  </si>
  <si>
    <t>Balance reflecting proration or averaging</t>
  </si>
  <si>
    <t>Wage and Salary</t>
  </si>
  <si>
    <t>Allocator</t>
  </si>
  <si>
    <t>Grand Total</t>
  </si>
  <si>
    <t xml:space="preserve">Note 1:  The calculations for accelerated depreciation-related ADIT in the projected net revenue requirement and the ATU Adjustment will be performed in accordance with the proration requirements of Treasury regulation Section 1.167(l)-1(h)(6). </t>
  </si>
  <si>
    <t>Account 282 (Note 1)</t>
  </si>
  <si>
    <t>Prorated Projected Balance (Line 27, H plus G)</t>
  </si>
  <si>
    <t>December 31st balance (FF1 274.2.b)</t>
  </si>
  <si>
    <t xml:space="preserve">                                                                                                                                                                                                                </t>
  </si>
  <si>
    <t>Page 263</t>
  </si>
  <si>
    <t>Allocated</t>
  </si>
  <si>
    <t>Other Taxes</t>
  </si>
  <si>
    <t>Col (i)</t>
  </si>
  <si>
    <t>Amount</t>
  </si>
  <si>
    <t>Direct Assign</t>
  </si>
  <si>
    <t>Real Estate</t>
  </si>
  <si>
    <t>DA</t>
  </si>
  <si>
    <t>Unused</t>
  </si>
  <si>
    <t>Total Direct Assign</t>
  </si>
  <si>
    <t>Net Plant Related</t>
  </si>
  <si>
    <t>Total Plant Related</t>
  </si>
  <si>
    <t xml:space="preserve">Wages &amp; Salary Allocator </t>
  </si>
  <si>
    <t>FICA</t>
  </si>
  <si>
    <t>Federal Unemployment</t>
  </si>
  <si>
    <t>Real Estate - General and Intangible</t>
  </si>
  <si>
    <t>Total Labor Related</t>
  </si>
  <si>
    <t>Total Included  (Lines 4 + 6 + 10)</t>
  </si>
  <si>
    <t>kWh Excise - Unbilled</t>
  </si>
  <si>
    <t>kWh Excise - Billed</t>
  </si>
  <si>
    <t>Unemployment Insurance</t>
  </si>
  <si>
    <t>CAT</t>
  </si>
  <si>
    <t>Subtotal, Excluded</t>
  </si>
  <si>
    <t>Total, Included and Excluded (Line 11 + Line 19)</t>
  </si>
  <si>
    <t>Total Other Taxes from p114.14.g</t>
  </si>
  <si>
    <t>Difference  (Line 20 - Line 21)</t>
  </si>
  <si>
    <t>Account 451</t>
  </si>
  <si>
    <t>p300, Footnotes</t>
  </si>
  <si>
    <t>Transmission Related - Direct Assigned</t>
  </si>
  <si>
    <t>Account 454 - Rent from Electric Property</t>
  </si>
  <si>
    <t>Attachment Fee revenue associated with transmission facilities (Note 2)</t>
  </si>
  <si>
    <t>Right of Way Leases - transmission related (Note 2)</t>
  </si>
  <si>
    <t>Transmission tower licenses for wireless services (Note 2)</t>
  </si>
  <si>
    <t>Other - transmission-related</t>
  </si>
  <si>
    <t>Account 456 - Other Electric Revenues</t>
  </si>
  <si>
    <t>DP&amp;L Schedule 1A</t>
  </si>
  <si>
    <t>Transmission maintenance and consulting services (Note 2)</t>
  </si>
  <si>
    <t>Revenues from Directly Assigned Transmission Facility Charges (Note 1)</t>
  </si>
  <si>
    <t>Licenses for intellectual property (Note 2)</t>
  </si>
  <si>
    <t>Other PJM-related revenues</t>
  </si>
  <si>
    <t>Account 456.1 -Transmission of Electricity for Others</t>
  </si>
  <si>
    <t xml:space="preserve">Net revenues associated with Network Integration Transmission Service (NITS) for which the load is not included in the divisor on Appendix A (difference between NITS credits from PJM and PJM NITS charges paid by Transmission Owner) </t>
  </si>
  <si>
    <t>Point to Point Service revenues for which the load is not included in the divisor in Appendix A (Note 3)</t>
  </si>
  <si>
    <t>Gross Revenue Credits</t>
  </si>
  <si>
    <t>Less: Sharing of Certain Revenues (Note 2)</t>
  </si>
  <si>
    <t>Total Revenue Credits</t>
  </si>
  <si>
    <t>Revenue Credit</t>
  </si>
  <si>
    <t>Note 1</t>
  </si>
  <si>
    <t xml:space="preserve">Only if the revenue requirement associated with Directly Assigned Transmission Facilities are included in the formula are the associated revenues also included in the formula.  </t>
  </si>
  <si>
    <t>Note 2</t>
  </si>
  <si>
    <t>Note 3</t>
  </si>
  <si>
    <t>DP&amp;L share of Schedule 7, Firm P2P Border Rate revenue</t>
  </si>
  <si>
    <t>Plant Investment Support [exclude any Asset Retirement Obligations]</t>
  </si>
  <si>
    <t>Previous Year</t>
  </si>
  <si>
    <t>Line #s</t>
  </si>
  <si>
    <t>Descriptions</t>
  </si>
  <si>
    <t>FF1 Page # or Instructions</t>
  </si>
  <si>
    <t>FERC Account</t>
  </si>
  <si>
    <t xml:space="preserve">Form 1Dec </t>
  </si>
  <si>
    <t>Jan</t>
  </si>
  <si>
    <t>Feb</t>
  </si>
  <si>
    <t>Mar</t>
  </si>
  <si>
    <t>Apr</t>
  </si>
  <si>
    <t>Jun</t>
  </si>
  <si>
    <t>Jul</t>
  </si>
  <si>
    <t>Aug</t>
  </si>
  <si>
    <t>Sep</t>
  </si>
  <si>
    <t>Oct</t>
  </si>
  <si>
    <t>Nov</t>
  </si>
  <si>
    <t>Form 1 Dec</t>
  </si>
  <si>
    <t>Average</t>
  </si>
  <si>
    <t>Non-electric  Portion</t>
  </si>
  <si>
    <t>Electric Plant in Service (Excludes Asset Retirement Costs - ARC)</t>
  </si>
  <si>
    <t>Common Plant in Service - Electric</t>
  </si>
  <si>
    <t>p356</t>
  </si>
  <si>
    <t>Accumulated Common Plant Depreciation - Electric</t>
  </si>
  <si>
    <t>Accumulated Common Amortization - Electric</t>
  </si>
  <si>
    <t>Transmission Plant in Service ( Excludes Asset Retirement Costs - ARC)</t>
  </si>
  <si>
    <t>p207.58.g</t>
  </si>
  <si>
    <t>350-359</t>
  </si>
  <si>
    <t>General ( Excludes Asset Retirement Costs - ARC)</t>
  </si>
  <si>
    <t>p207.99.g</t>
  </si>
  <si>
    <t>389-399</t>
  </si>
  <si>
    <t xml:space="preserve">p205.5.g </t>
  </si>
  <si>
    <t>301-303</t>
  </si>
  <si>
    <t>p219.25.c</t>
  </si>
  <si>
    <t>p219.28.b</t>
  </si>
  <si>
    <t>Accumulated Common Plant Depreciation &amp; Amortization - Electric</t>
  </si>
  <si>
    <t>Wages &amp; Salary</t>
  </si>
  <si>
    <t>End of Year</t>
  </si>
  <si>
    <t>Total O&amp;M Wage Expense</t>
  </si>
  <si>
    <t>Total A&amp;G Wages Expense</t>
  </si>
  <si>
    <t>Transmission Wages</t>
  </si>
  <si>
    <t>Transmission Property Held for Future Use</t>
  </si>
  <si>
    <t>Beginning Year Balance</t>
  </si>
  <si>
    <t>p214.47.d</t>
  </si>
  <si>
    <t xml:space="preserve">End of Year </t>
  </si>
  <si>
    <t>Undistributed Stores Exp</t>
  </si>
  <si>
    <t>p227.16.b,c</t>
  </si>
  <si>
    <t>p227.8 and fn</t>
  </si>
  <si>
    <t>O&amp;M Expenses</t>
  </si>
  <si>
    <t>p.321.112.b</t>
  </si>
  <si>
    <t>560-574</t>
  </si>
  <si>
    <t>Transmission of Electricity by Others</t>
  </si>
  <si>
    <t>p321.96.b</t>
  </si>
  <si>
    <t>Scheduling, System Control and Dispatch Services</t>
  </si>
  <si>
    <t>p321.88.b</t>
  </si>
  <si>
    <t>Total of Accounts 565 and 561.4</t>
  </si>
  <si>
    <t>Property  Insurance Expenses</t>
  </si>
  <si>
    <t xml:space="preserve">    Property Insurance</t>
  </si>
  <si>
    <t>Adjustments to A &amp; G Expense</t>
  </si>
  <si>
    <t xml:space="preserve">Total A&amp;G Expenses </t>
  </si>
  <si>
    <t>920-935</t>
  </si>
  <si>
    <t xml:space="preserve">         </t>
  </si>
  <si>
    <t>Service Company and DP&amp;L A&amp;G Directly Assigned to Transmission</t>
  </si>
  <si>
    <t>p323.fn</t>
  </si>
  <si>
    <t>Service Company and DP&amp;L A&amp;G Directly Assigned to Distribution and Transmission</t>
  </si>
  <si>
    <t>Regulatory Expense Related to Transmission Cost Support</t>
  </si>
  <si>
    <t>Regulatory Commission Expenses</t>
  </si>
  <si>
    <t>Regulatory Commission Expenses - Transmission Related</t>
  </si>
  <si>
    <t>p350.b</t>
  </si>
  <si>
    <t>EPRI Dues</t>
  </si>
  <si>
    <t>p352-353</t>
  </si>
  <si>
    <t>Depreciation and Amortization Expense</t>
  </si>
  <si>
    <t>Depreciation-Transmission</t>
  </si>
  <si>
    <t>p336.7.f</t>
  </si>
  <si>
    <t>Depreciation-General &amp; Common</t>
  </si>
  <si>
    <t>p336.10&amp;11.f</t>
  </si>
  <si>
    <t>Amortization-Intangible</t>
  </si>
  <si>
    <t>p336.1.f</t>
  </si>
  <si>
    <t>Taxes Other Than Income Taxes</t>
  </si>
  <si>
    <t>Transmission Related</t>
  </si>
  <si>
    <t xml:space="preserve">Non-Transmission </t>
  </si>
  <si>
    <t>Real Estate Taxes - Directly Assigned to Transmission</t>
  </si>
  <si>
    <t>p263, fn</t>
  </si>
  <si>
    <t>FICA - Insurance Contribution</t>
  </si>
  <si>
    <t xml:space="preserve">Return \ Capitalization - include all amounts as positive values </t>
  </si>
  <si>
    <t xml:space="preserve">Beginning of Year </t>
  </si>
  <si>
    <t>Long-term Interest Expense</t>
  </si>
  <si>
    <t>p117.62.c</t>
  </si>
  <si>
    <t>Amortization of Debt Discount and Expense</t>
  </si>
  <si>
    <t>p117.63.c</t>
  </si>
  <si>
    <t>Amortization of Loss on Reacquired Debt</t>
  </si>
  <si>
    <t>p117.64.c</t>
  </si>
  <si>
    <t>Amortization of Debt Premium</t>
  </si>
  <si>
    <t>p117.65.c</t>
  </si>
  <si>
    <t>Amortization of Gain on Reacquired Debt</t>
  </si>
  <si>
    <t>p117.66.c</t>
  </si>
  <si>
    <t>Interest on Debt to Associated Companies</t>
  </si>
  <si>
    <t>p117.67.c</t>
  </si>
  <si>
    <t>Total Long-term Interest Expense</t>
  </si>
  <si>
    <t>p118.29.c</t>
  </si>
  <si>
    <t>NA</t>
  </si>
  <si>
    <t>p112.16.c,d</t>
  </si>
  <si>
    <t>201-219</t>
  </si>
  <si>
    <t>Accumulated Other Comprehensive Income</t>
  </si>
  <si>
    <t>p112.15.c,d</t>
  </si>
  <si>
    <t>Unappropriated Undistributed Subsidiary Earnings</t>
  </si>
  <si>
    <t>221-224</t>
  </si>
  <si>
    <t xml:space="preserve">Unamortized Loss on Reacquired Debt </t>
  </si>
  <si>
    <t>p111.81.c,d</t>
  </si>
  <si>
    <t>Unamortized Premium</t>
  </si>
  <si>
    <t>p112.22.d</t>
  </si>
  <si>
    <t>Unamortized Discount</t>
  </si>
  <si>
    <t>p112.23.d</t>
  </si>
  <si>
    <t>Unamortized Gain on Reacquired Debt</t>
  </si>
  <si>
    <t>p113.61.c,d</t>
  </si>
  <si>
    <t>p277.3.k and 277.4.k</t>
  </si>
  <si>
    <t>190 and 283</t>
  </si>
  <si>
    <t>Long-term Portion of Derivative Assets - Hedges</t>
  </si>
  <si>
    <t>Derivative Instrument Liabilities - Hedges</t>
  </si>
  <si>
    <t>p112.3.c,d</t>
  </si>
  <si>
    <t>Multi-State Workpaper</t>
  </si>
  <si>
    <t>State 1</t>
  </si>
  <si>
    <t>State 2</t>
  </si>
  <si>
    <t>State 3</t>
  </si>
  <si>
    <t>Ohio</t>
  </si>
  <si>
    <t>Average Municipality Income Tax Rate</t>
  </si>
  <si>
    <t>Miscellaneous Income Tax Items</t>
  </si>
  <si>
    <t>Amortization of Investment Tax Credits - General</t>
  </si>
  <si>
    <t>p266.8.f</t>
  </si>
  <si>
    <t>Amortization of Investment Tax Credits - Transmission</t>
  </si>
  <si>
    <t>Equity AFUDC Portion of Transmission Depreciation Expense</t>
  </si>
  <si>
    <t>Company Records</t>
  </si>
  <si>
    <t xml:space="preserve"> Excluded Transmission Facilities</t>
  </si>
  <si>
    <t xml:space="preserve">Dec </t>
  </si>
  <si>
    <t>PJM Load Cost Support</t>
  </si>
  <si>
    <t>1 CP Peak in MWs</t>
  </si>
  <si>
    <t>Network Zonal Service Rate</t>
  </si>
  <si>
    <t>1 CP Demand</t>
  </si>
  <si>
    <t>PJM Data</t>
  </si>
  <si>
    <t>Project X</t>
  </si>
  <si>
    <t>Project Y</t>
  </si>
  <si>
    <t>Project Z</t>
  </si>
  <si>
    <t>Beginning of Year Balance of Unamortized Abandoned Transmission Project Costs</t>
  </si>
  <si>
    <t>Per FERC Order</t>
  </si>
  <si>
    <t>Remaining Amortization Period in Years</t>
  </si>
  <si>
    <t xml:space="preserve">Amortization of Property Losses, Unrecovered Plant and Regulatory Study Costs </t>
  </si>
  <si>
    <t>Ending Balance of Unamortized Transmission Projects</t>
  </si>
  <si>
    <t>Average Balance of Unamortized Abandoned Transmission Projects</t>
  </si>
  <si>
    <t>Only costs that have been approved for recovery by the Commission are included</t>
  </si>
  <si>
    <t xml:space="preserve">Docket No. </t>
  </si>
  <si>
    <t>Docket No.</t>
  </si>
  <si>
    <t>Excess Accumulated Deferred Income Taxes</t>
  </si>
  <si>
    <t>Amortization</t>
  </si>
  <si>
    <t>Note:  Only include items pertaining to transmission business</t>
  </si>
  <si>
    <t>Deferred Credits - Direct Assign</t>
  </si>
  <si>
    <t>Customer Advances for Construction</t>
  </si>
  <si>
    <t>p113.56.c</t>
  </si>
  <si>
    <t>Included Items</t>
  </si>
  <si>
    <t>(Attachment 10)</t>
  </si>
  <si>
    <t>Plant in Service, Accumulated Depreciation and Accumulated Deferred Income Taxes - Projects with ROE Adder</t>
  </si>
  <si>
    <t xml:space="preserve">Year </t>
  </si>
  <si>
    <t>Plant in Service</t>
  </si>
  <si>
    <t>Plant in Service and Accumulated Depreciation - Schedule 12 Projects</t>
  </si>
  <si>
    <t>Average or Annual</t>
  </si>
  <si>
    <t>Marysville Reconductoring and Substation</t>
  </si>
  <si>
    <t>Plant in Service/CWIP</t>
  </si>
  <si>
    <t>206/216</t>
  </si>
  <si>
    <t>Depreciation</t>
  </si>
  <si>
    <t>Attachment 5 - CWIP in Rate Base - December 31, 2021</t>
  </si>
  <si>
    <t>Current Year</t>
  </si>
  <si>
    <t>Dec</t>
  </si>
  <si>
    <t>Projects</t>
  </si>
  <si>
    <t>Project 15</t>
  </si>
  <si>
    <t>Project 16</t>
  </si>
  <si>
    <t>Project 17</t>
  </si>
  <si>
    <t>Project 18</t>
  </si>
  <si>
    <t>Project 19</t>
  </si>
  <si>
    <t>Project 20</t>
  </si>
  <si>
    <t>Project 21</t>
  </si>
  <si>
    <t>Project 22</t>
  </si>
  <si>
    <t>Project 23</t>
  </si>
  <si>
    <t>Project 24</t>
  </si>
  <si>
    <t>Note A - Source of information is accompanying CWIP in Rate Base Report required pursuant to the Attachment H-15B, Formula Rate Implementation Protocols</t>
  </si>
  <si>
    <t>Attachment 6A - True-up Adjustment for Network Integration Transmission Service - December 31, 2021</t>
  </si>
  <si>
    <t>The NITS True-Up Adjustment component of the Formula Rate for each Rate Year shall be determined as follows:</t>
  </si>
  <si>
    <t>In accordance with its formula rate protocols, DP&amp;L shall recalculate an adjusted Annual Transmission</t>
  </si>
  <si>
    <t>Revenue Requirement for the previous calendar year based on its actual costs as reflected in its Form No. 1 and its</t>
  </si>
  <si>
    <t>books and records for that calendar year, consistent with FERC accounting policies.</t>
  </si>
  <si>
    <t>(ii)</t>
  </si>
  <si>
    <t>(Annual True-Up Adjustment Before Interest).</t>
  </si>
  <si>
    <t xml:space="preserve">DP&amp;L shall determine the Annual True-Up Adjustment as follows: </t>
  </si>
  <si>
    <t>(iii)</t>
  </si>
  <si>
    <t xml:space="preserve">Determine the difference between the actual Net Transmission Revenue Requirement as determined in paragraph (i) above, </t>
  </si>
  <si>
    <t xml:space="preserve"> and actual revenues based upon the projected ATRR for the previous calendar year, the resulting rate and actual peak demand</t>
  </si>
  <si>
    <t>Multiply the Annual True-Up Adjustment  Before Interest by (1+i)^24 months</t>
  </si>
  <si>
    <t xml:space="preserve">Where: </t>
  </si>
  <si>
    <t>i =</t>
  </si>
  <si>
    <t>Average of the monthly rates from the middle of the Rate Year for which the Annual True-up Adjustment</t>
  </si>
  <si>
    <t xml:space="preserve"> is being calculated through the middle of the year in which the Annual True-up Adjustment is included in rates (24 months)</t>
  </si>
  <si>
    <t>The interest rates are initially estimated and then trued-up to actual</t>
  </si>
  <si>
    <t>To the extent possible each input to the Formula Rate used to calculate the actual Annual Transmission Revenue</t>
  </si>
  <si>
    <t>Requirement included in the Annual True-Up Adjustment either will be taken directly from the FERC Form No. 1 or will be</t>
  </si>
  <si>
    <t>reconcilable to the FERC Form 1 by the application of clearly identified and supported information.  If the reconciliation</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</si>
  <si>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</si>
  <si>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</si>
  <si>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</si>
  <si>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 xml:space="preserve">Line </t>
  </si>
  <si>
    <t>Estimated</t>
  </si>
  <si>
    <t>Actual</t>
  </si>
  <si>
    <t>Interest Rate</t>
  </si>
  <si>
    <t>Difference</t>
  </si>
  <si>
    <t>NITS ATRR based on actual costs included for the previous calendar year but excludes the true-up adjustment.</t>
  </si>
  <si>
    <t>NITS Revenues based upon the projected ATRR for the previous calendar year and excluding any true-up adjustment included therein</t>
  </si>
  <si>
    <t>Difference  (A-B)</t>
  </si>
  <si>
    <t>Future Value Factor (1+i)^24</t>
  </si>
  <si>
    <t>True-up Adjustment   (C*D)</t>
  </si>
  <si>
    <t>ATU Adjustment with Interest Rate True-up</t>
  </si>
  <si>
    <t>Where:</t>
  </si>
  <si>
    <t>i = average interest rate as calculated below</t>
  </si>
  <si>
    <t>Interest on Amount of Refunds or Surcharges</t>
  </si>
  <si>
    <t xml:space="preserve">Actual </t>
  </si>
  <si>
    <t>Monthly</t>
  </si>
  <si>
    <t>Year 1</t>
  </si>
  <si>
    <t>Year 2</t>
  </si>
  <si>
    <t>Year 3</t>
  </si>
  <si>
    <t>Attachment 6B - True-up Adjustment for Schedule 12 Projects (Transmission Enhancement Charges) - December 31, 2021</t>
  </si>
  <si>
    <t>The Schedule 12 True-Up Adjustment component of the Formula Rate for each Rate Year shall be determined as follows:</t>
  </si>
  <si>
    <t>Line #</t>
  </si>
  <si>
    <t>Schedule 12 ATRR based on actual costs included for the previous calendar year but excludes the true-up adjustment.</t>
  </si>
  <si>
    <t>Schedule 12 revenues based upon the projected ATRR for the previous calendar year and excluding any true-up adjustment included therein</t>
  </si>
  <si>
    <t>Attachment 7A - ROE Adder for Projects - December 31, 2021</t>
  </si>
  <si>
    <t>ROE Adder</t>
  </si>
  <si>
    <t>Project 1</t>
  </si>
  <si>
    <t>Project 2</t>
  </si>
  <si>
    <t>Project 3</t>
  </si>
  <si>
    <t>Project 4</t>
  </si>
  <si>
    <t>Project 5</t>
  </si>
  <si>
    <t>Project 6</t>
  </si>
  <si>
    <t>Project 7</t>
  </si>
  <si>
    <t>Project 8</t>
  </si>
  <si>
    <t>Project 9</t>
  </si>
  <si>
    <t>Project 10</t>
  </si>
  <si>
    <t>Name</t>
  </si>
  <si>
    <t>Note A</t>
  </si>
  <si>
    <t>Equity Capitalization Ratio</t>
  </si>
  <si>
    <t>ROE Adder Value</t>
  </si>
  <si>
    <t>Note A: FERC Authorization - Order in Docket No.</t>
  </si>
  <si>
    <t>Attachment 7B - Revenue Requirement of Schedule 12 Projects - December 31, 2021</t>
  </si>
  <si>
    <t>Revenue Requirement</t>
  </si>
  <si>
    <t>Marysville Substation and Line Reconductoring</t>
  </si>
  <si>
    <t>Schedule 12 Designation</t>
  </si>
  <si>
    <t>b1570</t>
  </si>
  <si>
    <t>Net Plant Carrying Charge w/o Depreciation</t>
  </si>
  <si>
    <t>Revenue Requirement w/o Depreciation and ROE Adder</t>
  </si>
  <si>
    <t>ROE Adder (if applicable)</t>
  </si>
  <si>
    <t>Attachment 7A</t>
  </si>
  <si>
    <t>Total Revenue Requirement</t>
  </si>
  <si>
    <t>Schedule 12 Annual True-Up Adjustment</t>
  </si>
  <si>
    <t>(Note A)</t>
  </si>
  <si>
    <t>Total Schedule 12 Revenue Requirement</t>
  </si>
  <si>
    <t xml:space="preserve"> (To Appendix A, Line 193)</t>
  </si>
  <si>
    <t>Allocation Percentage to Other Than the Dayton Zone</t>
  </si>
  <si>
    <t>Allocation to Other Than the Dayton Zone</t>
  </si>
  <si>
    <t>Note A:  Schedule 12 Annual True-up Adjustment allocated to projects based upon Total Revenue Requirement</t>
  </si>
  <si>
    <t>Attachment 8 - Depreciation and Amortization Rates</t>
  </si>
  <si>
    <t>Description</t>
  </si>
  <si>
    <t>Rate (Note 1)</t>
  </si>
  <si>
    <t>Transmission (based upon data as of June 2019)</t>
  </si>
  <si>
    <t>Land Rights</t>
  </si>
  <si>
    <t>N/A</t>
  </si>
  <si>
    <t>Structures and Improvements</t>
  </si>
  <si>
    <t>Station Equipment</t>
  </si>
  <si>
    <t>Towers and Fixtures</t>
  </si>
  <si>
    <t>Poles and Fixtures</t>
  </si>
  <si>
    <t>Overhead Conductors &amp; Devices</t>
  </si>
  <si>
    <t>Underground Conduit</t>
  </si>
  <si>
    <t>Underground Conductors &amp; Devices</t>
  </si>
  <si>
    <t>Roads and Trails</t>
  </si>
  <si>
    <t>Franchises and Consents</t>
  </si>
  <si>
    <t>Intangible Plant</t>
  </si>
  <si>
    <t>Office Furniture and Equipment</t>
  </si>
  <si>
    <t>Computer Equipment</t>
  </si>
  <si>
    <t>Transportation Equipment - Auto</t>
  </si>
  <si>
    <t>Transportation Equipment - Light Truck</t>
  </si>
  <si>
    <t>Transportation Equipment - Trailers</t>
  </si>
  <si>
    <t>Transportation Equipment - Heavy Trucks</t>
  </si>
  <si>
    <t>Stores Equipment</t>
  </si>
  <si>
    <t>Tools, Shop and Garage Equipment</t>
  </si>
  <si>
    <t>Laboratory Equipment</t>
  </si>
  <si>
    <t>Power Operated Equipment</t>
  </si>
  <si>
    <t>Communication Equipment</t>
  </si>
  <si>
    <t>Miscellaneous Equipment</t>
  </si>
  <si>
    <t>Note 1:  The Dayton Power and Light Company's transmission depreciation rates may not change absent Commission authorization</t>
  </si>
  <si>
    <t xml:space="preserve"> General and intangible depreciation and amortization rates are as approved by the Public Utilities Commission of Ohio</t>
  </si>
  <si>
    <t>Resulting from Income Tax Rate Changes (Note D)</t>
  </si>
  <si>
    <t>Transmission Allocation Factors (Note A)</t>
  </si>
  <si>
    <t>Balance at December 31, 2019</t>
  </si>
  <si>
    <t>2020 Amortization (Note B)</t>
  </si>
  <si>
    <t xml:space="preserve">   Vacation Pay</t>
  </si>
  <si>
    <t xml:space="preserve">   Post Retirement Benefits</t>
  </si>
  <si>
    <t xml:space="preserve">   Deferred Compensation</t>
  </si>
  <si>
    <t xml:space="preserve">   FAS 109 - Electric</t>
  </si>
  <si>
    <t xml:space="preserve">   Union Disability</t>
  </si>
  <si>
    <t xml:space="preserve">   Fed Dfrd Tax on Future Tax Impacts</t>
  </si>
  <si>
    <t xml:space="preserve">   Employee Stock Plans</t>
  </si>
  <si>
    <t xml:space="preserve">   Bad Debts Expense</t>
  </si>
  <si>
    <t xml:space="preserve">   State Income Tax Expense</t>
  </si>
  <si>
    <t xml:space="preserve">   Capitalized Interest Income</t>
  </si>
  <si>
    <t xml:space="preserve">   Deferred Federal Tax on CAT Tax Credit</t>
  </si>
  <si>
    <t xml:space="preserve">   Other</t>
  </si>
  <si>
    <t>Various</t>
  </si>
  <si>
    <t>Liberalized Depreciation - Protected</t>
  </si>
  <si>
    <t>Reaquisition of Bonds</t>
  </si>
  <si>
    <t>Regulatory Assets/Liabilities</t>
  </si>
  <si>
    <t>Categories of Items</t>
  </si>
  <si>
    <t>Energy Suppliers</t>
  </si>
  <si>
    <t>Calendar Year</t>
  </si>
  <si>
    <t>Line</t>
  </si>
  <si>
    <t>Impact of</t>
  </si>
  <si>
    <t>No.</t>
  </si>
  <si>
    <t>Source</t>
  </si>
  <si>
    <t>Correction</t>
  </si>
  <si>
    <t>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</si>
  <si>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</si>
  <si>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</si>
  <si>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</si>
  <si>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</si>
  <si>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</si>
  <si>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</si>
  <si>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</si>
  <si>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</si>
  <si>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Note B</t>
  </si>
  <si>
    <t>Interest on Correction</t>
  </si>
  <si>
    <t>Line 7 x 8 x 9</t>
  </si>
  <si>
    <t>Sum of Corrections Plus Interest</t>
  </si>
  <si>
    <t>Line 7 + 10</t>
  </si>
  <si>
    <t>Notes:</t>
  </si>
  <si>
    <t>The interest rate on corrections will be the average monthly FERC interest rate for the period from the beginning of the year being corrected through the end of the rate year where the correction is reflected in rates - similar to how interest on the ATU Adjustment is computed.</t>
  </si>
  <si>
    <t>The number of months in which interest is computed is from the middle of the rate year in which the correction is needed to the middle of the rate year where the correction is reflected in rates - - similar to how interest on the ATU Adjustment is computed.</t>
  </si>
  <si>
    <t>Schedule 1A</t>
  </si>
  <si>
    <t>FERC Form 1</t>
  </si>
  <si>
    <t>Account</t>
  </si>
  <si>
    <t>Page</t>
  </si>
  <si>
    <t xml:space="preserve">No. </t>
  </si>
  <si>
    <t>Load Dispatch - Reliability</t>
  </si>
  <si>
    <t>321.85b</t>
  </si>
  <si>
    <t>Load Dispatch - Monitor and Operate Transmission System</t>
  </si>
  <si>
    <t>321.86b</t>
  </si>
  <si>
    <t>Load Dispatch - Transmission Services and Scheduling</t>
  </si>
  <si>
    <t>321.87b</t>
  </si>
  <si>
    <t>Revenue Credit from Border Rate Transactions</t>
  </si>
  <si>
    <t>Data provided by PJM</t>
  </si>
  <si>
    <t>MWHs</t>
  </si>
  <si>
    <t>From 2020 LT Forecast Report to PUCO, page FE-D1, reporting 2019 data</t>
  </si>
  <si>
    <t>Schedule 1A Rate per MWH</t>
  </si>
  <si>
    <t>(Attachment 9, Line 51)</t>
  </si>
  <si>
    <t>Long Term Debt to Determine Debt Rate</t>
  </si>
  <si>
    <t>No Allowance</t>
  </si>
  <si>
    <t>Non-Pension and Non-Other Post Employment Benefits</t>
  </si>
  <si>
    <t>Other - Exclude CIAC</t>
  </si>
  <si>
    <t>Total Account 454</t>
  </si>
  <si>
    <t>Total Account 456</t>
  </si>
  <si>
    <t>Total Account 456.1</t>
  </si>
  <si>
    <t>Revenues associated with lines 2, 3, 4, 8 and 10 (Note 2)</t>
  </si>
  <si>
    <t>Revenues from DP&amp;L Schedule 12 Projects</t>
  </si>
  <si>
    <t>Attachment 1A - Accumulated Deferred Income Taxes (ADIT) Worksheet - Projected December 31</t>
  </si>
  <si>
    <t>Attachment 1B - Accumulated Deferred Income Taxes - Prorated Projection - December 31,</t>
  </si>
  <si>
    <t xml:space="preserve">Rate Year = </t>
  </si>
  <si>
    <t xml:space="preserve">Attachment 1D - Accumulated Deferred Income Taxes for Annual True-up - December 31, </t>
  </si>
  <si>
    <t xml:space="preserve">Attachment 1E - Accumulated Deferred Income Taxes for Annual True-up - December 31, </t>
  </si>
  <si>
    <t>Attachment 2 - Taxes Other Than Income - December 31,</t>
  </si>
  <si>
    <t>Attachment 3 - Revenue Credits - December 31</t>
  </si>
  <si>
    <t>Attachment 4 - Cost Support - December 31</t>
  </si>
  <si>
    <t>Assigned to Construction - Transmission Portion</t>
  </si>
  <si>
    <t>p227.5 and fn</t>
  </si>
  <si>
    <t>(Direct Assigned)</t>
  </si>
  <si>
    <t>Attachment 9 - Excess Accumulated Deferred Income Taxes - December 31,</t>
  </si>
  <si>
    <t>Attachment 11 - Corrections - December 31,</t>
  </si>
  <si>
    <t>January through December</t>
  </si>
  <si>
    <t>Project 11</t>
  </si>
  <si>
    <t>Project 12</t>
  </si>
  <si>
    <t>Project 13</t>
  </si>
  <si>
    <t>Project 14</t>
  </si>
  <si>
    <t>December 31,</t>
  </si>
  <si>
    <t>Miscellaneous Liabilities</t>
  </si>
  <si>
    <t>Amount of transmission plant excluded from the ATRR.  The amounts are shown on Attachment 4</t>
  </si>
  <si>
    <t xml:space="preserve">ROE Adder authorized by the Commission for projects included in Attachment 7A, which contains the docket in which ROE Adder was authorized by FERC.  </t>
  </si>
  <si>
    <t>Costs associated with DP&amp;L’s integrated transmission system, including all transmission facilities in place as of the 2001 FERC Integration study (Docket ER01-2307), shall be recoverable under this formula rate template.  After that date, Step-up facilities with a lower-voltage side operating at below 69 kV shall be excluded.  Step-down transformers with a lower-voltage side operating at below 69kV will be excluded even if within a transmission substation.  Integrated high-side breakers, integrated lines operating at or above 69 kV and other integrated transmission facilities that are within a substation shall be recoverable under the formula rate template.  Transmission Owner Interconnection Facilities, when constructed pursuant to a Large or Small Generator Interconnection Agreement and paid for by the interconnecting entity, are not to be recovered under this formula rate template, which may be effectuated by crediting amounts received from the interconnecting entity to the formula rate.</t>
  </si>
  <si>
    <t>U</t>
  </si>
  <si>
    <t>FERC approval is required for the amortization of any Regulatory Asset through charges calculated pursuant to the template</t>
  </si>
  <si>
    <t>Includes 100% of EPRI membership dues and lobbying expenses charged to A&amp;G which are excluded from the Annual Transmission Revenue Requirement ("ATRR")</t>
  </si>
  <si>
    <t>V</t>
  </si>
  <si>
    <t>W</t>
  </si>
  <si>
    <t>Customers have the right to challenge the inclusion of distribution-related costs to the extent inclusion of those costs would result in a disproportionate allocation of costs to transmission.  Such right shall be exercised pursuant to the Protocols, Attachment H-15B</t>
  </si>
  <si>
    <t>Includes the original cost of transmission electric plant (excluding land and land rights) owned and held by DP&amp;L for future use of electric service under a definite plan for such use and land and land rights held by DP&amp;L for future use of electric service under a plan for such use</t>
  </si>
  <si>
    <t>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t>
  </si>
  <si>
    <t>The revenue requirement for PJM Schedule 12 Facilities is separately identifed for cost allocation purposes, as the costs are allocated to more than the Dayton Zone.  Schedule 12 Project requirements are excluded from the DP&amp;L NITS revenue requirement.  PJM compensates DP&amp;L for the Schedule 12 Project revenue requirements pursuant to Schedule 12.  Amount includes any ATU Adjustment for Schedule 12 projects.</t>
  </si>
  <si>
    <t xml:space="preserve">    Less EPRI Dues and Lobbying Expenses</t>
  </si>
  <si>
    <t>Regulatory Commission Expense - Transmission</t>
  </si>
  <si>
    <t xml:space="preserve">Coincident peak demand computed as provided for in Section 34.1 of the PJM OATT.  The PJM determined coincident peak demand will not be revised or updated in the Annual True-Up (ATU) Adjustment, as the ATU Adjustment compares the applicable calendar year actual revenue requirement to the actual revenue (based upon the projected revenue requirement). </t>
  </si>
  <si>
    <t xml:space="preserve">               Unamortized Discount</t>
  </si>
  <si>
    <t xml:space="preserve">               ADIT Associated with Gain or Loss</t>
  </si>
  <si>
    <t>ADIT Associated with Gain or Loss on Reacquired Debt</t>
  </si>
  <si>
    <t>Unamortized Debt Expense</t>
  </si>
  <si>
    <t>p111.69 c.d.</t>
  </si>
  <si>
    <t xml:space="preserve">      Add: Unamortized  Debt Expense </t>
  </si>
  <si>
    <t>Non-Pension and Non-PBOP Items</t>
  </si>
  <si>
    <t>Excluded A&amp;G Items</t>
  </si>
  <si>
    <t>Lobbying Expenses</t>
  </si>
  <si>
    <t>A&amp;G</t>
  </si>
  <si>
    <t>Internal data</t>
  </si>
  <si>
    <t>Capital Structure</t>
  </si>
  <si>
    <t>Long-term Debt</t>
  </si>
  <si>
    <t>No production-related costs or expenses or renewable energy credits will be included in A&amp;G allocated to transmission</t>
  </si>
  <si>
    <t>Prepayments - Total</t>
  </si>
  <si>
    <t>Less:  Amounts Related to PUCO Proceedings</t>
  </si>
  <si>
    <t>Less:  Amounts Related to p-cards</t>
  </si>
  <si>
    <t>Net Prepayments</t>
  </si>
  <si>
    <t>Less:  Amounts Related to PJM Credits in 2018</t>
  </si>
  <si>
    <t>Account 242 - Current Year</t>
  </si>
  <si>
    <t>Payroll Accrual</t>
  </si>
  <si>
    <t>Wage</t>
  </si>
  <si>
    <t>Plant</t>
  </si>
  <si>
    <t>Benefits</t>
  </si>
  <si>
    <t>Total Transmission Allocation</t>
  </si>
  <si>
    <t>Administrative and General Expense Detail</t>
  </si>
  <si>
    <t>Distribution</t>
  </si>
  <si>
    <t>Administrative and general salaries</t>
  </si>
  <si>
    <t>Office supplies and expenses</t>
  </si>
  <si>
    <t>Administrative expense transferred</t>
  </si>
  <si>
    <t>Outside services employed</t>
  </si>
  <si>
    <t>Property insurance</t>
  </si>
  <si>
    <t>Injuries and damages</t>
  </si>
  <si>
    <t>Employee pension and benefits</t>
  </si>
  <si>
    <t>Franchise requirements</t>
  </si>
  <si>
    <t>Regulatory commission expenses</t>
  </si>
  <si>
    <t>Duplicate charges</t>
  </si>
  <si>
    <t>General advertising</t>
  </si>
  <si>
    <t>Miscellaneous general expenses</t>
  </si>
  <si>
    <t>Rents</t>
  </si>
  <si>
    <t>Maintenance of general plant</t>
  </si>
  <si>
    <t>West Milton - Salem/Englewood  6635/6679</t>
  </si>
  <si>
    <t>Yes</t>
  </si>
  <si>
    <t>West Milton Substation</t>
  </si>
  <si>
    <t>West Milton - Eldean</t>
  </si>
  <si>
    <t>Bath - Trebein 138kV - 13810</t>
  </si>
  <si>
    <t>Bath Substation</t>
  </si>
  <si>
    <t>Trebein Substation</t>
  </si>
  <si>
    <t>Marysville - New Sub</t>
  </si>
  <si>
    <t>Marysville - Reconductor 6619</t>
  </si>
  <si>
    <t>System Reactors for High Voltage Control</t>
  </si>
  <si>
    <t>Gebhardt Substation</t>
  </si>
  <si>
    <t>To Be Allocated Via the Wage Allocator</t>
  </si>
  <si>
    <t>Directly Assigned to:</t>
  </si>
  <si>
    <t>Customer Deposits and Advances for Construction</t>
  </si>
  <si>
    <t>Customer Deposits</t>
  </si>
  <si>
    <t>p112.41.c</t>
  </si>
  <si>
    <t>(A)</t>
  </si>
  <si>
    <t>(B)</t>
  </si>
  <si>
    <t>(C)</t>
  </si>
  <si>
    <t>(D)</t>
  </si>
  <si>
    <t>(E)</t>
  </si>
  <si>
    <t>(F)</t>
  </si>
  <si>
    <t>(G)</t>
  </si>
  <si>
    <t>(H)</t>
  </si>
  <si>
    <t>(I)</t>
  </si>
  <si>
    <t>(J)</t>
  </si>
  <si>
    <t>(K)</t>
  </si>
  <si>
    <t>(L)</t>
  </si>
  <si>
    <t>(M)</t>
  </si>
  <si>
    <t>(N)</t>
  </si>
  <si>
    <t>(O)</t>
  </si>
  <si>
    <t>(P)</t>
  </si>
  <si>
    <t>(Q)</t>
  </si>
  <si>
    <t>(R)</t>
  </si>
  <si>
    <t>(S)</t>
  </si>
  <si>
    <t>(T)</t>
  </si>
  <si>
    <t>(U)</t>
  </si>
  <si>
    <t>(V)</t>
  </si>
  <si>
    <t>(W)</t>
  </si>
  <si>
    <t>(X)</t>
  </si>
  <si>
    <t>(Y)</t>
  </si>
  <si>
    <t>ADIT Balances Prior to Remeasurement</t>
  </si>
  <si>
    <t>ADIT Balances After Remeasurement (Note F)</t>
  </si>
  <si>
    <t>Deficient or Excess Accumulated Deferred Taxes at December 31, 2017</t>
  </si>
  <si>
    <t>Adjustments After Remeasurement</t>
  </si>
  <si>
    <t>Adjusted Deficient or Excess Accumulated Deferred Taxes</t>
  </si>
  <si>
    <t>Allocated to Transmission</t>
  </si>
  <si>
    <t>Protected (P) Unprotected Property (UP)  Unprotected Other (UO) (Note B)</t>
  </si>
  <si>
    <t>Amortization Through December 31, 2019</t>
  </si>
  <si>
    <t>Balance at December 31, 2020</t>
  </si>
  <si>
    <t>2021 Amortization (Note B)</t>
  </si>
  <si>
    <t>Balance at December 31, 2021 (Note B)</t>
  </si>
  <si>
    <t>2022 Amortization (Note B)</t>
  </si>
  <si>
    <t>Balance at December 31, 2022 (Note B)</t>
  </si>
  <si>
    <t>2023 Amortization (Note B)</t>
  </si>
  <si>
    <t>Balance at December 31, 2023 (Note B)</t>
  </si>
  <si>
    <t>2024 Amortization (Note B)</t>
  </si>
  <si>
    <t>Balance at December 31, 2024 (Note B)</t>
  </si>
  <si>
    <t>2025 Amortization (Note B)</t>
  </si>
  <si>
    <t>Balance at December 31, 2025 (Note B)</t>
  </si>
  <si>
    <t>2026 Amortization (Note B)</t>
  </si>
  <si>
    <t>Balance at December 31, 2026 (Note B)</t>
  </si>
  <si>
    <t>Deficient Deferred Income Taxes - amortized to 410.1</t>
  </si>
  <si>
    <t>FERC Account 190</t>
  </si>
  <si>
    <t>UO</t>
  </si>
  <si>
    <t>Total FERC Account 190</t>
  </si>
  <si>
    <t>FERC Account 282</t>
  </si>
  <si>
    <t>TBD</t>
  </si>
  <si>
    <t>Total Account 282</t>
  </si>
  <si>
    <t>FERC Account 283</t>
  </si>
  <si>
    <t>Total FERC Account 283</t>
  </si>
  <si>
    <t>Subtotal Before Being Grossed up for Income Taxes</t>
  </si>
  <si>
    <t>Gross Up</t>
  </si>
  <si>
    <t>Total Deficient Accumulated Deferred Income Taxes - Account 182.3</t>
  </si>
  <si>
    <t>Excess Accumulated Deferred Income Taxes - amortized to 411.1</t>
  </si>
  <si>
    <t>Total Account 190</t>
  </si>
  <si>
    <t>Other (Note D)</t>
  </si>
  <si>
    <t>UP</t>
  </si>
  <si>
    <t>Total Account 283</t>
  </si>
  <si>
    <t>Total Excess Accumulated Deferred Income Taxes - Account 254</t>
  </si>
  <si>
    <t xml:space="preserve">Note A:  The allocators are based upon the Cost Alignment and Allocation Manual and derived from the detailed tax records of DP&amp;L.   Zero allocations are used for generation items and items charged to Other Comprehensive Income.  </t>
  </si>
  <si>
    <t>Note D:  CIAC related excess ADIT not included.</t>
  </si>
  <si>
    <t>Note E:  DP&amp;L shall provide workpapers supporting amounts in Columns B and E for all items.</t>
  </si>
  <si>
    <t>New nominal rate</t>
  </si>
  <si>
    <t>Prior nominal rate</t>
  </si>
  <si>
    <t>Remeasurement Factor</t>
  </si>
  <si>
    <t>Total Amortization</t>
  </si>
  <si>
    <t>For the 2020 Projected ATRR, columns B through E are not populated.  These columns will be populated for the 2020 ATU and forward</t>
  </si>
  <si>
    <t>12 Months Ended December 31, 2020</t>
  </si>
  <si>
    <t>As a general rule, A&amp;G costs will be directly assigned to or explicitly allocated within DP&amp;L’s accounting system between the transmission function and other functions, with the transmission function costs included in the ATRR.  A&amp;G costs directly assigned or allocated within DP&amp;L’s accounting system to distribution or relating to some other function shall be excluded.  A wage allocation will be used only to the extent there is any remaining amount that is unassigned.  These general rules will apply irrespective of whether the A&amp;G costs originate within DP&amp;L itself or from the centralized service company, AES US Services, LLC.  See Attachment 13 - A&amp;G amounts by account and by business function.</t>
  </si>
  <si>
    <t xml:space="preserve">Only the transmission portion of M&amp;S amounts reported on line 5 of page 227 of FERC Form 1 is used ("Assigned to - Construction").  The transmission portion of line 5 is specified in a footnote on page 227. </t>
  </si>
  <si>
    <t>In filling out this attachment, a full and complete description of each item and justification for the allocation to Columns B-F and each separate ADIT item will be listed,</t>
  </si>
  <si>
    <t>State and local taxes accrued on the listed temporary differences</t>
  </si>
  <si>
    <t>Deferred taxes a CAT (Commercial Activities Tax similar to a gross receipts tax) creditn</t>
  </si>
  <si>
    <t xml:space="preserve">Books record regulatory assets and liabilities.  In certain cases, tax is able to take a current deduction for those activities (books records a reg asset for certain storm damages, tax is able to take a current deduction) </t>
  </si>
  <si>
    <t>(r)</t>
  </si>
  <si>
    <t xml:space="preserve">State and local taxes accrued on the listed temporary differences </t>
  </si>
  <si>
    <t>Book amortization of pension expense based on actuarial calculations. Tax deduction is allowed when cash contributions are made to the plan.</t>
  </si>
  <si>
    <t xml:space="preserve">Books record regulatory assets and laiblilites.  In certain cases, tax is able to take a current deduction for those activities (books records a reg asset for certain storm damages, tax is able to take a current deduction) </t>
  </si>
  <si>
    <t xml:space="preserve">Books records regulatory assets and liablilities.  In certain cases, tax is able to take a current deduction for those activities (books records a reg asset for certain storm damages, tax is able to take a current deduction) </t>
  </si>
  <si>
    <t xml:space="preserve">Books record regulatory assets and liablilities.  In certain cases, tax is able to take a current deduction for those activities (books records a reg asset for certain storm damages, tax is able to take a current deduction) </t>
  </si>
  <si>
    <t>p119.53.c,d</t>
  </si>
  <si>
    <t>182.3/254</t>
  </si>
  <si>
    <t>Misc. Operating Provisions</t>
  </si>
  <si>
    <t xml:space="preserve">Note C:  Includes Unamortized Excess Deferred Income Tax Regulatory Assets or Liabilities and the associated amortization arising from income tax rate changes related to the 2017 Tax Cut and Jobs Act and any future change in federal, state or local income tax rates, as per Order 864, Public Utility Transmission Rate Changes to Address Accumulated Deferred Income Taxes.  This sheet will be replicated for any future change in federal, state or local income tax rates. </t>
  </si>
  <si>
    <r>
      <t xml:space="preserve">The following revenues, which are derived from new, secondary uses of transmission facilities, are shared equally between customers and DP&amp;L:  (1) right-of-way leases and leases for space on transmission facilities for telecommunications;  (2) transmission tower licenses for wireless antennas; (3) right-of-way property leases for farming, grazing or nurseries; (4) licenses of intellectual property; and (5) transmission maintenance and consulting services to other utilities and large customers.  DP&amp;L will retain 50% of net revenues consistent with </t>
    </r>
    <r>
      <rPr>
        <i/>
        <u val="single"/>
        <sz val="12"/>
        <rFont val="Arial"/>
        <family val="2"/>
      </rPr>
      <t>Pacific Gas and Electric Company</t>
    </r>
    <r>
      <rPr>
        <sz val="12"/>
        <rFont val="Arial"/>
        <family val="2"/>
      </rPr>
      <t>, 90 FERC ¶ 61,314.  In order to use lines 13-18, DP&amp;L must track in separate subaccounts the revenues and costs associated with each new, secondary use.  There is no sharing of losses and DP&amp;L shall not use portfolio accounting.  Any revenues from existing services shall continue to be credit 100% to the ATRR.</t>
    </r>
  </si>
  <si>
    <t>General and Intangible (determined in a Public Utilities Commission of Ohio proceeding and using data as of December 31, 2014)</t>
  </si>
  <si>
    <t>Tax and book differences resulting from accelerated tax depreciation.  Included in prorated amount</t>
  </si>
  <si>
    <t>p112.27.c</t>
  </si>
  <si>
    <t>p112.28.c</t>
  </si>
  <si>
    <t>p112.29.c</t>
  </si>
  <si>
    <t>p112.30.c</t>
  </si>
  <si>
    <t>p269.10.f</t>
  </si>
  <si>
    <t>p113.52.d</t>
  </si>
  <si>
    <t>p110.31.d</t>
  </si>
  <si>
    <t>p263.1.20.i</t>
  </si>
  <si>
    <t>p263.1.18.i</t>
  </si>
  <si>
    <t>p323.189.b</t>
  </si>
  <si>
    <t>p323.197.b</t>
  </si>
  <si>
    <t>p323.185.b</t>
  </si>
  <si>
    <t>p111.57.c</t>
  </si>
  <si>
    <t>p354.28.b</t>
  </si>
  <si>
    <t>p354.27.b</t>
  </si>
  <si>
    <t>p354.21.b</t>
  </si>
  <si>
    <t>p207.104.g</t>
  </si>
  <si>
    <t>p219.29.c</t>
  </si>
  <si>
    <t>p200.21.c</t>
  </si>
  <si>
    <t>G - Justification</t>
  </si>
  <si>
    <t>p112.24. c,d</t>
  </si>
  <si>
    <t>(iv)</t>
  </si>
  <si>
    <t>Base ROE is fixed and will not change absent a determination by FERC in a Section 205 or 206 proceeding.  The RTO Participation Adder is zero during the Moratorium Period established in ER20-1150; however, to the extent FERC has authorized an RTO Participation Adder for DP&amp;L, the sum of the Base ROE and the RTO Participation Adder shall be included in the ATRR subject to a maximum value of 9.99% during the Moratorium Period.  The sum of the Base ROE plus the RTO Participation Adder shall be included in the ATRR  at the end of the Moratorium Period.  The Annual PBOP Expense included in the Formula Rate Annual Update shall be based upon the Company's projections and trued-up to actual PBOP Expense as charged to FERC Account 926.  DP&amp;L will provide, in connection with each annual True-Up Adjustment filing, a confidential copy of relevant pages from the annual actuarial valuation report supporting the derivation of the Actual Annual PBOP Expense as charged to FERC Account 926.   Depreciation rates were approved in Docket No. ER20-1150-000.  They may be updated with future changes in depreciation rates but only after approval by FERC.  If book depreciation rates are different than the Attachment 8 rates, DP&amp;L will provide workpapers at the annual update to reconcile formula depreciation expense and FERC Form 1 depreciation accruals.</t>
  </si>
  <si>
    <t xml:space="preserve">In the projected ATRR and the ATU Adjustment, the calculations of ADIT amounts resulting from liberalized depreciations are performed in accordance with the proration requirements of Treasury Regulation Section 1.167(l)-1(h)(6).  </t>
  </si>
  <si>
    <t xml:space="preserve">Note:  In the projected ATRR and the ATU Adjustment, the calculations of ADIT amounts resulting from liberalized depreciations are performed in accordance with the proration requirements of Treasury Regulation Section 1.167(l)-1(h)(6).  </t>
  </si>
  <si>
    <t>Note B:  Per the settlement in ER20-1150, protected excess accumulated deferred income tax items are amortized using the Average Rate Assumption Method.  All other items are amortized over 10 years for 2020 and 2021 and the remaining unamortized amounts at 12/31/2021 amortized over five years thereafter.</t>
  </si>
  <si>
    <t>Note F:  Remeasurement Factor equals the ratio of the current nominal tax rate to the prior nominal tax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</si>
</sst>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mmmm\ d\,\ yyyy"/>
    <numFmt numFmtId="179" formatCode="mm/dd/yy"/>
    <numFmt numFmtId="180" formatCode="0.00_)"/>
    <numFmt numFmtId="181" formatCode="0.000000%;[Red]\-0.000000%"/>
    <numFmt numFmtId="182" formatCode="#,##0.0000000000000"/>
    <numFmt numFmtId="183" formatCode="&quot;$&quot;#,##0.0"/>
    <numFmt numFmtId="184" formatCode="#,##0.0_);\(#,##0.0\)"/>
    <numFmt numFmtId="185" formatCode="&quot;$&quot;#,##0.000_);\(&quot;$&quot;#,##0.000\)"/>
    <numFmt numFmtId="186" formatCode="&quot;$&quot;#,##0.0_);\(&quot;$&quot;#,##0.0\)"/>
    <numFmt numFmtId="187" formatCode="#,##0.000_);\(#,##0.000\)"/>
    <numFmt numFmtId="188" formatCode="_(* #,##0.0\¢_m;[Red]_(* \-#,##0.0\¢_m;[Green]_(* 0.0\¢_m;_(@_)_%"/>
    <numFmt numFmtId="189" formatCode="_(* #,##0.00\¢_m;[Red]_(* \-#,##0.00\¢_m;[Green]_(* 0.00\¢_m;_(@_)_%"/>
    <numFmt numFmtId="190" formatCode="_(* #,##0.000\¢_m;[Red]_(* \-#,##0.000\¢_m;[Green]_(* 0.000\¢_m;_(@_)_%"/>
    <numFmt numFmtId="191" formatCode="_(_(\£* #,##0_)_%;[Red]_(\(\£* #,##0\)_%;[Green]_(_(\£* #,##0_)_%;_(@_)_%"/>
    <numFmt numFmtId="192" formatCode="_(_(\£* #,##0.0_)_%;[Red]_(\(\£* #,##0.0\)_%;[Green]_(_(\£* #,##0.0_)_%;_(@_)_%"/>
    <numFmt numFmtId="193" formatCode="_(_(\£* #,##0.00_)_%;[Red]_(\(\£* #,##0.00\)_%;[Green]_(_(\£* #,##0.00_)_%;_(@_)_%"/>
    <numFmt numFmtId="194" formatCode="0.0%_);\(0.0%\)"/>
    <numFmt numFmtId="195" formatCode="\•\ \ @"/>
    <numFmt numFmtId="196" formatCode="_(_(\•_ #0_)_%;[Red]_(_(\•_ \-#0\)_%;[Green]_(_(\•_ #0_)_%;_(_(\•_ @_)_%"/>
    <numFmt numFmtId="197" formatCode="_(_(_•_ \•_ #0_)_%;[Red]_(_(_•_ \•_ \-#0\)_%;[Green]_(_(_•_ \•_ #0_)_%;_(_(_•_ \•_ @_)_%"/>
    <numFmt numFmtId="198" formatCode="_(_(_•_ _•_ \•_ #0_)_%;[Red]_(_(_•_ _•_ \•_ \-#0\)_%;[Green]_(_(_•_ _•_ \•_ #0_)_%;_(_(_•_ \•_ @_)_%"/>
    <numFmt numFmtId="199" formatCode="#,##0,_);\(#,##0,\)"/>
    <numFmt numFmtId="200" formatCode="0.0,_);\(0.0,\)"/>
    <numFmt numFmtId="201" formatCode="0.00,_);\(0.00,\)"/>
    <numFmt numFmtId="202" formatCode="_(_(_$* #,##0.0_)_%;[Red]_(\(_$* #,##0.0\)_%;[Green]_(_(_$* #,##0.0_)_%;_(@_)_%"/>
    <numFmt numFmtId="203" formatCode="_(_(_$* #,##0.00_)_%;[Red]_(\(_$* #,##0.00\)_%;[Green]_(_(_$* #,##0.00_)_%;_(@_)_%"/>
    <numFmt numFmtId="204" formatCode="_(_(_$* #,##0.000_)_%;[Red]_(\(_$* #,##0.000\)_%;[Green]_(_(_$* #,##0.000_)_%;_(@_)_%"/>
    <numFmt numFmtId="205" formatCode="_._.* #,##0.0_)_%;_._.* \(#,##0.0\)_%;_._.* \ ?_)_%"/>
    <numFmt numFmtId="206" formatCode="_._.* #,##0.00_)_%;_._.* \(#,##0.00\)_%;_._.* \ ?_)_%"/>
    <numFmt numFmtId="207" formatCode="_._.* #,##0.000_)_%;_._.* \(#,##0.000\)_%;_._.* \ ?_)_%"/>
    <numFmt numFmtId="208" formatCode="_._.* #,##0.0000_)_%;_._.* \(#,##0.0000\)_%;_._.* \ ?_)_%"/>
    <numFmt numFmtId="209" formatCode="_(_(&quot;$&quot;* #,##0.0_)_%;[Red]_(\(&quot;$&quot;* #,##0.0\)_%;[Green]_(_(&quot;$&quot;* #,##0.0_)_%;_(@_)_%"/>
    <numFmt numFmtId="210" formatCode="_(_(&quot;$&quot;* #,##0.00_)_%;[Red]_(\(&quot;$&quot;* #,##0.00\)_%;[Green]_(_(&quot;$&quot;* #,##0.00_)_%;_(@_)_%"/>
    <numFmt numFmtId="211" formatCode="_(_(&quot;$&quot;* #,##0.000_)_%;[Red]_(\(&quot;$&quot;* #,##0.000\)_%;[Green]_(_(&quot;$&quot;* #,##0.000_)_%;_(@_)_%"/>
    <numFmt numFmtId="212" formatCode="_._.&quot;$&quot;* #,##0.0_)_%;_._.&quot;$&quot;* \(#,##0.0\)_%;_._.&quot;$&quot;* \ ?_)_%"/>
    <numFmt numFmtId="213" formatCode="_._.&quot;$&quot;* #,##0.00_)_%;_._.&quot;$&quot;* \(#,##0.00\)_%;_._.&quot;$&quot;* \ ?_)_%"/>
    <numFmt numFmtId="214" formatCode="_._.&quot;$&quot;* #,##0.000_)_%;_._.&quot;$&quot;* \(#,##0.000\)_%;_._.&quot;$&quot;* \ ?_)_%"/>
    <numFmt numFmtId="215" formatCode="_._.&quot;$&quot;* #,##0.0000_)_%;_._.&quot;$&quot;* \(#,##0.0000\)_%;_._.&quot;$&quot;* \ ?_)_%"/>
    <numFmt numFmtId="216" formatCode="&quot;$&quot;#,##0,_);\(&quot;$&quot;#,##0,\)"/>
    <numFmt numFmtId="217" formatCode="&quot;$&quot;0.0,_);\(&quot;$&quot;0.0,\)"/>
    <numFmt numFmtId="218" formatCode="&quot;$&quot;0.00,_);\(&quot;$&quot;0.00,\)"/>
    <numFmt numFmtId="219" formatCode="_(* dd\-mmm\-yy_)_%"/>
    <numFmt numFmtId="220" formatCode="_(* dd\ mmmm\ yyyy_)_%"/>
    <numFmt numFmtId="221" formatCode="_(* mmmm\ dd\,\ yyyy_)_%"/>
    <numFmt numFmtId="222" formatCode="_(* dd\.mm\.yyyy_)_%"/>
    <numFmt numFmtId="223" formatCode="_(* mm/dd/yyyy_)_%"/>
    <numFmt numFmtId="224" formatCode="m/d/yy;@"/>
    <numFmt numFmtId="225" formatCode="#,##0.0\x_);\(#,##0.0\x\)"/>
    <numFmt numFmtId="226" formatCode="#,##0.00\x_);\(#,##0.00\x\)"/>
    <numFmt numFmtId="227" formatCode="[$€-2]\ #,##0_);\([$€-2]\ #,##0\)"/>
    <numFmt numFmtId="228" formatCode="[$€-2]\ #,##0.0_);\([$€-2]\ #,##0.0\)"/>
    <numFmt numFmtId="229" formatCode="General_)_%"/>
    <numFmt numFmtId="230" formatCode="_(_(#0_)_%;[Red]_(_(\-#0\)_%;[Green]_(_(#0_)_%;_(_(@_)_%"/>
    <numFmt numFmtId="231" formatCode="_(_(_•_ #0_)_%;[Red]_(_(_•_ \-#0\)_%;[Green]_(_(_•_ #0_)_%;_(_(_•_ @_)_%"/>
    <numFmt numFmtId="232" formatCode="_(_(_•_ _•_ #0_)_%;[Red]_(_(_•_ _•_ \-#0\)_%;[Green]_(_(_•_ _•_ #0_)_%;_(_(_•_ _•_ @_)_%"/>
    <numFmt numFmtId="233" formatCode="_(_(_•_ _•_ _•_ #0_)_%;[Red]_(_(_•_ _•_ _•_ \-#0\)_%;[Green]_(_(_•_ _•_ _•_ #0_)_%;_(_(_•_ _•_ _•_ @_)_%"/>
    <numFmt numFmtId="234" formatCode="#,##0\x;\(#,##0\x\)"/>
    <numFmt numFmtId="235" formatCode="0.0\x;\(0.0\x\)"/>
    <numFmt numFmtId="236" formatCode="#,##0.00\x;\(#,##0.00\x\)"/>
    <numFmt numFmtId="237" formatCode="#,##0.000\x;\(#,##0.000\x\)"/>
    <numFmt numFmtId="238" formatCode="0.0_);\(0.0\)"/>
    <numFmt numFmtId="239" formatCode="0%;\(0%\)"/>
    <numFmt numFmtId="240" formatCode="0.00\ \x_);\(0.00\ \x\)"/>
    <numFmt numFmtId="241" formatCode="_(* #,##0_);_(* \(#,##0\);_(* &quot;-&quot;????_);_(@_)"/>
    <numFmt numFmtId="242" formatCode="0__"/>
    <numFmt numFmtId="243" formatCode="h:mmAM/PM"/>
    <numFmt numFmtId="244" formatCode="0&quot; E&quot;"/>
    <numFmt numFmtId="245" formatCode="yyyy"/>
    <numFmt numFmtId="246" formatCode="0.0%;\(0.0%\)"/>
    <numFmt numFmtId="247" formatCode="0.00%_);\(0.00%\)"/>
    <numFmt numFmtId="248" formatCode="0.000%_);\(0.000%\)"/>
    <numFmt numFmtId="249" formatCode="_(0_)%;\(0\)%;\ \ ?_)%"/>
    <numFmt numFmtId="250" formatCode="_._._(* 0_)%;_._.* \(0\)%;_._._(* \ ?_)%"/>
    <numFmt numFmtId="251" formatCode="0%_);\(0%\)"/>
    <numFmt numFmtId="252" formatCode="_(* #,##0_)_%;[Red]_(* \(#,##0\)_%;[Green]_(* 0_)_%;_(@_)_%"/>
    <numFmt numFmtId="253" formatCode="_(* #,##0.0%_);[Red]_(* \-#,##0.0%_);[Green]_(* 0.0%_);_(@_)_%"/>
    <numFmt numFmtId="254" formatCode="_(* #,##0.00%_);[Red]_(* \-#,##0.00%_);[Green]_(* 0.00%_);_(@_)_%"/>
    <numFmt numFmtId="255" formatCode="_(* #,##0.000%_);[Red]_(* \-#,##0.000%_);[Green]_(* 0.000%_);_(@_)_%"/>
    <numFmt numFmtId="256" formatCode="_(0.0_)%;\(0.0\)%;\ \ ?_)%"/>
    <numFmt numFmtId="257" formatCode="_._._(* 0.0_)%;_._.* \(0.0\)%;_._._(* \ ?_)%"/>
    <numFmt numFmtId="258" formatCode="_(0.00_)%;\(0.00\)%;\ \ ?_)%"/>
    <numFmt numFmtId="259" formatCode="_._._(* 0.00_)%;_._.* \(0.00\)%;_._._(* \ ?_)%"/>
    <numFmt numFmtId="260" formatCode="_(0.000_)%;\(0.000\)%;\ \ ?_)%"/>
    <numFmt numFmtId="261" formatCode="_._._(* 0.000_)%;_._.* \(0.000\)%;_._._(* \ ?_)%"/>
    <numFmt numFmtId="262" formatCode="_(0.0000_)%;\(0.0000\)%;\ \ ?_)%"/>
    <numFmt numFmtId="263" formatCode="_._._(* 0.0000_)%;_._.* \(0.0000\)%;_._._(* \ ?_)%"/>
    <numFmt numFmtId="264" formatCode="mmmm\ dd\,\ yy"/>
    <numFmt numFmtId="265" formatCode="0.0\x"/>
    <numFmt numFmtId="266" formatCode="_(* #,##0_);_(* \(#,##0\);_(* \ ?_)"/>
    <numFmt numFmtId="267" formatCode="_(* #,##0.0_);_(* \(#,##0.0\);_(* \ ?_)"/>
    <numFmt numFmtId="268" formatCode="_(* #,##0.00_);_(* \(#,##0.00\);_(* \ ?_)"/>
    <numFmt numFmtId="269" formatCode="_(* #,##0.000_);_(* \(#,##0.000\);_(* \ ?_)"/>
    <numFmt numFmtId="270" formatCode="_(&quot;$&quot;* #,##0_);_(&quot;$&quot;* \(#,##0\);_(&quot;$&quot;* \ ?_)"/>
    <numFmt numFmtId="271" formatCode="_(&quot;$&quot;* #,##0.0_);_(&quot;$&quot;* \(#,##0.0\);_(&quot;$&quot;* \ ?_)"/>
    <numFmt numFmtId="272" formatCode="_(&quot;$&quot;* #,##0.00_);_(&quot;$&quot;* \(#,##0.00\);_(&quot;$&quot;* \ ?_)"/>
    <numFmt numFmtId="273" formatCode="_(&quot;$&quot;* #,##0.000_);_(&quot;$&quot;* \(#,##0.000\);_(&quot;$&quot;* \ ?_)"/>
    <numFmt numFmtId="274" formatCode="0000&quot;A&quot;"/>
    <numFmt numFmtId="275" formatCode="0&quot;E&quot;"/>
    <numFmt numFmtId="276" formatCode="0000&quot;E&quot;"/>
    <numFmt numFmtId="277" formatCode="&quot;$&quot;#,##0\ ;\(&quot;$&quot;#,##0\)"/>
    <numFmt numFmtId="278" formatCode="[$-409]m/d/yy\ h:mm\ AM/PM;@"/>
    <numFmt numFmtId="279" formatCode="_(&quot;$&quot;* #,##0.0000_);_(&quot;$&quot;* \(#,##0.0000\);_(&quot;$&quot;* &quot;-&quot;??_);_(@_)"/>
    <numFmt numFmtId="280" formatCode="[$-409]mmmm\ d\,\ yyyy;@"/>
  </numFmts>
  <fonts count="170">
    <font>
      <sz val="10"/>
      <name val="Arial"/>
      <family val="2"/>
    </font>
    <font>
      <sz val="10"/>
      <color theme="1"/>
      <name val="Arial"/>
      <family val="2"/>
    </font>
    <font>
      <sz val="11"/>
      <color theme="1"/>
      <name val="Calibri"/>
      <family val="2"/>
      <scheme val="minor"/>
    </font>
    <font>
      <b/>
      <sz val="10"/>
      <name val="Arial"/>
      <family val="2"/>
    </font>
    <font>
      <b/>
      <sz val="12"/>
      <name val="Arial"/>
      <family val="2"/>
    </font>
    <font>
      <sz val="12"/>
      <name val="Arial"/>
      <family val="2"/>
    </font>
    <font>
      <sz val="12"/>
      <color indexed="10"/>
      <name val="Arial"/>
      <family val="2"/>
    </font>
    <font>
      <b/>
      <sz val="10"/>
      <color indexed="10"/>
      <name val="Arial"/>
      <family val="2"/>
    </font>
    <font>
      <sz val="12"/>
      <name val="Arial MT"/>
      <family val="2"/>
    </font>
    <font>
      <b/>
      <sz val="14"/>
      <name val="Arial"/>
      <family val="2"/>
    </font>
    <font>
      <sz val="14"/>
      <name val="Arial"/>
      <family val="2"/>
    </font>
    <font>
      <b/>
      <i/>
      <sz val="12"/>
      <name val="Arial"/>
      <family val="2"/>
    </font>
    <font>
      <sz val="11"/>
      <name val="Arial"/>
      <family val="2"/>
    </font>
    <font>
      <b/>
      <sz val="16"/>
      <color indexed="10"/>
      <name val="Arial"/>
      <family val="2"/>
    </font>
    <font>
      <sz val="9"/>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val="single"/>
      <sz val="16"/>
      <name val="Arial"/>
      <family val="2"/>
    </font>
    <font>
      <sz val="16"/>
      <color indexed="10"/>
      <name val="Arial"/>
      <family val="2"/>
    </font>
    <font>
      <sz val="16"/>
      <color indexed="43"/>
      <name val="Arial"/>
      <family val="2"/>
    </font>
    <font>
      <b/>
      <u val="single"/>
      <sz val="12"/>
      <name val="Arial"/>
      <family val="2"/>
    </font>
    <font>
      <b/>
      <sz val="12"/>
      <color indexed="14"/>
      <name val="Arial"/>
      <family val="2"/>
    </font>
    <font>
      <i/>
      <u val="single"/>
      <sz val="12"/>
      <name val="Arial"/>
      <family val="2"/>
    </font>
    <font>
      <u val="single"/>
      <sz val="8"/>
      <name val="Arial"/>
      <family val="2"/>
    </font>
    <font>
      <u val="single"/>
      <sz val="12"/>
      <name val="Arial"/>
      <family val="2"/>
    </font>
    <font>
      <u val="single"/>
      <vertAlign val="superscript"/>
      <sz val="11"/>
      <name val="Arial"/>
      <family val="2"/>
    </font>
    <font>
      <vertAlign val="superscript"/>
      <sz val="11"/>
      <name val="Arial"/>
      <family val="2"/>
    </font>
    <font>
      <b/>
      <i/>
      <sz val="14"/>
      <name val="Arial"/>
      <family val="2"/>
    </font>
    <font>
      <b/>
      <i/>
      <sz val="12"/>
      <color indexed="10"/>
      <name val="Arial"/>
      <family val="2"/>
    </font>
    <font>
      <sz val="10"/>
      <name val="Courier"/>
      <family val="3"/>
    </font>
    <font>
      <u val="single"/>
      <sz val="12"/>
      <color indexed="10"/>
      <name val="Arial"/>
      <family val="2"/>
    </font>
    <font>
      <b/>
      <u val="single"/>
      <sz val="12"/>
      <color indexed="10"/>
      <name val="Arial"/>
      <family val="2"/>
    </font>
    <font>
      <b/>
      <u val="single"/>
      <sz val="10"/>
      <color indexed="10"/>
      <name val="Arial"/>
      <family val="2"/>
    </font>
    <font>
      <sz val="11"/>
      <color indexed="8"/>
      <name val="Calibri"/>
      <family val="2"/>
    </font>
    <font>
      <u val="singleAccounting"/>
      <sz val="12"/>
      <name val="Arial"/>
      <family val="2"/>
    </font>
    <font>
      <sz val="12"/>
      <color rgb="FFFF0000"/>
      <name val="Arial"/>
      <family val="2"/>
    </font>
    <font>
      <sz val="11"/>
      <color theme="1"/>
      <name val="Arial"/>
      <family val="2"/>
    </font>
    <font>
      <b/>
      <sz val="9"/>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i/>
      <sz val="16"/>
      <name val="Helv"/>
      <family val="2"/>
    </font>
    <font>
      <b/>
      <sz val="11"/>
      <color indexed="63"/>
      <name val="Calibri"/>
      <family val="2"/>
    </font>
    <font>
      <sz val="10"/>
      <name val="Tms Rmn"/>
      <family val="2"/>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sz val="20"/>
      <color rgb="FFFF0000"/>
      <name val="Arial"/>
      <family val="2"/>
    </font>
    <font>
      <u val="single"/>
      <sz val="16"/>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u val="single"/>
      <sz val="10"/>
      <name val="Arial"/>
      <family val="2"/>
    </font>
    <font>
      <b/>
      <sz val="15"/>
      <color theme="3"/>
      <name val="Calibri"/>
      <family val="2"/>
      <scheme val="minor"/>
    </font>
    <font>
      <sz val="11"/>
      <color rgb="FFFA7D00"/>
      <name val="Calibri"/>
      <family val="2"/>
      <scheme val="minor"/>
    </font>
    <font>
      <b/>
      <sz val="10"/>
      <color rgb="FFFF0000"/>
      <name val="Arial"/>
      <family val="2"/>
    </font>
    <font>
      <b/>
      <sz val="11"/>
      <name val="Arial"/>
      <family val="2"/>
    </font>
    <font>
      <b/>
      <sz val="24"/>
      <name val="Arial Narrow"/>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4"/>
      <name val="Book Antiqua"/>
      <family val="1"/>
    </font>
    <font>
      <i/>
      <sz val="10"/>
      <name val="Book Antiqua"/>
      <family val="1"/>
    </font>
    <font>
      <sz val="8"/>
      <color indexed="38"/>
      <name val="Arial"/>
      <family val="2"/>
    </font>
    <font>
      <b/>
      <i/>
      <sz val="16"/>
      <name val="Arial"/>
      <family val="2"/>
    </font>
    <font>
      <b/>
      <sz val="12"/>
      <color indexed="32"/>
      <name val="Arial"/>
      <family val="2"/>
    </font>
    <font>
      <i/>
      <sz val="11"/>
      <name val="Arial"/>
      <family val="2"/>
    </font>
    <font>
      <sz val="12"/>
      <name val="Times New Roman"/>
      <family val="1"/>
    </font>
    <font>
      <sz val="10"/>
      <color indexed="12"/>
      <name val="Arial"/>
      <family val="2"/>
    </font>
    <font>
      <b/>
      <sz val="10"/>
      <color indexed="12"/>
      <name val="Arial"/>
      <family val="2"/>
    </font>
    <font>
      <sz val="11"/>
      <name val="Times New Roman"/>
      <family val="1"/>
    </font>
    <font>
      <b/>
      <i/>
      <sz val="12"/>
      <name val="Times New Roman"/>
      <family val="1"/>
    </font>
    <font>
      <sz val="10"/>
      <name val="C Helvetica Condensed"/>
      <family val="2"/>
    </font>
    <font>
      <sz val="10"/>
      <color indexed="12"/>
      <name val="Times New Roman"/>
      <family val="1"/>
    </font>
    <font>
      <b/>
      <sz val="10"/>
      <color indexed="8"/>
      <name val="Times New Roman"/>
      <family val="1"/>
    </font>
    <font>
      <sz val="9"/>
      <color indexed="12"/>
      <name val="Arial"/>
      <family val="2"/>
    </font>
    <font>
      <sz val="9"/>
      <name val="Times New Roman"/>
      <family val="1"/>
    </font>
    <font>
      <sz val="12"/>
      <name val="Helv"/>
      <family val="2"/>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amily val="2"/>
    </font>
    <font>
      <sz val="10"/>
      <color indexed="42"/>
      <name val="Arial"/>
      <family val="2"/>
    </font>
    <font>
      <sz val="10"/>
      <color indexed="46"/>
      <name val="Arial"/>
      <family val="2"/>
    </font>
    <font>
      <b/>
      <sz val="10"/>
      <color indexed="22"/>
      <name val="Arial"/>
      <family val="2"/>
    </font>
    <font>
      <sz val="10"/>
      <color indexed="12"/>
      <name val="Book Antiqua"/>
      <family val="1"/>
    </font>
    <font>
      <i/>
      <sz val="16"/>
      <name val="Times New Roman"/>
      <family val="1"/>
    </font>
    <font>
      <sz val="7"/>
      <name val="Small Fonts"/>
      <family val="2"/>
    </font>
    <font>
      <u val="single"/>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b/>
      <sz val="9"/>
      <name val="Times New Roman"/>
      <family val="1"/>
    </font>
    <font>
      <i/>
      <sz val="8"/>
      <name val="Times New Roman"/>
      <family val="1"/>
    </font>
    <font>
      <sz val="10"/>
      <color indexed="21"/>
      <name val="Arial"/>
      <family val="2"/>
    </font>
    <font>
      <b/>
      <sz val="8"/>
      <name val="Arial"/>
      <family val="2"/>
    </font>
    <font>
      <sz val="9"/>
      <name val="Helv"/>
      <family val="2"/>
    </font>
    <font>
      <sz val="10"/>
      <name val="Arial Narrow"/>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11"/>
      <color indexed="10"/>
      <name val="Arial Narrow"/>
      <family val="2"/>
    </font>
    <font>
      <b/>
      <sz val="12"/>
      <name val="Times New Roman"/>
      <family val="1"/>
    </font>
    <font>
      <b/>
      <sz val="18"/>
      <color theme="3"/>
      <name val="Cambria"/>
      <family val="2"/>
      <scheme val="major"/>
    </font>
    <font>
      <sz val="11"/>
      <color rgb="FF9C6500"/>
      <name val="Calibri"/>
      <family val="2"/>
      <scheme val="minor"/>
    </font>
    <font>
      <sz val="10"/>
      <color indexed="22"/>
      <name val="Arial"/>
      <family val="2"/>
    </font>
    <font>
      <b/>
      <sz val="18"/>
      <color indexed="22"/>
      <name val="Arial"/>
      <family val="2"/>
    </font>
    <font>
      <b/>
      <sz val="12"/>
      <color indexed="22"/>
      <name val="Arial"/>
      <family val="2"/>
    </font>
    <font>
      <sz val="12"/>
      <color rgb="FF0000FF"/>
      <name val="Arial"/>
      <family val="2"/>
    </font>
    <font>
      <sz val="12"/>
      <color rgb="FF0070C0"/>
      <name val="Arial"/>
      <family val="2"/>
    </font>
    <font>
      <sz val="12"/>
      <color rgb="FF00B0F0"/>
      <name val="Arial"/>
      <family val="2"/>
    </font>
  </fonts>
  <fills count="69">
    <fill>
      <patternFill patternType="none"/>
    </fill>
    <fill>
      <patternFill patternType="gray125"/>
    </fill>
    <fill>
      <patternFill patternType="mediumGray">
        <fgColor indexed="22"/>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theme="4" tint="0.79998"/>
        <bgColor indexed="64"/>
      </patternFill>
    </fill>
    <fill>
      <patternFill patternType="solid">
        <fgColor indexed="47"/>
        <bgColor indexed="64"/>
      </patternFill>
    </fill>
    <fill>
      <patternFill patternType="solid">
        <fgColor indexed="45"/>
        <bgColor indexed="64"/>
      </patternFill>
    </fill>
    <fill>
      <patternFill patternType="solid">
        <fgColor theme="5" tint="0.79998"/>
        <bgColor indexed="64"/>
      </patternFill>
    </fill>
    <fill>
      <patternFill patternType="solid">
        <fgColor indexed="26"/>
        <bgColor indexed="64"/>
      </patternFill>
    </fill>
    <fill>
      <patternFill patternType="solid">
        <fgColor indexed="42"/>
        <bgColor indexed="64"/>
      </patternFill>
    </fill>
    <fill>
      <patternFill patternType="solid">
        <fgColor theme="6" tint="0.79998"/>
        <bgColor indexed="64"/>
      </patternFill>
    </fill>
    <fill>
      <patternFill patternType="solid">
        <fgColor indexed="46"/>
        <bgColor indexed="64"/>
      </patternFill>
    </fill>
    <fill>
      <patternFill patternType="solid">
        <fgColor theme="7" tint="0.79998"/>
        <bgColor indexed="64"/>
      </patternFill>
    </fill>
    <fill>
      <patternFill patternType="solid">
        <fgColor indexed="41"/>
        <bgColor indexed="64"/>
      </patternFill>
    </fill>
    <fill>
      <patternFill patternType="solid">
        <fgColor indexed="27"/>
        <bgColor indexed="64"/>
      </patternFill>
    </fill>
    <fill>
      <patternFill patternType="solid">
        <fgColor theme="8" tint="0.79998"/>
        <bgColor indexed="64"/>
      </patternFill>
    </fill>
    <fill>
      <patternFill patternType="solid">
        <fgColor theme="9" tint="0.79998"/>
        <bgColor indexed="64"/>
      </patternFill>
    </fill>
    <fill>
      <patternFill patternType="solid">
        <fgColor indexed="44"/>
        <bgColor indexed="64"/>
      </patternFill>
    </fill>
    <fill>
      <patternFill patternType="solid">
        <fgColor theme="4" tint="0.59999"/>
        <bgColor indexed="64"/>
      </patternFill>
    </fill>
    <fill>
      <patternFill patternType="solid">
        <fgColor indexed="29"/>
        <bgColor indexed="64"/>
      </patternFill>
    </fill>
    <fill>
      <patternFill patternType="solid">
        <fgColor theme="5" tint="0.59999"/>
        <bgColor indexed="64"/>
      </patternFill>
    </fill>
    <fill>
      <patternFill patternType="solid">
        <fgColor indexed="43"/>
        <bgColor indexed="64"/>
      </patternFill>
    </fill>
    <fill>
      <patternFill patternType="solid">
        <fgColor indexed="11"/>
        <bgColor indexed="64"/>
      </patternFill>
    </fill>
    <fill>
      <patternFill patternType="solid">
        <fgColor theme="6" tint="0.59999"/>
        <bgColor indexed="64"/>
      </patternFill>
    </fill>
    <fill>
      <patternFill patternType="solid">
        <fgColor theme="7" tint="0.59999"/>
        <bgColor indexed="64"/>
      </patternFill>
    </fill>
    <fill>
      <patternFill patternType="solid">
        <fgColor theme="8" tint="0.59999"/>
        <bgColor indexed="64"/>
      </patternFill>
    </fill>
    <fill>
      <patternFill patternType="solid">
        <fgColor indexed="51"/>
        <bgColor indexed="64"/>
      </patternFill>
    </fill>
    <fill>
      <patternFill patternType="solid">
        <fgColor theme="9" tint="0.59999"/>
        <bgColor indexed="64"/>
      </patternFill>
    </fill>
    <fill>
      <patternFill patternType="solid">
        <fgColor indexed="49"/>
        <bgColor indexed="64"/>
      </patternFill>
    </fill>
    <fill>
      <patternFill patternType="solid">
        <fgColor indexed="30"/>
        <bgColor indexed="64"/>
      </patternFill>
    </fill>
    <fill>
      <patternFill patternType="solid">
        <fgColor theme="4" tint="0.39998"/>
        <bgColor indexed="64"/>
      </patternFill>
    </fill>
    <fill>
      <patternFill patternType="solid">
        <fgColor theme="5" tint="0.39998"/>
        <bgColor indexed="64"/>
      </patternFill>
    </fill>
    <fill>
      <patternFill patternType="solid">
        <fgColor theme="6" tint="0.39998"/>
        <bgColor indexed="64"/>
      </patternFill>
    </fill>
    <fill>
      <patternFill patternType="solid">
        <fgColor indexed="36"/>
        <bgColor indexed="64"/>
      </patternFill>
    </fill>
    <fill>
      <patternFill patternType="solid">
        <fgColor theme="7" tint="0.39998"/>
        <bgColor indexed="64"/>
      </patternFill>
    </fill>
    <fill>
      <patternFill patternType="solid">
        <fgColor theme="8" tint="0.39998"/>
        <bgColor indexed="64"/>
      </patternFill>
    </fill>
    <fill>
      <patternFill patternType="solid">
        <fgColor indexed="52"/>
        <bgColor indexed="64"/>
      </patternFill>
    </fill>
    <fill>
      <patternFill patternType="solid">
        <fgColor theme="9" tint="0.39998"/>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indexed="39"/>
        <bgColor indexed="64"/>
      </patternFill>
    </fill>
    <fill>
      <patternFill patternType="solid">
        <fgColor indexed="38"/>
        <bgColor indexed="64"/>
      </patternFill>
    </fill>
    <fill>
      <patternFill patternType="solid">
        <fgColor indexed="13"/>
        <bgColor indexed="64"/>
      </patternFill>
    </fill>
    <fill>
      <patternFill patternType="lightGray">
        <fgColor indexed="38"/>
        <bgColor indexed="23"/>
      </patternFill>
    </fill>
    <fill>
      <patternFill patternType="solid">
        <fgColor rgb="FFFFEB9C"/>
        <bgColor indexed="64"/>
      </patternFill>
    </fill>
    <fill>
      <patternFill patternType="solid">
        <fgColor rgb="FFFFFF99"/>
        <bgColor indexed="64"/>
      </patternFill>
    </fill>
    <fill>
      <patternFill patternType="solid">
        <fgColor indexed="8"/>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78">
    <border>
      <left/>
      <right/>
      <top/>
      <bottom/>
      <diagonal/>
    </border>
    <border>
      <left style="medium">
        <color auto="1"/>
      </left>
      <right style="medium">
        <color auto="1"/>
      </right>
      <top style="medium">
        <color auto="1"/>
      </top>
      <bottom style="medium">
        <color auto="1"/>
      </bottom>
    </border>
    <border>
      <left/>
      <right/>
      <top/>
      <bottom style="medium">
        <color auto="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auto="1"/>
      </left>
      <right style="thin">
        <color auto="1"/>
      </right>
      <top style="thin">
        <color auto="1"/>
      </top>
      <bottom style="thin">
        <color auto="1"/>
      </bottom>
    </border>
    <border>
      <left/>
      <right/>
      <top/>
      <bottom style="thick">
        <color indexed="49"/>
      </bottom>
    </border>
    <border>
      <left/>
      <right/>
      <top/>
      <bottom style="thick">
        <color indexed="62"/>
      </bottom>
    </border>
    <border>
      <left/>
      <right/>
      <top/>
      <bottom style="thick">
        <color indexed="22"/>
      </bottom>
    </border>
    <border>
      <left/>
      <right/>
      <top/>
      <bottom style="thick">
        <color theme="4" tint="0.49998"/>
      </bottom>
    </border>
    <border>
      <left/>
      <right/>
      <top/>
      <bottom style="medium">
        <color indexed="49"/>
      </bottom>
    </border>
    <border>
      <left/>
      <right/>
      <top/>
      <bottom style="medium">
        <color indexed="30"/>
      </bottom>
    </border>
    <border>
      <left/>
      <right/>
      <top/>
      <bottom style="medium">
        <color theme="4" tint="0.39998"/>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right/>
      <top style="thin">
        <color indexed="49"/>
      </top>
      <bottom style="double">
        <color indexed="49"/>
      </bottom>
    </border>
    <border>
      <left/>
      <right/>
      <top style="thin">
        <color indexed="62"/>
      </top>
      <bottom style="double">
        <color indexed="62"/>
      </bottom>
    </border>
    <border>
      <left/>
      <right/>
      <top style="thin">
        <color theme="4"/>
      </top>
      <bottom style="double">
        <color theme="4"/>
      </bottom>
    </border>
    <border>
      <left/>
      <right/>
      <top/>
      <bottom style="thin">
        <color auto="1"/>
      </bottom>
    </border>
    <border>
      <left/>
      <right/>
      <top style="double">
        <color auto="1"/>
      </top>
      <bottom/>
    </border>
    <border>
      <left/>
      <right/>
      <top style="thin">
        <color auto="1"/>
      </top>
      <bottom/>
    </border>
    <border>
      <left/>
      <right/>
      <top/>
      <bottom style="hair">
        <color auto="1"/>
      </bottom>
    </border>
    <border>
      <left/>
      <right/>
      <top style="medium">
        <color auto="1"/>
      </top>
      <bottom style="medium">
        <color auto="1"/>
      </bottom>
    </border>
    <border>
      <left/>
      <right/>
      <top style="thin">
        <color auto="1"/>
      </top>
      <bottom style="thin">
        <color auto="1"/>
      </bottom>
    </border>
    <border>
      <left style="thin">
        <color auto="1"/>
      </left>
      <right/>
      <top/>
      <bottom/>
    </border>
    <border>
      <left style="thin">
        <color auto="1"/>
      </left>
      <right style="thin">
        <color auto="1"/>
      </right>
      <top/>
      <bottom/>
    </border>
    <border>
      <left/>
      <right style="thin">
        <color auto="1"/>
      </right>
      <top/>
      <bottom/>
    </border>
    <border>
      <left/>
      <right/>
      <top/>
      <bottom style="hair">
        <color indexed="20"/>
      </bottom>
    </border>
    <border>
      <left/>
      <right/>
      <top/>
      <bottom style="thick">
        <color theme="4"/>
      </bottom>
    </border>
    <border>
      <left/>
      <right/>
      <top/>
      <bottom style="double">
        <color rgb="FFFF8001"/>
      </bottom>
    </border>
    <border>
      <left/>
      <right style="medium">
        <color auto="1"/>
      </right>
      <top/>
      <bottom/>
    </border>
    <border>
      <left style="medium">
        <color auto="1"/>
      </left>
      <right/>
      <top/>
      <bottom/>
    </border>
    <border>
      <left/>
      <right style="medium">
        <color auto="1"/>
      </right>
      <top/>
      <bottom style="medium">
        <color auto="1"/>
      </bottom>
    </border>
    <border>
      <left style="medium">
        <color auto="1"/>
      </left>
      <right/>
      <top style="medium">
        <color auto="1"/>
      </top>
      <bottom style="medium">
        <color auto="1"/>
      </bottom>
    </border>
    <border>
      <left style="medium">
        <color auto="1"/>
      </left>
      <right/>
      <top style="medium">
        <color auto="1"/>
      </top>
      <bottom/>
    </border>
    <border>
      <left/>
      <right/>
      <top style="medium">
        <color auto="1"/>
      </top>
      <bottom/>
    </border>
    <border>
      <left/>
      <right style="medium">
        <color auto="1"/>
      </right>
      <top style="medium">
        <color auto="1"/>
      </top>
      <bottom/>
    </border>
    <border>
      <left/>
      <right style="medium">
        <color auto="1"/>
      </right>
      <top style="medium">
        <color auto="1"/>
      </top>
      <bottom style="medium">
        <color auto="1"/>
      </bottom>
    </border>
    <border>
      <left style="medium">
        <color auto="1"/>
      </left>
      <right/>
      <top/>
      <bottom style="medium">
        <color auto="1"/>
      </bottom>
    </border>
    <border>
      <left style="thin">
        <color auto="1"/>
      </left>
      <right style="medium">
        <color auto="1"/>
      </right>
      <top/>
      <bottom style="thin">
        <color auto="1"/>
      </bottom>
    </border>
    <border>
      <left style="medium">
        <color auto="1"/>
      </left>
      <right/>
      <top style="thin">
        <color auto="1"/>
      </top>
      <bottom style="thin">
        <color auto="1"/>
      </bottom>
    </border>
    <border>
      <left style="thin">
        <color auto="1"/>
      </left>
      <right style="medium">
        <color auto="1"/>
      </right>
      <top style="thin">
        <color auto="1"/>
      </top>
      <bottom style="thin">
        <color auto="1"/>
      </bottom>
    </border>
    <border>
      <left style="medium">
        <color auto="1"/>
      </left>
      <right/>
      <top style="medium">
        <color auto="1"/>
      </top>
      <bottom style="thin">
        <color auto="1"/>
      </bottom>
    </border>
    <border>
      <left style="thin">
        <color auto="1"/>
      </left>
      <right style="medium">
        <color auto="1"/>
      </right>
      <top style="medium">
        <color auto="1"/>
      </top>
      <bottom style="thin">
        <color auto="1"/>
      </bottom>
    </border>
    <border>
      <left style="medium">
        <color auto="1"/>
      </left>
      <right style="medium">
        <color auto="1"/>
      </right>
      <top style="medium">
        <color auto="1"/>
      </top>
      <bottom/>
    </border>
    <border>
      <left style="medium">
        <color auto="1"/>
      </left>
      <right style="medium">
        <color auto="1"/>
      </right>
      <top/>
      <bottom/>
    </border>
    <border>
      <left/>
      <right/>
      <top style="thin">
        <color auto="1"/>
      </top>
      <bottom style="medium">
        <color auto="1"/>
      </bottom>
    </border>
    <border>
      <left/>
      <right/>
      <top style="thin">
        <color auto="1"/>
      </top>
      <bottom style="double">
        <color auto="1"/>
      </bottom>
    </border>
    <border>
      <left style="thin">
        <color auto="1"/>
      </left>
      <right style="medium">
        <color auto="1"/>
      </right>
      <top style="thin">
        <color auto="1"/>
      </top>
      <bottom style="medium">
        <color auto="1"/>
      </bottom>
    </border>
    <border>
      <left style="medium">
        <color auto="1"/>
      </left>
      <right/>
      <top style="thin">
        <color auto="1"/>
      </top>
      <bottom style="medium">
        <color auto="1"/>
      </bottom>
    </border>
    <border>
      <left style="medium">
        <color auto="1"/>
      </left>
      <right style="thin">
        <color auto="1"/>
      </right>
      <top style="thin">
        <color auto="1"/>
      </top>
      <bottom style="thin">
        <color auto="1"/>
      </bottom>
    </border>
    <border>
      <left style="medium">
        <color auto="1"/>
      </left>
      <right style="thin">
        <color auto="1"/>
      </right>
      <top style="medium">
        <color auto="1"/>
      </top>
      <bottom style="thin">
        <color auto="1"/>
      </bottom>
    </border>
    <border>
      <left style="medium">
        <color auto="1"/>
      </left>
      <right style="thin">
        <color auto="1"/>
      </right>
      <top/>
      <bottom style="thin">
        <color auto="1"/>
      </bottom>
    </border>
    <border>
      <left style="medium">
        <color auto="1"/>
      </left>
      <right style="medium">
        <color auto="1"/>
      </right>
      <top/>
      <bottom style="medium">
        <color auto="1"/>
      </bottom>
    </border>
    <border>
      <left style="medium">
        <color auto="1"/>
      </left>
      <right/>
      <top style="thin">
        <color auto="1"/>
      </top>
      <bottom/>
    </border>
    <border>
      <left style="thin">
        <color auto="1"/>
      </left>
      <right style="medium">
        <color auto="1"/>
      </right>
      <top style="thin">
        <color auto="1"/>
      </top>
      <bottom/>
    </border>
    <border>
      <left style="thin">
        <color auto="1"/>
      </left>
      <right style="thin">
        <color auto="1"/>
      </right>
      <top style="thin">
        <color auto="1"/>
      </top>
      <bottom/>
    </border>
    <border>
      <left style="thin">
        <color auto="1"/>
      </left>
      <right style="thin">
        <color auto="1"/>
      </right>
      <top/>
      <bottom style="thin">
        <color auto="1"/>
      </bottom>
    </border>
    <border>
      <left/>
      <right style="thin">
        <color auto="1"/>
      </right>
      <top style="medium">
        <color auto="1"/>
      </top>
      <bottom/>
    </border>
    <border>
      <left/>
      <right style="thin">
        <color auto="1"/>
      </right>
      <top style="medium">
        <color auto="1"/>
      </top>
      <bottom style="thin">
        <color auto="1"/>
      </bottom>
    </border>
    <border>
      <left style="thin">
        <color auto="1"/>
      </left>
      <right style="thin">
        <color auto="1"/>
      </right>
      <top style="medium">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style="medium">
        <color auto="1"/>
      </bottom>
    </border>
    <border>
      <left style="thin">
        <color auto="1"/>
      </left>
      <right/>
      <top style="thin">
        <color auto="1"/>
      </top>
      <bottom style="thin">
        <color auto="1"/>
      </bottom>
    </border>
    <border>
      <left style="thin">
        <color auto="1"/>
      </left>
      <right/>
      <top style="thin">
        <color auto="1"/>
      </top>
      <bottom/>
    </border>
    <border>
      <left/>
      <right style="thin">
        <color auto="1"/>
      </right>
      <top/>
      <bottom style="medium">
        <color auto="1"/>
      </bottom>
    </border>
    <border>
      <left style="thin">
        <color auto="1"/>
      </left>
      <right/>
      <top/>
      <bottom style="thin">
        <color auto="1"/>
      </bottom>
    </border>
    <border>
      <left style="thin">
        <color auto="1"/>
      </left>
      <right/>
      <top style="medium">
        <color auto="1"/>
      </top>
      <bottom style="thin">
        <color auto="1"/>
      </bottom>
    </border>
    <border>
      <left/>
      <right style="thin">
        <color auto="1"/>
      </right>
      <top style="thin">
        <color auto="1"/>
      </top>
      <bottom/>
    </border>
    <border>
      <left/>
      <right style="medium">
        <color auto="1"/>
      </right>
      <top style="thin">
        <color auto="1"/>
      </top>
      <bottom/>
    </border>
    <border>
      <left/>
      <right style="medium">
        <color auto="1"/>
      </right>
      <top style="thin">
        <color auto="1"/>
      </top>
      <bottom style="medium">
        <color auto="1"/>
      </bottom>
    </border>
  </borders>
  <cellStyleXfs count="103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1">
      <alignment/>
      <protection/>
    </xf>
    <xf numFmtId="44" fontId="0" fillId="0" borderId="0" applyFont="0" applyFill="0" applyBorder="0" applyAlignment="0" applyProtection="0"/>
    <xf numFmtId="175" fontId="36" fillId="0" borderId="0" applyFont="0" applyFill="0" applyBorder="0" applyAlignment="0" applyProtection="0"/>
    <xf numFmtId="9" fontId="0" fillId="0" borderId="0" applyFont="0" applyFill="0" applyBorder="0" applyAlignment="0" applyProtection="0"/>
    <xf numFmtId="0" fontId="16" fillId="0" borderId="0" applyNumberFormat="0" applyFont="0" applyFill="0" applyBorder="0" applyProtection="0">
      <alignment/>
    </xf>
    <xf numFmtId="15" fontId="16" fillId="0" borderId="0" applyFont="0" applyFill="0" applyBorder="0" applyAlignment="0" applyProtection="0"/>
    <xf numFmtId="4" fontId="16" fillId="0" borderId="0" applyFont="0" applyFill="0" applyBorder="0" applyAlignment="0" applyProtection="0"/>
    <xf numFmtId="0" fontId="17" fillId="0" borderId="2">
      <alignment horizontal="center"/>
      <protection/>
    </xf>
    <xf numFmtId="3" fontId="16" fillId="0" borderId="0" applyFont="0" applyFill="0" applyBorder="0" applyAlignment="0" applyProtection="0"/>
    <xf numFmtId="0" fontId="16" fillId="2" borderId="0" applyNumberFormat="0" applyFont="0" applyBorder="0" applyAlignment="0" applyProtection="0"/>
    <xf numFmtId="0" fontId="9" fillId="3" borderId="0">
      <alignment/>
      <protection/>
    </xf>
    <xf numFmtId="0" fontId="0" fillId="4" borderId="1" applyNumberFormat="0" applyFont="0" applyAlignment="0">
      <protection/>
    </xf>
    <xf numFmtId="44" fontId="40" fillId="0" borderId="0" applyFont="0" applyFill="0" applyBorder="0" applyAlignment="0" applyProtection="0"/>
    <xf numFmtId="0" fontId="0" fillId="0" borderId="0">
      <alignment/>
      <protection/>
    </xf>
    <xf numFmtId="43" fontId="0" fillId="0" borderId="0" applyFont="0" applyFill="0" applyBorder="0" applyAlignment="0" applyProtection="0"/>
    <xf numFmtId="0" fontId="2" fillId="0" borderId="0">
      <alignment/>
      <protection/>
    </xf>
    <xf numFmtId="43" fontId="40" fillId="0" borderId="0" applyFont="0" applyFill="0" applyBorder="0" applyAlignment="0" applyProtection="0"/>
    <xf numFmtId="0" fontId="0" fillId="0" borderId="0">
      <alignment/>
      <protection/>
    </xf>
    <xf numFmtId="43" fontId="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3"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43" fontId="40" fillId="0" borderId="0" applyFont="0" applyFill="0" applyBorder="0" applyAlignment="0" applyProtection="0"/>
    <xf numFmtId="43" fontId="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5" borderId="0" applyNumberFormat="0" applyBorder="0" applyAlignment="0" applyProtection="0"/>
    <xf numFmtId="0" fontId="40" fillId="6" borderId="0" applyNumberFormat="0" applyBorder="0" applyAlignment="0" applyProtection="0"/>
    <xf numFmtId="0" fontId="2" fillId="7"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2" fillId="7"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2" fillId="1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2" fillId="10"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2" fillId="13"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2"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5" borderId="0" applyNumberFormat="0" applyBorder="0" applyAlignment="0" applyProtection="0"/>
    <xf numFmtId="0" fontId="40" fillId="14" borderId="0" applyNumberFormat="0" applyBorder="0" applyAlignment="0" applyProtection="0"/>
    <xf numFmtId="0" fontId="2"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2" fillId="1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2" fillId="18"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2" fillId="18"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8" borderId="0" applyNumberFormat="0" applyBorder="0" applyAlignment="0" applyProtection="0"/>
    <xf numFmtId="0" fontId="40" fillId="4" borderId="0" applyNumberFormat="0" applyBorder="0" applyAlignment="0" applyProtection="0"/>
    <xf numFmtId="0" fontId="40" fillId="20" borderId="0" applyNumberFormat="0" applyBorder="0" applyAlignment="0" applyProtection="0"/>
    <xf numFmtId="0" fontId="2" fillId="21"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2" fillId="21"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22"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2" fillId="26"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2" fillId="26"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4" borderId="0" applyNumberFormat="0" applyBorder="0" applyAlignment="0" applyProtection="0"/>
    <xf numFmtId="0" fontId="40" fillId="14" borderId="0" applyNumberFormat="0" applyBorder="0" applyAlignment="0" applyProtection="0"/>
    <xf numFmtId="0" fontId="2" fillId="27"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2" fillId="27"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2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0" fillId="20" borderId="0" applyNumberFormat="0" applyBorder="0" applyAlignment="0" applyProtection="0"/>
    <xf numFmtId="0" fontId="40" fillId="8" borderId="0" applyNumberFormat="0" applyBorder="0" applyAlignment="0" applyProtection="0"/>
    <xf numFmtId="0" fontId="40" fillId="29" borderId="0" applyNumberFormat="0" applyBorder="0" applyAlignment="0" applyProtection="0"/>
    <xf numFmtId="0" fontId="2" fillId="30"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2" fillId="30"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6" fillId="33" borderId="0" applyNumberFormat="0" applyBorder="0" applyAlignment="0" applyProtection="0"/>
    <xf numFmtId="0" fontId="57" fillId="31" borderId="0" applyNumberFormat="0" applyBorder="0" applyAlignment="0" applyProtection="0"/>
    <xf numFmtId="0" fontId="57" fillId="22" borderId="0" applyNumberFormat="0" applyBorder="0" applyAlignment="0" applyProtection="0"/>
    <xf numFmtId="0" fontId="56" fillId="34" borderId="0" applyNumberFormat="0" applyBorder="0" applyAlignment="0" applyProtection="0"/>
    <xf numFmtId="0" fontId="57" fillId="22"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6" fillId="35" borderId="0" applyNumberFormat="0" applyBorder="0" applyAlignment="0" applyProtection="0"/>
    <xf numFmtId="0" fontId="57" fillId="24" borderId="0" applyNumberFormat="0" applyBorder="0" applyAlignment="0" applyProtection="0"/>
    <xf numFmtId="0" fontId="57" fillId="4" borderId="0" applyNumberFormat="0" applyBorder="0" applyAlignment="0" applyProtection="0"/>
    <xf numFmtId="0" fontId="57" fillId="36" borderId="0" applyNumberFormat="0" applyBorder="0" applyAlignment="0" applyProtection="0"/>
    <xf numFmtId="0" fontId="56" fillId="37" borderId="0" applyNumberFormat="0" applyBorder="0" applyAlignment="0" applyProtection="0"/>
    <xf numFmtId="0" fontId="57" fillId="4" borderId="0" applyNumberFormat="0" applyBorder="0" applyAlignment="0" applyProtection="0"/>
    <xf numFmtId="0" fontId="57" fillId="31" borderId="0" applyNumberFormat="0" applyBorder="0" applyAlignment="0" applyProtection="0"/>
    <xf numFmtId="0" fontId="56" fillId="38" borderId="0" applyNumberFormat="0" applyBorder="0" applyAlignment="0" applyProtection="0"/>
    <xf numFmtId="0" fontId="57" fillId="31" borderId="0" applyNumberFormat="0" applyBorder="0" applyAlignment="0" applyProtection="0"/>
    <xf numFmtId="0" fontId="57" fillId="8" borderId="0" applyNumberFormat="0" applyBorder="0" applyAlignment="0" applyProtection="0"/>
    <xf numFmtId="0" fontId="57" fillId="39" borderId="0" applyNumberFormat="0" applyBorder="0" applyAlignment="0" applyProtection="0"/>
    <xf numFmtId="0" fontId="56" fillId="40" borderId="0" applyNumberFormat="0" applyBorder="0" applyAlignment="0" applyProtection="0"/>
    <xf numFmtId="0" fontId="57" fillId="8" borderId="0" applyNumberFormat="0" applyBorder="0" applyAlignment="0" applyProtection="0"/>
    <xf numFmtId="0" fontId="57" fillId="31" borderId="0" applyNumberFormat="0" applyBorder="0" applyAlignment="0" applyProtection="0"/>
    <xf numFmtId="0" fontId="57" fillId="41" borderId="0" applyNumberFormat="0" applyBorder="0" applyAlignment="0" applyProtection="0"/>
    <xf numFmtId="0" fontId="56" fillId="42" borderId="0" applyNumberFormat="0" applyBorder="0" applyAlignment="0" applyProtection="0"/>
    <xf numFmtId="0" fontId="57" fillId="31" borderId="0" applyNumberFormat="0" applyBorder="0" applyAlignment="0" applyProtection="0"/>
    <xf numFmtId="0" fontId="57" fillId="43" borderId="0" applyNumberFormat="0" applyBorder="0" applyAlignment="0" applyProtection="0"/>
    <xf numFmtId="0" fontId="56" fillId="44" borderId="0" applyNumberFormat="0" applyBorder="0" applyAlignment="0" applyProtection="0"/>
    <xf numFmtId="0" fontId="57" fillId="43" borderId="0" applyNumberFormat="0" applyBorder="0" applyAlignment="0" applyProtection="0"/>
    <xf numFmtId="0" fontId="57" fillId="45" borderId="0" applyNumberFormat="0" applyBorder="0" applyAlignment="0" applyProtection="0"/>
    <xf numFmtId="0" fontId="56" fillId="46" borderId="0" applyNumberFormat="0" applyBorder="0" applyAlignment="0" applyProtection="0"/>
    <xf numFmtId="0" fontId="57" fillId="45" borderId="0" applyNumberFormat="0" applyBorder="0" applyAlignment="0" applyProtection="0"/>
    <xf numFmtId="0" fontId="57" fillId="47" borderId="0" applyNumberFormat="0" applyBorder="0" applyAlignment="0" applyProtection="0"/>
    <xf numFmtId="0" fontId="57" fillId="36" borderId="0" applyNumberFormat="0" applyBorder="0" applyAlignment="0" applyProtection="0"/>
    <xf numFmtId="0" fontId="56" fillId="48" borderId="0" applyNumberFormat="0" applyBorder="0" applyAlignment="0" applyProtection="0"/>
    <xf numFmtId="0" fontId="57" fillId="47" borderId="0" applyNumberFormat="0" applyBorder="0" applyAlignment="0" applyProtection="0"/>
    <xf numFmtId="0" fontId="57" fillId="31" borderId="0" applyNumberFormat="0" applyBorder="0" applyAlignment="0" applyProtection="0"/>
    <xf numFmtId="0" fontId="56" fillId="49" borderId="0" applyNumberFormat="0" applyBorder="0" applyAlignment="0" applyProtection="0"/>
    <xf numFmtId="0" fontId="57" fillId="31" borderId="0" applyNumberFormat="0" applyBorder="0" applyAlignment="0" applyProtection="0"/>
    <xf numFmtId="0" fontId="57" fillId="50" borderId="0" applyNumberFormat="0" applyBorder="0" applyAlignment="0" applyProtection="0"/>
    <xf numFmtId="0" fontId="56" fillId="51" borderId="0" applyNumberFormat="0" applyBorder="0" applyAlignment="0" applyProtection="0"/>
    <xf numFmtId="0" fontId="57" fillId="50" borderId="0" applyNumberFormat="0" applyBorder="0" applyAlignment="0" applyProtection="0"/>
    <xf numFmtId="0" fontId="58" fillId="9" borderId="0" applyNumberFormat="0" applyBorder="0" applyAlignment="0" applyProtection="0"/>
    <xf numFmtId="0" fontId="48" fillId="52" borderId="0" applyNumberFormat="0" applyBorder="0" applyAlignment="0" applyProtection="0"/>
    <xf numFmtId="0" fontId="58" fillId="9" borderId="0" applyNumberFormat="0" applyBorder="0" applyAlignment="0" applyProtection="0"/>
    <xf numFmtId="0" fontId="59" fillId="5" borderId="3" applyNumberFormat="0" applyAlignment="0" applyProtection="0"/>
    <xf numFmtId="0" fontId="59" fillId="4" borderId="3" applyNumberFormat="0" applyAlignment="0" applyProtection="0"/>
    <xf numFmtId="0" fontId="51" fillId="53" borderId="4" applyNumberFormat="0" applyAlignment="0" applyProtection="0"/>
    <xf numFmtId="0" fontId="59" fillId="5" borderId="3" applyNumberFormat="0" applyAlignment="0" applyProtection="0"/>
    <xf numFmtId="0" fontId="60" fillId="54" borderId="5" applyNumberFormat="0" applyAlignment="0" applyProtection="0"/>
    <xf numFmtId="0" fontId="52" fillId="55" borderId="6" applyNumberFormat="0" applyAlignment="0" applyProtection="0"/>
    <xf numFmtId="0" fontId="60" fillId="54" borderId="5" applyNumberFormat="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4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40" fillId="0" borderId="0" applyFont="0" applyFill="0" applyBorder="0" applyAlignment="0" applyProtection="0"/>
    <xf numFmtId="44" fontId="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5" fontId="0" fillId="0" borderId="0" applyFill="0" applyBorder="0" applyAlignment="0" applyProtection="0"/>
    <xf numFmtId="178" fontId="0" fillId="0" borderId="0" applyFill="0" applyBorder="0" applyAlignment="0" applyProtection="0"/>
    <xf numFmtId="179" fontId="14" fillId="0" borderId="7">
      <alignment horizontal="center" vertical="center" wrapText="1"/>
      <protection/>
    </xf>
    <xf numFmtId="0" fontId="63" fillId="0" borderId="0" applyNumberFormat="0" applyFill="0" applyBorder="0" applyAlignment="0" applyProtection="0"/>
    <xf numFmtId="0" fontId="54" fillId="0" borderId="0" applyNumberFormat="0" applyFill="0" applyBorder="0" applyAlignment="0" applyProtection="0"/>
    <xf numFmtId="0" fontId="63" fillId="0" borderId="0" applyNumberFormat="0" applyFill="0" applyBorder="0" applyAlignment="0" applyProtection="0"/>
    <xf numFmtId="2" fontId="0" fillId="0" borderId="0" applyFill="0" applyBorder="0" applyAlignment="0" applyProtection="0"/>
    <xf numFmtId="0" fontId="64" fillId="12" borderId="0" applyNumberFormat="0" applyBorder="0" applyAlignment="0" applyProtection="0"/>
    <xf numFmtId="0" fontId="47" fillId="56" borderId="0" applyNumberFormat="0" applyBorder="0" applyAlignment="0" applyProtection="0"/>
    <xf numFmtId="0" fontId="64" fillId="12" borderId="0" applyNumberFormat="0" applyBorder="0" applyAlignment="0" applyProtection="0"/>
    <xf numFmtId="0" fontId="44" fillId="4" borderId="7">
      <alignment horizontal="center" vertical="top" wrapText="1"/>
      <protection/>
    </xf>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8" fillId="0" borderId="10" applyNumberFormat="0" applyFill="0" applyAlignment="0" applyProtection="0"/>
    <xf numFmtId="0" fontId="45" fillId="0" borderId="11" applyNumberFormat="0" applyFill="0" applyAlignment="0" applyProtection="0"/>
    <xf numFmtId="0" fontId="67" fillId="0" borderId="10" applyNumberFormat="0" applyFill="0" applyAlignment="0" applyProtection="0"/>
    <xf numFmtId="0" fontId="69" fillId="0" borderId="12" applyNumberFormat="0" applyFill="0" applyAlignment="0" applyProtection="0"/>
    <xf numFmtId="0" fontId="70" fillId="0" borderId="13" applyNumberFormat="0" applyFill="0" applyAlignment="0" applyProtection="0"/>
    <xf numFmtId="0" fontId="46" fillId="0" borderId="14" applyNumberFormat="0" applyFill="0" applyAlignment="0" applyProtection="0"/>
    <xf numFmtId="0" fontId="69" fillId="0" borderId="12"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lignment/>
      <protection locked="0"/>
    </xf>
    <xf numFmtId="0" fontId="72" fillId="8" borderId="3" applyNumberFormat="0" applyAlignment="0" applyProtection="0"/>
    <xf numFmtId="0" fontId="49" fillId="57" borderId="4" applyNumberFormat="0" applyAlignment="0" applyProtection="0"/>
    <xf numFmtId="0" fontId="72" fillId="8" borderId="3" applyNumberFormat="0" applyAlignment="0" applyProtection="0"/>
    <xf numFmtId="0" fontId="73" fillId="0" borderId="15" applyNumberFormat="0" applyFill="0" applyAlignment="0" applyProtection="0"/>
    <xf numFmtId="0" fontId="0" fillId="0" borderId="0" applyFont="0" applyFill="0" applyBorder="0" applyAlignment="0" applyProtection="0"/>
    <xf numFmtId="0" fontId="74" fillId="24" borderId="0" applyNumberFormat="0" applyBorder="0" applyAlignment="0" applyProtection="0"/>
    <xf numFmtId="180" fontId="7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0" fillId="0" borderId="0">
      <alignment/>
      <protection/>
    </xf>
    <xf numFmtId="0" fontId="2"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5" fontId="14" fillId="0" borderId="7">
      <alignment horizontal="right" vertical="center"/>
      <protection/>
    </xf>
    <xf numFmtId="0" fontId="14" fillId="0" borderId="7">
      <alignment horizontal="left" vertical="center" wrapText="1"/>
      <protection/>
    </xf>
    <xf numFmtId="1" fontId="44" fillId="4" borderId="7">
      <alignment horizontal="center" vertical="center" wrapText="1"/>
      <protection/>
    </xf>
    <xf numFmtId="0" fontId="0" fillId="11" borderId="16"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40" fillId="58" borderId="17" applyNumberFormat="0" applyFont="0" applyAlignment="0" applyProtection="0"/>
    <xf numFmtId="0" fontId="2" fillId="58" borderId="17" applyNumberFormat="0" applyFont="0" applyAlignment="0" applyProtection="0"/>
    <xf numFmtId="0" fontId="0" fillId="11" borderId="16" applyNumberFormat="0" applyFont="0" applyAlignment="0" applyProtection="0"/>
    <xf numFmtId="0" fontId="0" fillId="11" borderId="16" applyNumberFormat="0" applyFont="0" applyAlignment="0" applyProtection="0"/>
    <xf numFmtId="0" fontId="0" fillId="11" borderId="16" applyNumberFormat="0" applyFont="0" applyAlignment="0" applyProtection="0"/>
    <xf numFmtId="0" fontId="76" fillId="5" borderId="18" applyNumberFormat="0" applyAlignment="0" applyProtection="0"/>
    <xf numFmtId="0" fontId="76" fillId="4" borderId="18" applyNumberFormat="0" applyAlignment="0" applyProtection="0"/>
    <xf numFmtId="0" fontId="50" fillId="53" borderId="19" applyNumberFormat="0" applyAlignment="0" applyProtection="0"/>
    <xf numFmtId="0" fontId="76" fillId="5" borderId="1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7" fillId="0" borderId="0">
      <alignment wrapText="1"/>
      <protection/>
    </xf>
    <xf numFmtId="0" fontId="78" fillId="24" borderId="20" applyNumberFormat="0" applyProtection="0">
      <alignment vertical="center"/>
    </xf>
    <xf numFmtId="0" fontId="79" fillId="24" borderId="18" applyNumberFormat="0" applyProtection="0">
      <alignment horizontal="left" vertical="center" indent="1"/>
    </xf>
    <xf numFmtId="0" fontId="79" fillId="24"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4" borderId="18" applyNumberFormat="0" applyProtection="0">
      <alignment horizontal="left" vertical="center" indent="1"/>
    </xf>
    <xf numFmtId="0" fontId="0" fillId="4" borderId="18" applyNumberFormat="0" applyProtection="0">
      <alignment horizontal="left" vertical="center" indent="1"/>
    </xf>
    <xf numFmtId="0" fontId="80" fillId="16" borderId="20" applyNumberFormat="0" applyProtection="0">
      <alignment horizontal="right" vertical="center"/>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0" fillId="6" borderId="18" applyNumberFormat="0" applyProtection="0">
      <alignment horizontal="left" vertical="center" indent="1"/>
    </xf>
    <xf numFmtId="0" fontId="81" fillId="0" borderId="0" applyNumberFormat="0" applyFill="0" applyBorder="0" applyAlignment="0" applyProtection="0"/>
    <xf numFmtId="0" fontId="82" fillId="0" borderId="21">
      <alignment horizontal="center" vertical="center" wrapText="1"/>
      <protection/>
    </xf>
    <xf numFmtId="0" fontId="83" fillId="0" borderId="0" applyNumberFormat="0" applyFill="0" applyBorder="0" applyAlignment="0" applyProtection="0"/>
    <xf numFmtId="0" fontId="84" fillId="0" borderId="0" applyNumberFormat="0" applyFill="0" applyBorder="0" applyAlignment="0" applyProtection="0"/>
    <xf numFmtId="0" fontId="85" fillId="0" borderId="22" applyNumberFormat="0" applyFill="0" applyAlignment="0" applyProtection="0"/>
    <xf numFmtId="0" fontId="85" fillId="0" borderId="23" applyNumberFormat="0" applyFill="0" applyAlignment="0" applyProtection="0"/>
    <xf numFmtId="0" fontId="55" fillId="0" borderId="24" applyNumberFormat="0" applyFill="0" applyAlignment="0" applyProtection="0"/>
    <xf numFmtId="0" fontId="85" fillId="0" borderId="22" applyNumberFormat="0" applyFill="0" applyAlignment="0" applyProtection="0"/>
    <xf numFmtId="0" fontId="86" fillId="0" borderId="0" applyNumberFormat="0" applyFill="0" applyBorder="0" applyAlignment="0" applyProtection="0"/>
    <xf numFmtId="0" fontId="53" fillId="0" borderId="0" applyNumberFormat="0" applyFill="0" applyBorder="0" applyAlignment="0" applyProtection="0"/>
    <xf numFmtId="0" fontId="86" fillId="0" borderId="0" applyNumberFormat="0" applyFill="0" applyBorder="0" applyAlignment="0" applyProtection="0"/>
    <xf numFmtId="0" fontId="0" fillId="0" borderId="0">
      <alignment/>
      <protection/>
    </xf>
    <xf numFmtId="0" fontId="0"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9" fontId="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0"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43" fontId="40" fillId="0" borderId="0" applyFont="0" applyFill="0" applyBorder="0" applyAlignment="0" applyProtection="0"/>
    <xf numFmtId="0" fontId="0"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0"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2" fillId="0" borderId="0">
      <alignment/>
      <protection/>
    </xf>
    <xf numFmtId="169" fontId="8" fillId="0" borderId="0" applyProtection="0">
      <alignment/>
    </xf>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16" fillId="0" borderId="0" applyFont="0" applyFill="0" applyBorder="0" applyAlignment="0" applyProtection="0"/>
    <xf numFmtId="0" fontId="2" fillId="0" borderId="0">
      <alignment/>
      <protection/>
    </xf>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0" fillId="0" borderId="0" applyFont="0" applyFill="0" applyBorder="0" applyAlignment="0" applyProtection="0"/>
    <xf numFmtId="43" fontId="2" fillId="0" borderId="0" applyFont="0" applyFill="0" applyBorder="0" applyAlignment="0" applyProtection="0"/>
    <xf numFmtId="0" fontId="2" fillId="0" borderId="0">
      <alignment/>
      <protection/>
    </xf>
    <xf numFmtId="44" fontId="2"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41" fontId="0" fillId="0" borderId="0" applyFont="0" applyFill="0" applyBorder="0" applyAlignment="0" applyProtection="0"/>
    <xf numFmtId="0" fontId="2" fillId="0" borderId="0">
      <alignment/>
      <protection/>
    </xf>
    <xf numFmtId="44" fontId="2" fillId="0" borderId="0" applyFont="0" applyFill="0" applyBorder="0" applyAlignment="0" applyProtection="0"/>
    <xf numFmtId="43" fontId="0" fillId="0" borderId="0" applyFont="0" applyFill="0" applyBorder="0" applyAlignment="0" applyProtection="0"/>
    <xf numFmtId="0" fontId="0" fillId="0" borderId="0">
      <alignment/>
      <protection/>
    </xf>
    <xf numFmtId="0" fontId="2" fillId="0" borderId="0">
      <alignment/>
      <protection/>
    </xf>
    <xf numFmtId="43" fontId="2" fillId="0" borderId="0" applyFont="0" applyFill="0" applyBorder="0" applyAlignment="0" applyProtection="0"/>
    <xf numFmtId="41"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8" fillId="0" borderId="0" applyFont="0" applyFill="0" applyBorder="0" applyAlignment="0" applyProtection="0"/>
    <xf numFmtId="9" fontId="2" fillId="0" borderId="0" applyFont="0" applyFill="0" applyBorder="0" applyAlignment="0" applyProtection="0"/>
    <xf numFmtId="169" fontId="8" fillId="0" borderId="0" applyProtection="0">
      <alignment/>
    </xf>
    <xf numFmtId="0" fontId="5" fillId="0" borderId="0">
      <alignment vertical="top"/>
      <protection/>
    </xf>
    <xf numFmtId="44" fontId="2" fillId="0" borderId="0" applyFont="0" applyFill="0" applyBorder="0" applyAlignment="0" applyProtection="0"/>
    <xf numFmtId="0" fontId="2" fillId="0" borderId="0">
      <alignment/>
      <protection/>
    </xf>
    <xf numFmtId="169" fontId="8" fillId="0" borderId="0" applyProtection="0">
      <alignment/>
    </xf>
    <xf numFmtId="43" fontId="8" fillId="0" borderId="0" applyFont="0" applyFill="0" applyBorder="0" applyAlignment="0" applyProtection="0"/>
    <xf numFmtId="43" fontId="8" fillId="0" borderId="0" applyFont="0" applyFill="0" applyBorder="0" applyAlignment="0" applyProtection="0"/>
    <xf numFmtId="169" fontId="8" fillId="0" borderId="0" applyProtection="0">
      <alignment/>
    </xf>
    <xf numFmtId="43" fontId="8" fillId="0" borderId="0" applyFont="0" applyFill="0" applyBorder="0" applyAlignment="0" applyProtection="0"/>
    <xf numFmtId="169" fontId="8" fillId="0" borderId="0" applyProtection="0">
      <alignment/>
    </xf>
    <xf numFmtId="169" fontId="8" fillId="0" borderId="0" applyProtection="0">
      <alignment/>
    </xf>
    <xf numFmtId="0" fontId="0" fillId="0" borderId="0">
      <alignment/>
      <protection/>
    </xf>
    <xf numFmtId="188" fontId="118" fillId="0" borderId="0" applyFont="0" applyFill="0" applyBorder="0" applyAlignment="0" applyProtection="0"/>
    <xf numFmtId="189" fontId="118" fillId="0" borderId="0" applyFont="0" applyFill="0" applyBorder="0" applyAlignment="0" applyProtection="0"/>
    <xf numFmtId="190" fontId="118" fillId="0" borderId="0" applyFont="0" applyFill="0" applyBorder="0" applyAlignment="0" applyProtection="0"/>
    <xf numFmtId="191" fontId="118" fillId="0" borderId="0" applyFont="0" applyFill="0" applyBorder="0" applyAlignment="0" applyProtection="0"/>
    <xf numFmtId="192" fontId="118" fillId="0" borderId="0" applyFont="0" applyFill="0" applyBorder="0" applyAlignment="0" applyProtection="0"/>
    <xf numFmtId="193" fontId="118" fillId="0" borderId="0" applyFont="0" applyFill="0" applyBorder="0" applyAlignment="0" applyProtection="0"/>
    <xf numFmtId="0" fontId="14" fillId="0" borderId="0">
      <alignment/>
      <protection/>
    </xf>
    <xf numFmtId="0" fontId="0" fillId="50" borderId="0" applyNumberFormat="0" applyFill="0" applyBorder="0" applyProtection="0">
      <alignment/>
    </xf>
    <xf numFmtId="0" fontId="114" fillId="0" borderId="0" applyNumberFormat="0" applyFill="0" applyBorder="0" applyAlignment="0" applyProtection="0"/>
    <xf numFmtId="0" fontId="0" fillId="0" borderId="25" applyNumberFormat="0" applyFont="0" applyFill="0" applyAlignment="0" applyProtection="0"/>
    <xf numFmtId="195" fontId="113" fillId="0" borderId="0" applyFont="0" applyFill="0" applyBorder="0" applyAlignment="0" applyProtection="0"/>
    <xf numFmtId="196" fontId="118" fillId="0" borderId="0" applyFont="0" applyFill="0" applyBorder="0" applyProtection="0">
      <alignment horizontal="left"/>
    </xf>
    <xf numFmtId="197" fontId="118" fillId="0" borderId="0" applyFont="0" applyFill="0" applyBorder="0" applyProtection="0">
      <alignment horizontal="left"/>
    </xf>
    <xf numFmtId="198" fontId="118" fillId="0" borderId="0" applyFont="0" applyFill="0" applyBorder="0" applyProtection="0">
      <alignment horizontal="left"/>
    </xf>
    <xf numFmtId="37" fontId="119" fillId="0" borderId="0" applyFont="0" applyFill="0" applyBorder="0">
      <alignment/>
      <protection locked="0"/>
    </xf>
    <xf numFmtId="199" fontId="62" fillId="0" borderId="0" applyFont="0" applyFill="0" applyBorder="0" applyAlignment="0" applyProtection="0"/>
    <xf numFmtId="0" fontId="120" fillId="0" borderId="0">
      <alignment/>
      <protection/>
    </xf>
    <xf numFmtId="0" fontId="120" fillId="0" borderId="0">
      <alignment/>
      <protection/>
    </xf>
    <xf numFmtId="169" fontId="20" fillId="0" borderId="0" applyFill="0">
      <alignment/>
      <protection/>
    </xf>
    <xf numFmtId="169" fontId="20" fillId="0" borderId="0">
      <alignment horizontal="center"/>
      <protection/>
    </xf>
    <xf numFmtId="0" fontId="20" fillId="0" borderId="0" applyFill="0">
      <alignment horizontal="center"/>
      <protection/>
    </xf>
    <xf numFmtId="169" fontId="9" fillId="0" borderId="26" applyFill="0">
      <alignment/>
      <protection/>
    </xf>
    <xf numFmtId="0" fontId="0" fillId="0" borderId="0" applyFont="0" applyAlignment="0">
      <protection/>
    </xf>
    <xf numFmtId="0" fontId="34" fillId="0" borderId="0" applyFill="0">
      <alignment vertical="top"/>
      <protection/>
    </xf>
    <xf numFmtId="0" fontId="9" fillId="0" borderId="0" applyFill="0">
      <alignment horizontal="left" vertical="top"/>
      <protection/>
    </xf>
    <xf numFmtId="169" fontId="4" fillId="0" borderId="27" applyFill="0">
      <alignment/>
      <protection/>
    </xf>
    <xf numFmtId="0" fontId="0" fillId="0" borderId="0" applyNumberFormat="0" applyFont="0" applyAlignment="0">
      <protection/>
    </xf>
    <xf numFmtId="0" fontId="34" fillId="0" borderId="0" applyFill="0">
      <alignment wrapText="1"/>
      <protection/>
    </xf>
    <xf numFmtId="0" fontId="9" fillId="0" borderId="0" applyFill="0">
      <alignment horizontal="left" vertical="top" wrapText="1"/>
      <protection/>
    </xf>
    <xf numFmtId="169" fontId="97" fillId="0" borderId="0" applyFill="0">
      <alignment/>
      <protection/>
    </xf>
    <xf numFmtId="0" fontId="98" fillId="0" borderId="0" applyNumberFormat="0" applyFont="0">
      <alignment/>
      <protection/>
    </xf>
    <xf numFmtId="0" fontId="11" fillId="0" borderId="0" applyFill="0">
      <alignment vertical="top" wrapText="1"/>
      <protection/>
    </xf>
    <xf numFmtId="0" fontId="4" fillId="0" borderId="0" applyFill="0">
      <alignment horizontal="left" vertical="top" wrapText="1"/>
      <protection/>
    </xf>
    <xf numFmtId="169" fontId="0" fillId="0" borderId="0" applyFill="0">
      <alignment/>
      <protection/>
    </xf>
    <xf numFmtId="0" fontId="98" fillId="0" borderId="0" applyNumberFormat="0" applyFont="0">
      <alignment/>
      <protection/>
    </xf>
    <xf numFmtId="0" fontId="99" fillId="0" borderId="0" applyFill="0">
      <alignment vertical="center" wrapText="1"/>
      <protection/>
    </xf>
    <xf numFmtId="0" fontId="5" fillId="0" borderId="0">
      <alignment horizontal="left" vertical="center" wrapText="1"/>
      <protection/>
    </xf>
    <xf numFmtId="169" fontId="14" fillId="0" borderId="0" applyFill="0">
      <alignment/>
      <protection/>
    </xf>
    <xf numFmtId="0" fontId="98" fillId="0" borderId="0" applyNumberFormat="0" applyFont="0">
      <alignment/>
      <protection/>
    </xf>
    <xf numFmtId="0" fontId="100" fillId="0" borderId="0" applyFill="0">
      <alignment horizontal="center" vertical="center" wrapText="1"/>
      <protection/>
    </xf>
    <xf numFmtId="0" fontId="0" fillId="0" borderId="0" applyFill="0">
      <alignment horizontal="center" vertical="center" wrapText="1"/>
      <protection/>
    </xf>
    <xf numFmtId="0" fontId="0" fillId="0" borderId="0" applyFill="0">
      <alignment horizontal="center" vertical="center" wrapText="1"/>
      <protection/>
    </xf>
    <xf numFmtId="169" fontId="101" fillId="0" borderId="0" applyFill="0">
      <alignment/>
      <protection/>
    </xf>
    <xf numFmtId="0" fontId="98" fillId="0" borderId="0" applyNumberFormat="0" applyFont="0">
      <alignment/>
      <protection/>
    </xf>
    <xf numFmtId="0" fontId="102" fillId="0" borderId="0" applyFill="0">
      <alignment horizontal="center" vertical="center" wrapText="1"/>
      <protection/>
    </xf>
    <xf numFmtId="0" fontId="103" fillId="0" borderId="0" applyFill="0">
      <alignment horizontal="center" vertical="center" wrapText="1"/>
      <protection/>
    </xf>
    <xf numFmtId="169" fontId="104" fillId="0" borderId="0" applyFill="0">
      <alignment/>
      <protection/>
    </xf>
    <xf numFmtId="0" fontId="98" fillId="0" borderId="0" applyNumberFormat="0" applyFont="0">
      <alignment/>
      <protection/>
    </xf>
    <xf numFmtId="0" fontId="105" fillId="0" borderId="0">
      <alignment horizontal="center" wrapText="1"/>
      <protection/>
    </xf>
    <xf numFmtId="0" fontId="101" fillId="0" borderId="0" applyFill="0">
      <alignment horizontal="center" wrapText="1"/>
      <protection/>
    </xf>
    <xf numFmtId="184" fontId="121" fillId="0" borderId="0" applyFont="0" applyFill="0" applyBorder="0" applyAlignment="0">
      <protection locked="0"/>
    </xf>
    <xf numFmtId="200" fontId="121" fillId="0" borderId="0" applyFont="0" applyFill="0" applyBorder="0" applyAlignment="0">
      <protection locked="0"/>
    </xf>
    <xf numFmtId="39" fontId="0" fillId="0" borderId="0" applyFont="0" applyFill="0" applyBorder="0" applyAlignment="0" applyProtection="0"/>
    <xf numFmtId="201" fontId="122" fillId="0" borderId="0" applyFont="0" applyFill="0" applyBorder="0" applyAlignment="0" applyProtection="0"/>
    <xf numFmtId="187" fontId="62" fillId="0" borderId="0" applyFont="0" applyFill="0" applyBorder="0" applyAlignment="0" applyProtection="0"/>
    <xf numFmtId="0" fontId="0" fillId="0" borderId="25" applyNumberFormat="0" applyFont="0" applyFill="0" applyBorder="0" applyProtection="0">
      <alignment horizontal="centerContinuous" vertical="center"/>
    </xf>
    <xf numFmtId="0" fontId="44" fillId="0" borderId="0" applyFill="0" applyBorder="0">
      <alignment horizontal="center"/>
      <protection locked="0"/>
    </xf>
    <xf numFmtId="0" fontId="0"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202" fontId="118" fillId="0" borderId="0" applyFont="0" applyFill="0" applyBorder="0" applyAlignment="0" applyProtection="0"/>
    <xf numFmtId="203" fontId="118" fillId="0" borderId="0" applyFont="0" applyFill="0" applyBorder="0" applyAlignment="0" applyProtection="0"/>
    <xf numFmtId="204" fontId="118" fillId="0" borderId="0" applyFont="0" applyFill="0" applyBorder="0" applyAlignment="0" applyProtection="0"/>
    <xf numFmtId="205" fontId="116" fillId="0" borderId="0" applyFont="0" applyFill="0" applyBorder="0" applyAlignment="0" applyProtection="0"/>
    <xf numFmtId="206" fontId="124" fillId="0" borderId="0" applyFont="0" applyFill="0" applyBorder="0" applyAlignment="0" applyProtection="0"/>
    <xf numFmtId="207" fontId="124" fillId="0" borderId="0" applyFont="0" applyFill="0" applyBorder="0" applyAlignment="0" applyProtection="0"/>
    <xf numFmtId="208" fontId="97" fillId="0" borderId="0" applyFont="0" applyFill="0" applyBorder="0" applyAlignment="0">
      <protection locked="0"/>
    </xf>
    <xf numFmtId="43" fontId="8"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9" fillId="0" borderId="0" applyFont="0" applyFill="0" applyBorder="0" applyAlignment="0" applyProtection="0"/>
    <xf numFmtId="37" fontId="125" fillId="0" borderId="0" applyFill="0" applyBorder="0" applyAlignment="0" applyProtection="0"/>
    <xf numFmtId="3" fontId="0" fillId="0" borderId="0" applyFont="0" applyFill="0" applyBorder="0" applyAlignment="0" applyProtection="0"/>
    <xf numFmtId="0" fontId="9" fillId="0" borderId="0" applyFill="0" applyBorder="0" applyAlignment="0">
      <protection locked="0"/>
    </xf>
    <xf numFmtId="209" fontId="118" fillId="0" borderId="0" applyFont="0" applyFill="0" applyBorder="0" applyAlignment="0" applyProtection="0"/>
    <xf numFmtId="210" fontId="118" fillId="0" borderId="0" applyFont="0" applyFill="0" applyBorder="0" applyAlignment="0" applyProtection="0"/>
    <xf numFmtId="211" fontId="118" fillId="0" borderId="0" applyFont="0" applyFill="0" applyBorder="0" applyAlignment="0" applyProtection="0"/>
    <xf numFmtId="212" fontId="124" fillId="0" borderId="0" applyFont="0" applyFill="0" applyBorder="0" applyAlignment="0" applyProtection="0"/>
    <xf numFmtId="213" fontId="124" fillId="0" borderId="0" applyFont="0" applyFill="0" applyBorder="0" applyAlignment="0" applyProtection="0"/>
    <xf numFmtId="214" fontId="124" fillId="0" borderId="0" applyFont="0" applyFill="0" applyBorder="0" applyAlignment="0" applyProtection="0"/>
    <xf numFmtId="215" fontId="97" fillId="0" borderId="0" applyFont="0" applyFill="0" applyBorder="0" applyAlignment="0">
      <protection locked="0"/>
    </xf>
    <xf numFmtId="5" fontId="125" fillId="0" borderId="0" applyFill="0" applyBorder="0" applyAlignment="0" applyProtection="0"/>
    <xf numFmtId="5" fontId="0" fillId="0" borderId="0" applyFont="0" applyFill="0" applyBorder="0" applyAlignment="0" applyProtection="0"/>
    <xf numFmtId="5" fontId="0" fillId="0" borderId="0" applyFont="0" applyFill="0" applyBorder="0" applyAlignment="0" applyProtection="0"/>
    <xf numFmtId="216" fontId="62" fillId="0" borderId="0" applyFont="0" applyFill="0" applyBorder="0" applyAlignment="0" applyProtection="0"/>
    <xf numFmtId="186" fontId="0" fillId="0" borderId="0" applyFont="0" applyFill="0" applyBorder="0" applyAlignment="0" applyProtection="0"/>
    <xf numFmtId="217" fontId="121" fillId="0" borderId="0" applyFont="0" applyFill="0" applyBorder="0" applyAlignment="0">
      <protection locked="0"/>
    </xf>
    <xf numFmtId="7" fontId="20" fillId="0" borderId="0" applyFont="0" applyFill="0" applyBorder="0" applyAlignment="0" applyProtection="0"/>
    <xf numFmtId="218" fontId="122" fillId="0" borderId="0" applyFont="0" applyFill="0" applyBorder="0" applyAlignment="0" applyProtection="0"/>
    <xf numFmtId="185" fontId="126" fillId="0" borderId="0" applyFont="0" applyFill="0" applyBorder="0" applyAlignment="0" applyProtection="0"/>
    <xf numFmtId="0" fontId="127" fillId="59" borderId="28" applyNumberFormat="0" applyFont="0" applyFill="0" applyProtection="0">
      <alignment/>
    </xf>
    <xf numFmtId="14" fontId="0" fillId="0" borderId="0" applyFont="0" applyFill="0" applyBorder="0" applyAlignment="0" applyProtection="0"/>
    <xf numFmtId="219" fontId="118" fillId="0" borderId="0" applyFont="0" applyFill="0" applyBorder="0" applyProtection="0">
      <alignment/>
    </xf>
    <xf numFmtId="220" fontId="118" fillId="0" borderId="0" applyFont="0" applyFill="0" applyBorder="0" applyProtection="0">
      <alignment/>
    </xf>
    <xf numFmtId="221" fontId="118" fillId="0" borderId="0" applyFont="0" applyFill="0" applyBorder="0" applyAlignment="0" applyProtection="0"/>
    <xf numFmtId="222" fontId="118" fillId="0" borderId="0" applyFont="0" applyFill="0" applyBorder="0" applyAlignment="0" applyProtection="0"/>
    <xf numFmtId="223" fontId="118" fillId="0" borderId="0" applyFont="0" applyFill="0" applyBorder="0" applyAlignment="0" applyProtection="0"/>
    <xf numFmtId="224" fontId="128" fillId="0" borderId="0" applyFont="0" applyFill="0" applyBorder="0" applyAlignment="0" applyProtection="0"/>
    <xf numFmtId="5" fontId="129" fillId="0" borderId="0" applyBorder="0">
      <alignment/>
      <protection/>
    </xf>
    <xf numFmtId="186" fontId="129" fillId="0" borderId="0" applyBorder="0">
      <alignment/>
      <protection/>
    </xf>
    <xf numFmtId="7" fontId="129" fillId="0" borderId="0" applyBorder="0">
      <alignment/>
      <protection/>
    </xf>
    <xf numFmtId="37" fontId="129" fillId="0" borderId="0" applyBorder="0">
      <alignment/>
      <protection/>
    </xf>
    <xf numFmtId="184" fontId="129" fillId="0" borderId="0" applyBorder="0">
      <alignment/>
      <protection/>
    </xf>
    <xf numFmtId="225" fontId="129" fillId="0" borderId="0" applyBorder="0">
      <alignment/>
      <protection/>
    </xf>
    <xf numFmtId="39" fontId="129" fillId="0" borderId="0" applyBorder="0">
      <alignment/>
      <protection/>
    </xf>
    <xf numFmtId="226" fontId="129" fillId="0" borderId="0" applyBorder="0">
      <alignment/>
      <protection/>
    </xf>
    <xf numFmtId="7" fontId="0" fillId="0" borderId="0" applyFont="0" applyFill="0" applyBorder="0" applyAlignment="0" applyProtection="0"/>
    <xf numFmtId="227" fontId="62" fillId="0" borderId="0" applyFont="0" applyFill="0" applyBorder="0" applyAlignment="0" applyProtection="0"/>
    <xf numFmtId="228" fontId="62" fillId="0" borderId="0" applyFont="0" applyFill="0" applyAlignment="0" applyProtection="0"/>
    <xf numFmtId="227" fontId="62" fillId="0" borderId="0" applyFont="0" applyFill="0" applyBorder="0" applyAlignment="0" applyProtection="0"/>
    <xf numFmtId="175" fontId="20" fillId="0" borderId="0" applyFont="0" applyFill="0" applyBorder="0" applyAlignment="0" applyProtection="0"/>
    <xf numFmtId="2" fontId="0" fillId="0" borderId="0" applyFont="0" applyFill="0" applyBorder="0" applyAlignment="0" applyProtection="0"/>
    <xf numFmtId="0" fontId="130" fillId="0" borderId="0">
      <alignment/>
      <protection/>
    </xf>
    <xf numFmtId="0" fontId="131" fillId="0" borderId="0" applyNumberFormat="0" applyFill="0" applyBorder="0" applyAlignment="0" applyProtection="0"/>
    <xf numFmtId="0" fontId="20" fillId="0" borderId="0" applyFont="0" applyFill="0" applyBorder="0" applyAlignment="0" applyProtection="0"/>
    <xf numFmtId="0" fontId="118" fillId="0" borderId="0" applyFont="0" applyFill="0" applyBorder="0" applyProtection="0">
      <alignment horizontal="center" wrapText="1"/>
    </xf>
    <xf numFmtId="229" fontId="118" fillId="0" borderId="0" applyFont="0" applyFill="0" applyBorder="0" applyProtection="0">
      <alignment horizontal="right"/>
    </xf>
    <xf numFmtId="0" fontId="131" fillId="0" borderId="0" applyNumberFormat="0" applyFill="0" applyBorder="0" applyAlignment="0" applyProtection="0"/>
    <xf numFmtId="0" fontId="132" fillId="14" borderId="0" applyNumberFormat="0" applyFill="0" applyBorder="0" applyAlignment="0" applyProtection="0"/>
    <xf numFmtId="0" fontId="4" fillId="0" borderId="29" applyNumberFormat="0" applyProtection="0">
      <alignment/>
    </xf>
    <xf numFmtId="0" fontId="4" fillId="0" borderId="30">
      <alignment horizontal="left" vertical="center"/>
      <protection/>
    </xf>
    <xf numFmtId="14" fontId="3" fillId="17" borderId="2">
      <alignment horizontal="center" vertical="center" wrapText="1"/>
      <protection/>
    </xf>
    <xf numFmtId="0" fontId="10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4" fillId="0" borderId="0" applyFill="0" applyAlignment="0">
      <protection locked="0"/>
    </xf>
    <xf numFmtId="0" fontId="44" fillId="0" borderId="25" applyFill="0" applyAlignment="0">
      <protection locked="0"/>
    </xf>
    <xf numFmtId="0" fontId="107" fillId="0" borderId="2">
      <alignment/>
      <protection/>
    </xf>
    <xf numFmtId="0" fontId="108" fillId="0" borderId="0">
      <alignment/>
      <protection/>
    </xf>
    <xf numFmtId="0" fontId="133" fillId="0" borderId="25" applyNumberFormat="0" applyFill="0" applyAlignment="0" applyProtection="0"/>
    <xf numFmtId="0" fontId="128" fillId="60" borderId="0" applyNumberFormat="0" applyFont="0" applyBorder="0" applyAlignment="0" applyProtection="0"/>
    <xf numFmtId="0" fontId="115" fillId="61" borderId="7" applyNumberFormat="0" applyAlignment="0" applyProtection="0"/>
    <xf numFmtId="230" fontId="118" fillId="0" borderId="0" applyFont="0" applyFill="0" applyBorder="0" applyProtection="0">
      <alignment horizontal="left"/>
    </xf>
    <xf numFmtId="231" fontId="118" fillId="0" borderId="0" applyFont="0" applyFill="0" applyBorder="0" applyProtection="0">
      <alignment horizontal="left"/>
    </xf>
    <xf numFmtId="232" fontId="118" fillId="0" borderId="0" applyFont="0" applyFill="0" applyBorder="0" applyProtection="0">
      <alignment horizontal="left"/>
    </xf>
    <xf numFmtId="233" fontId="118" fillId="0" borderId="0" applyFont="0" applyFill="0" applyBorder="0" applyProtection="0">
      <alignment horizontal="left"/>
    </xf>
    <xf numFmtId="0" fontId="20" fillId="11" borderId="7" applyNumberFormat="0" applyBorder="0" applyAlignment="0" applyProtection="0"/>
    <xf numFmtId="5" fontId="134" fillId="0" borderId="0" applyBorder="0">
      <alignment/>
      <protection/>
    </xf>
    <xf numFmtId="186" fontId="134" fillId="0" borderId="0" applyBorder="0">
      <alignment/>
      <protection/>
    </xf>
    <xf numFmtId="7" fontId="134" fillId="0" borderId="0" applyBorder="0">
      <alignment/>
      <protection/>
    </xf>
    <xf numFmtId="37" fontId="134" fillId="0" borderId="0" applyBorder="0">
      <alignment/>
      <protection/>
    </xf>
    <xf numFmtId="184" fontId="134" fillId="0" borderId="0" applyBorder="0">
      <alignment/>
      <protection/>
    </xf>
    <xf numFmtId="225" fontId="134" fillId="0" borderId="0" applyBorder="0">
      <alignment/>
      <protection/>
    </xf>
    <xf numFmtId="39" fontId="134" fillId="0" borderId="0" applyBorder="0">
      <alignment/>
      <protection/>
    </xf>
    <xf numFmtId="226" fontId="134" fillId="0" borderId="0" applyBorder="0">
      <alignment/>
      <protection/>
    </xf>
    <xf numFmtId="0" fontId="128" fillId="0" borderId="31" applyNumberFormat="0" applyFont="0" applyFill="0" applyAlignment="0" applyProtection="0"/>
    <xf numFmtId="0" fontId="135" fillId="0" borderId="0">
      <alignment/>
      <protection/>
    </xf>
    <xf numFmtId="0" fontId="20" fillId="4" borderId="0">
      <alignment/>
      <protection/>
    </xf>
    <xf numFmtId="234" fontId="0" fillId="0" borderId="0" applyFont="0" applyFill="0" applyBorder="0" applyAlignment="0" applyProtection="0"/>
    <xf numFmtId="235" fontId="0" fillId="0" borderId="0" applyFont="0" applyFill="0" applyBorder="0" applyAlignment="0" applyProtection="0"/>
    <xf numFmtId="236" fontId="0" fillId="0" borderId="0" applyFont="0" applyFill="0" applyBorder="0" applyAlignment="0" applyProtection="0"/>
    <xf numFmtId="237" fontId="0" fillId="0" borderId="0" applyFont="0" applyFill="0" applyBorder="0" applyAlignment="0" applyProtection="0"/>
    <xf numFmtId="0" fontId="0" fillId="0" borderId="0" applyFont="0" applyFill="0" applyBorder="0" applyProtection="0">
      <alignment/>
    </xf>
    <xf numFmtId="238" fontId="0" fillId="0" borderId="0" applyFont="0" applyFill="0" applyBorder="0" applyAlignment="0" applyProtection="0"/>
    <xf numFmtId="37" fontId="136" fillId="0" borderId="0">
      <alignment/>
      <protection/>
    </xf>
    <xf numFmtId="0" fontId="62" fillId="0" borderId="0">
      <alignment/>
      <protection/>
    </xf>
    <xf numFmtId="0" fontId="2" fillId="0" borderId="0">
      <alignment/>
      <protection/>
    </xf>
    <xf numFmtId="7" fontId="146" fillId="0" borderId="0">
      <alignment/>
      <protection/>
    </xf>
    <xf numFmtId="0" fontId="116"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9" fontId="8" fillId="0" borderId="0" applyProtection="0">
      <alignment/>
    </xf>
    <xf numFmtId="0" fontId="2" fillId="0" borderId="0">
      <alignment/>
      <protection/>
    </xf>
    <xf numFmtId="0" fontId="2" fillId="0" borderId="0">
      <alignment/>
      <protection/>
    </xf>
    <xf numFmtId="0" fontId="2" fillId="0" borderId="0">
      <alignment/>
      <protection/>
    </xf>
    <xf numFmtId="0" fontId="2" fillId="0" borderId="0">
      <alignment/>
      <protection/>
    </xf>
    <xf numFmtId="0" fontId="113" fillId="62" borderId="0" applyNumberFormat="0" applyFont="0" applyBorder="0" applyAlignment="0">
      <protection/>
    </xf>
    <xf numFmtId="239" fontId="0" fillId="0" borderId="0" applyFont="0" applyFill="0" applyBorder="0" applyAlignment="0" applyProtection="0"/>
    <xf numFmtId="240" fontId="137"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41" fontId="0" fillId="0" borderId="0">
      <alignment/>
      <protection/>
    </xf>
    <xf numFmtId="242" fontId="62" fillId="0" borderId="0">
      <alignment/>
      <protection/>
    </xf>
    <xf numFmtId="242" fontId="62" fillId="0" borderId="0">
      <alignment/>
      <protection/>
    </xf>
    <xf numFmtId="240" fontId="137" fillId="0" borderId="0">
      <alignment/>
      <protection/>
    </xf>
    <xf numFmtId="0" fontId="62" fillId="0" borderId="0">
      <alignment/>
      <protection/>
    </xf>
    <xf numFmtId="240" fontId="125" fillId="0" borderId="0">
      <alignment/>
      <protection/>
    </xf>
    <xf numFmtId="241" fontId="0" fillId="0" borderId="0">
      <alignment/>
      <protection/>
    </xf>
    <xf numFmtId="242" fontId="62" fillId="0" borderId="0">
      <alignment/>
      <protection/>
    </xf>
    <xf numFmtId="242" fontId="62" fillId="0" borderId="0">
      <alignment/>
      <protection/>
    </xf>
    <xf numFmtId="0" fontId="62" fillId="0" borderId="0">
      <alignment/>
      <protection/>
    </xf>
    <xf numFmtId="0" fontId="62" fillId="0" borderId="0">
      <alignment/>
      <protection/>
    </xf>
    <xf numFmtId="243" fontId="62" fillId="0" borderId="0">
      <alignment/>
      <protection/>
    </xf>
    <xf numFmtId="173" fontId="62" fillId="0" borderId="0">
      <alignment/>
      <protection/>
    </xf>
    <xf numFmtId="244" fontId="62" fillId="0" borderId="0">
      <alignment/>
      <protection/>
    </xf>
    <xf numFmtId="243" fontId="62" fillId="0" borderId="0">
      <alignment/>
      <protection/>
    </xf>
    <xf numFmtId="173" fontId="62" fillId="0" borderId="0">
      <alignment/>
      <protection/>
    </xf>
    <xf numFmtId="245" fontId="62" fillId="0" borderId="0">
      <alignment/>
      <protection/>
    </xf>
    <xf numFmtId="245" fontId="62" fillId="0" borderId="0">
      <alignment/>
      <protection/>
    </xf>
    <xf numFmtId="183" fontId="62" fillId="0" borderId="0">
      <alignment/>
      <protection/>
    </xf>
    <xf numFmtId="244" fontId="62" fillId="0" borderId="0">
      <alignment/>
      <protection/>
    </xf>
    <xf numFmtId="165" fontId="62" fillId="0" borderId="0">
      <alignment/>
      <protection/>
    </xf>
    <xf numFmtId="183" fontId="62" fillId="0" borderId="0">
      <alignment/>
      <protection/>
    </xf>
    <xf numFmtId="183" fontId="62" fillId="0" borderId="0">
      <alignment/>
      <protection/>
    </xf>
    <xf numFmtId="0" fontId="62" fillId="0" borderId="0">
      <alignment/>
      <protection/>
    </xf>
    <xf numFmtId="239" fontId="0" fillId="0" borderId="0" applyFont="0" applyFill="0" applyBorder="0" applyAlignment="0" applyProtection="0"/>
    <xf numFmtId="239" fontId="0" fillId="0" borderId="0" applyFont="0" applyFill="0" applyBorder="0" applyAlignment="0" applyProtection="0"/>
    <xf numFmtId="239" fontId="0" fillId="0" borderId="0" applyFont="0" applyFill="0" applyBorder="0" applyAlignment="0" applyProtection="0"/>
    <xf numFmtId="240" fontId="137" fillId="0" borderId="0">
      <alignment/>
      <protection/>
    </xf>
    <xf numFmtId="240" fontId="137" fillId="0" borderId="0">
      <alignment/>
      <protection/>
    </xf>
    <xf numFmtId="239" fontId="0" fillId="0" borderId="0" applyFont="0" applyFill="0" applyBorder="0" applyAlignment="0" applyProtection="0"/>
    <xf numFmtId="240" fontId="137" fillId="0" borderId="0">
      <alignment/>
      <protection/>
    </xf>
    <xf numFmtId="240" fontId="137" fillId="0" borderId="0">
      <alignment/>
      <protection/>
    </xf>
    <xf numFmtId="243" fontId="62" fillId="0" borderId="0">
      <alignment/>
      <protection/>
    </xf>
    <xf numFmtId="173" fontId="62" fillId="0" borderId="0">
      <alignment/>
      <protection/>
    </xf>
    <xf numFmtId="244" fontId="62" fillId="0" borderId="0">
      <alignment/>
      <protection/>
    </xf>
    <xf numFmtId="243" fontId="62" fillId="0" borderId="0">
      <alignment/>
      <protection/>
    </xf>
    <xf numFmtId="173" fontId="62" fillId="0" borderId="0">
      <alignment/>
      <protection/>
    </xf>
    <xf numFmtId="245" fontId="62" fillId="0" borderId="0">
      <alignment/>
      <protection/>
    </xf>
    <xf numFmtId="245" fontId="62" fillId="0" borderId="0">
      <alignment/>
      <protection/>
    </xf>
    <xf numFmtId="183" fontId="62" fillId="0" borderId="0">
      <alignment/>
      <protection/>
    </xf>
    <xf numFmtId="244" fontId="62" fillId="0" borderId="0">
      <alignment/>
      <protection/>
    </xf>
    <xf numFmtId="165" fontId="62" fillId="0" borderId="0">
      <alignment/>
      <protection/>
    </xf>
    <xf numFmtId="183" fontId="62" fillId="0" borderId="0">
      <alignment/>
      <protection/>
    </xf>
    <xf numFmtId="183" fontId="62" fillId="0" borderId="0">
      <alignment/>
      <protection/>
    </xf>
    <xf numFmtId="246" fontId="14" fillId="5" borderId="0" applyFont="0" applyFill="0" applyBorder="0" applyAlignment="0" applyProtection="0"/>
    <xf numFmtId="247" fontId="14" fillId="5" borderId="0" applyFont="0" applyFill="0" applyBorder="0" applyAlignment="0" applyProtection="0"/>
    <xf numFmtId="248" fontId="0" fillId="0" borderId="0" applyFont="0" applyFill="0" applyBorder="0" applyAlignment="0" applyProtection="0"/>
    <xf numFmtId="249" fontId="124" fillId="0" borderId="0" applyFont="0" applyFill="0" applyBorder="0" applyAlignment="0" applyProtection="0"/>
    <xf numFmtId="250" fontId="116" fillId="0" borderId="0" applyFont="0" applyFill="0" applyBorder="0" applyAlignment="0" applyProtection="0"/>
    <xf numFmtId="251" fontId="0" fillId="0" borderId="0" applyFont="0" applyFill="0" applyBorder="0" applyAlignment="0" applyProtection="0"/>
    <xf numFmtId="252" fontId="118" fillId="0" borderId="0" applyFont="0" applyFill="0" applyBorder="0" applyAlignment="0" applyProtection="0"/>
    <xf numFmtId="253" fontId="118" fillId="0" borderId="0" applyFont="0" applyFill="0" applyBorder="0" applyAlignment="0" applyProtection="0"/>
    <xf numFmtId="254" fontId="118" fillId="0" borderId="0" applyFont="0" applyFill="0" applyBorder="0" applyAlignment="0" applyProtection="0"/>
    <xf numFmtId="255" fontId="118" fillId="0" borderId="0" applyFont="0" applyFill="0" applyBorder="0" applyAlignment="0" applyProtection="0"/>
    <xf numFmtId="256" fontId="124" fillId="0" borderId="0" applyFont="0" applyFill="0" applyBorder="0" applyAlignment="0" applyProtection="0"/>
    <xf numFmtId="257" fontId="116" fillId="0" borderId="0" applyFont="0" applyFill="0" applyBorder="0" applyAlignment="0" applyProtection="0"/>
    <xf numFmtId="258" fontId="124" fillId="0" borderId="0" applyFont="0" applyFill="0" applyBorder="0" applyAlignment="0" applyProtection="0"/>
    <xf numFmtId="259" fontId="116" fillId="0" borderId="0" applyFont="0" applyFill="0" applyBorder="0" applyAlignment="0" applyProtection="0"/>
    <xf numFmtId="260" fontId="124" fillId="0" borderId="0" applyFont="0" applyFill="0" applyBorder="0" applyAlignment="0" applyProtection="0"/>
    <xf numFmtId="261" fontId="116" fillId="0" borderId="0" applyFont="0" applyFill="0" applyBorder="0" applyAlignment="0" applyProtection="0"/>
    <xf numFmtId="262" fontId="97" fillId="0" borderId="0" applyFont="0" applyFill="0" applyBorder="0" applyAlignment="0">
      <protection locked="0"/>
    </xf>
    <xf numFmtId="263" fontId="116" fillId="0" borderId="0" applyFont="0" applyFill="0" applyBorder="0" applyAlignment="0" applyProtection="0"/>
    <xf numFmtId="9" fontId="40" fillId="0" borderId="0" applyFont="0" applyFill="0" applyBorder="0" applyAlignment="0" applyProtection="0"/>
    <xf numFmtId="194" fontId="125" fillId="0" borderId="0" applyFill="0" applyBorder="0" applyAlignment="0" applyProtection="0"/>
    <xf numFmtId="9" fontId="129" fillId="0" borderId="0" applyBorder="0">
      <alignment/>
      <protection/>
    </xf>
    <xf numFmtId="170" fontId="129" fillId="0" borderId="0" applyBorder="0">
      <alignment/>
      <protection/>
    </xf>
    <xf numFmtId="10" fontId="129" fillId="0" borderId="0" applyBorder="0">
      <alignment/>
      <protection/>
    </xf>
    <xf numFmtId="3" fontId="0" fillId="0" borderId="0">
      <alignment horizontal="left" vertical="top"/>
      <protection/>
    </xf>
    <xf numFmtId="169" fontId="8" fillId="0" borderId="0" applyProtection="0">
      <alignment/>
    </xf>
    <xf numFmtId="3" fontId="0" fillId="0" borderId="0">
      <alignment horizontal="right" vertical="top"/>
      <protection/>
    </xf>
    <xf numFmtId="41" fontId="5" fillId="4" borderId="32" applyFill="0">
      <alignment/>
      <protection/>
    </xf>
    <xf numFmtId="0" fontId="109" fillId="0" borderId="0">
      <alignment horizontal="left" indent="7"/>
      <protection/>
    </xf>
    <xf numFmtId="41" fontId="5" fillId="0" borderId="32" applyFill="0">
      <alignment horizontal="left" indent="2"/>
      <protection/>
    </xf>
    <xf numFmtId="169" fontId="44" fillId="0" borderId="25" applyFill="0">
      <alignment horizontal="right"/>
      <protection/>
    </xf>
    <xf numFmtId="0" fontId="3" fillId="0" borderId="7" applyNumberFormat="0" applyFont="0" applyBorder="0">
      <alignment horizontal="right"/>
      <protection/>
    </xf>
    <xf numFmtId="0" fontId="110" fillId="0" borderId="0" applyFill="0">
      <alignment/>
      <protection/>
    </xf>
    <xf numFmtId="0" fontId="4" fillId="0" borderId="0" applyFill="0">
      <alignment/>
      <protection/>
    </xf>
    <xf numFmtId="4" fontId="44" fillId="0" borderId="25" applyFill="0">
      <alignment/>
      <protection/>
    </xf>
    <xf numFmtId="0" fontId="0" fillId="0" borderId="0" applyNumberFormat="0" applyFont="0" applyBorder="0" applyAlignment="0">
      <protection/>
    </xf>
    <xf numFmtId="0" fontId="11" fillId="0" borderId="0" applyFill="0">
      <alignment horizontal="left" indent="1"/>
      <protection/>
    </xf>
    <xf numFmtId="0" fontId="111" fillId="0" borderId="0" applyFill="0">
      <alignment horizontal="left" indent="1"/>
      <protection/>
    </xf>
    <xf numFmtId="4" fontId="14" fillId="0" borderId="0" applyFill="0">
      <alignment/>
      <protection/>
    </xf>
    <xf numFmtId="0" fontId="0" fillId="0" borderId="0" applyNumberFormat="0" applyFont="0" applyFill="0" applyBorder="0" applyAlignment="0">
      <protection/>
    </xf>
    <xf numFmtId="0" fontId="11" fillId="0" borderId="0" applyFill="0">
      <alignment horizontal="left" indent="2"/>
      <protection/>
    </xf>
    <xf numFmtId="0" fontId="4" fillId="0" borderId="0" applyFill="0">
      <alignment horizontal="left" indent="2"/>
      <protection/>
    </xf>
    <xf numFmtId="4" fontId="14" fillId="0" borderId="0" applyFill="0">
      <alignment/>
      <protection/>
    </xf>
    <xf numFmtId="0" fontId="0" fillId="0" borderId="0" applyNumberFormat="0" applyFont="0" applyBorder="0" applyAlignment="0">
      <protection/>
    </xf>
    <xf numFmtId="0" fontId="112" fillId="0" borderId="0">
      <alignment horizontal="left" indent="3"/>
      <protection/>
    </xf>
    <xf numFmtId="0" fontId="12" fillId="0" borderId="0" applyFill="0">
      <alignment horizontal="left" indent="3"/>
      <protection/>
    </xf>
    <xf numFmtId="4" fontId="14" fillId="0" borderId="0" applyFill="0">
      <alignment/>
      <protection/>
    </xf>
    <xf numFmtId="0" fontId="0" fillId="0" borderId="0" applyNumberFormat="0" applyFont="0" applyBorder="0" applyAlignment="0">
      <protection/>
    </xf>
    <xf numFmtId="0" fontId="100" fillId="0" borderId="0">
      <alignment horizontal="left" indent="4"/>
      <protection/>
    </xf>
    <xf numFmtId="0" fontId="0" fillId="0" borderId="0" applyFill="0">
      <alignment horizontal="left" indent="4"/>
      <protection/>
    </xf>
    <xf numFmtId="0" fontId="0" fillId="0" borderId="0" applyFill="0">
      <alignment horizontal="left" indent="4"/>
      <protection/>
    </xf>
    <xf numFmtId="4" fontId="101" fillId="0" borderId="0" applyFill="0">
      <alignment/>
      <protection/>
    </xf>
    <xf numFmtId="0" fontId="0" fillId="0" borderId="0" applyNumberFormat="0" applyFont="0" applyBorder="0" applyAlignment="0">
      <protection/>
    </xf>
    <xf numFmtId="0" fontId="102" fillId="0" borderId="0">
      <alignment horizontal="left" indent="5"/>
      <protection/>
    </xf>
    <xf numFmtId="0" fontId="103" fillId="0" borderId="0" applyFill="0">
      <alignment horizontal="left" indent="5"/>
      <protection/>
    </xf>
    <xf numFmtId="4" fontId="104" fillId="0" borderId="0" applyFill="0">
      <alignment/>
      <protection/>
    </xf>
    <xf numFmtId="0" fontId="0" fillId="0" borderId="0" applyNumberFormat="0" applyFont="0" applyFill="0" applyBorder="0" applyAlignment="0">
      <protection/>
    </xf>
    <xf numFmtId="0" fontId="105" fillId="0" borderId="0" applyFill="0">
      <alignment horizontal="left" indent="6"/>
      <protection/>
    </xf>
    <xf numFmtId="0" fontId="101" fillId="0" borderId="0" applyFill="0">
      <alignment horizontal="left" indent="6"/>
      <protection/>
    </xf>
    <xf numFmtId="0" fontId="128" fillId="0" borderId="33" applyNumberFormat="0" applyFont="0" applyFill="0" applyAlignment="0" applyProtection="0"/>
    <xf numFmtId="0" fontId="138" fillId="0" borderId="0" applyNumberFormat="0" applyFill="0" applyBorder="0" applyAlignment="0" applyProtection="0"/>
    <xf numFmtId="0" fontId="139" fillId="0" borderId="0">
      <alignment/>
      <protection/>
    </xf>
    <xf numFmtId="0" fontId="139" fillId="0" borderId="0">
      <alignment/>
      <protection/>
    </xf>
    <xf numFmtId="0" fontId="117" fillId="0" borderId="2">
      <alignment horizontal="right"/>
      <protection/>
    </xf>
    <xf numFmtId="264" fontId="126" fillId="0" borderId="0">
      <alignment horizontal="center"/>
      <protection/>
    </xf>
    <xf numFmtId="265" fontId="140" fillId="0" borderId="0">
      <alignment horizontal="center"/>
      <protection/>
    </xf>
    <xf numFmtId="0" fontId="141" fillId="0" borderId="0" applyNumberFormat="0" applyFill="0" applyBorder="0" applyAlignment="0" applyProtection="0"/>
    <xf numFmtId="0" fontId="79" fillId="0" borderId="0" applyNumberFormat="0" applyBorder="0" applyAlignment="0">
      <protection/>
    </xf>
    <xf numFmtId="0" fontId="78" fillId="0" borderId="0" applyNumberFormat="0" applyBorder="0" applyAlignment="0">
      <protection/>
    </xf>
    <xf numFmtId="0" fontId="128" fillId="59" borderId="0" applyNumberFormat="0" applyFont="0" applyBorder="0" applyAlignment="0" applyProtection="0"/>
    <xf numFmtId="0" fontId="142" fillId="0" borderId="30" applyNumberFormat="0" applyFont="0" applyFill="0" applyAlignment="0" applyProtection="0"/>
    <xf numFmtId="0" fontId="7" fillId="0" borderId="0" applyFill="0" applyBorder="0" applyProtection="0">
      <alignment horizontal="left" vertical="top"/>
    </xf>
    <xf numFmtId="0" fontId="143" fillId="0" borderId="0">
      <alignment/>
      <protection/>
    </xf>
    <xf numFmtId="0" fontId="0" fillId="0" borderId="27" applyNumberFormat="0" applyFont="0" applyFill="0" applyAlignment="0" applyProtection="0"/>
    <xf numFmtId="0" fontId="0" fillId="0" borderId="0" applyFont="0" applyFill="0" applyBorder="0" applyAlignment="0" applyProtection="0"/>
    <xf numFmtId="0" fontId="144" fillId="0" borderId="0" applyNumberFormat="0" applyFill="0" applyBorder="0" applyAlignment="0" applyProtection="0"/>
    <xf numFmtId="266" fontId="116" fillId="0" borderId="0" applyFont="0" applyFill="0" applyBorder="0" applyAlignment="0" applyProtection="0"/>
    <xf numFmtId="267" fontId="116" fillId="0" borderId="0" applyFont="0" applyFill="0" applyBorder="0" applyAlignment="0" applyProtection="0"/>
    <xf numFmtId="268" fontId="116" fillId="0" borderId="0" applyFont="0" applyFill="0" applyBorder="0" applyAlignment="0" applyProtection="0"/>
    <xf numFmtId="269" fontId="116" fillId="0" borderId="0" applyFont="0" applyFill="0" applyBorder="0" applyAlignment="0" applyProtection="0"/>
    <xf numFmtId="270" fontId="116" fillId="0" borderId="0" applyFont="0" applyFill="0" applyBorder="0" applyAlignment="0" applyProtection="0"/>
    <xf numFmtId="271" fontId="116" fillId="0" borderId="0" applyFont="0" applyFill="0" applyBorder="0" applyAlignment="0" applyProtection="0"/>
    <xf numFmtId="272" fontId="116" fillId="0" borderId="0" applyFont="0" applyFill="0" applyBorder="0" applyAlignment="0" applyProtection="0"/>
    <xf numFmtId="273" fontId="116" fillId="0" borderId="0" applyFont="0" applyFill="0" applyBorder="0" applyAlignment="0" applyProtection="0"/>
    <xf numFmtId="274" fontId="145" fillId="59" borderId="34" applyFont="0" applyFill="0" applyBorder="0" applyAlignment="0" applyProtection="0"/>
    <xf numFmtId="274" fontId="62" fillId="0" borderId="0" applyFont="0" applyFill="0" applyBorder="0" applyAlignment="0" applyProtection="0"/>
    <xf numFmtId="275" fontId="122" fillId="0" borderId="0" applyFont="0" applyFill="0" applyBorder="0" applyAlignment="0" applyProtection="0"/>
    <xf numFmtId="276" fontId="126" fillId="0" borderId="30" applyFont="0" applyFill="0" applyBorder="0">
      <alignment/>
      <protection locked="0"/>
    </xf>
    <xf numFmtId="43" fontId="40" fillId="0" borderId="0" applyFont="0" applyFill="0" applyBorder="0" applyAlignment="0" applyProtection="0"/>
    <xf numFmtId="0" fontId="5" fillId="0" borderId="0">
      <alignment/>
      <protection/>
    </xf>
    <xf numFmtId="43" fontId="79"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148" fillId="6" borderId="0" applyNumberFormat="0" applyBorder="0" applyAlignment="0" applyProtection="0"/>
    <xf numFmtId="0" fontId="148" fillId="9" borderId="0" applyNumberFormat="0" applyBorder="0" applyAlignment="0" applyProtection="0"/>
    <xf numFmtId="0" fontId="148" fillId="12" borderId="0" applyNumberFormat="0" applyBorder="0" applyAlignment="0" applyProtection="0"/>
    <xf numFmtId="0" fontId="148" fillId="14" borderId="0" applyNumberFormat="0" applyBorder="0" applyAlignment="0" applyProtection="0"/>
    <xf numFmtId="0" fontId="148" fillId="17" borderId="0" applyNumberFormat="0" applyBorder="0" applyAlignment="0" applyProtection="0"/>
    <xf numFmtId="0" fontId="148" fillId="8" borderId="0" applyNumberFormat="0" applyBorder="0" applyAlignment="0" applyProtection="0"/>
    <xf numFmtId="0" fontId="148" fillId="20" borderId="0" applyNumberFormat="0" applyBorder="0" applyAlignment="0" applyProtection="0"/>
    <xf numFmtId="0" fontId="148" fillId="22" borderId="0" applyNumberFormat="0" applyBorder="0" applyAlignment="0" applyProtection="0"/>
    <xf numFmtId="0" fontId="148" fillId="25" borderId="0" applyNumberFormat="0" applyBorder="0" applyAlignment="0" applyProtection="0"/>
    <xf numFmtId="0" fontId="148" fillId="14" borderId="0" applyNumberFormat="0" applyBorder="0" applyAlignment="0" applyProtection="0"/>
    <xf numFmtId="0" fontId="148" fillId="20" borderId="0" applyNumberFormat="0" applyBorder="0" applyAlignment="0" applyProtection="0"/>
    <xf numFmtId="0" fontId="148" fillId="29" borderId="0" applyNumberFormat="0" applyBorder="0" applyAlignment="0" applyProtection="0"/>
    <xf numFmtId="0" fontId="149" fillId="32" borderId="0" applyNumberFormat="0" applyBorder="0" applyAlignment="0" applyProtection="0"/>
    <xf numFmtId="0" fontId="149" fillId="22" borderId="0" applyNumberFormat="0" applyBorder="0" applyAlignment="0" applyProtection="0"/>
    <xf numFmtId="0" fontId="149" fillId="25" borderId="0" applyNumberFormat="0" applyBorder="0" applyAlignment="0" applyProtection="0"/>
    <xf numFmtId="0" fontId="149" fillId="36" borderId="0" applyNumberFormat="0" applyBorder="0" applyAlignment="0" applyProtection="0"/>
    <xf numFmtId="0" fontId="149" fillId="31" borderId="0" applyNumberFormat="0" applyBorder="0" applyAlignment="0" applyProtection="0"/>
    <xf numFmtId="0" fontId="149" fillId="39" borderId="0" applyNumberFormat="0" applyBorder="0" applyAlignment="0" applyProtection="0"/>
    <xf numFmtId="0" fontId="149" fillId="41" borderId="0" applyNumberFormat="0" applyBorder="0" applyAlignment="0" applyProtection="0"/>
    <xf numFmtId="0" fontId="149" fillId="43" borderId="0" applyNumberFormat="0" applyBorder="0" applyAlignment="0" applyProtection="0"/>
    <xf numFmtId="0" fontId="149" fillId="45" borderId="0" applyNumberFormat="0" applyBorder="0" applyAlignment="0" applyProtection="0"/>
    <xf numFmtId="0" fontId="149" fillId="36" borderId="0" applyNumberFormat="0" applyBorder="0" applyAlignment="0" applyProtection="0"/>
    <xf numFmtId="0" fontId="149" fillId="31" borderId="0" applyNumberFormat="0" applyBorder="0" applyAlignment="0" applyProtection="0"/>
    <xf numFmtId="0" fontId="149" fillId="50" borderId="0" applyNumberFormat="0" applyBorder="0" applyAlignment="0" applyProtection="0"/>
    <xf numFmtId="0" fontId="150" fillId="9" borderId="0" applyNumberFormat="0" applyBorder="0" applyAlignment="0" applyProtection="0"/>
    <xf numFmtId="0" fontId="151" fillId="4" borderId="3" applyNumberFormat="0" applyAlignment="0" applyProtection="0"/>
    <xf numFmtId="0" fontId="152" fillId="54" borderId="5" applyNumberFormat="0" applyAlignment="0" applyProtection="0"/>
    <xf numFmtId="9" fontId="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53" fillId="0" borderId="0" applyNumberFormat="0" applyFill="0" applyBorder="0" applyAlignment="0" applyProtection="0"/>
    <xf numFmtId="0" fontId="154" fillId="12" borderId="0" applyNumberFormat="0" applyBorder="0" applyAlignment="0" applyProtection="0"/>
    <xf numFmtId="43" fontId="16" fillId="0" borderId="0" applyFont="0" applyFill="0" applyBorder="0" applyAlignment="0" applyProtection="0"/>
    <xf numFmtId="0" fontId="155" fillId="0" borderId="13" applyNumberFormat="0" applyFill="0" applyAlignment="0" applyProtection="0"/>
    <xf numFmtId="0" fontId="155" fillId="0" borderId="0" applyNumberFormat="0" applyFill="0" applyBorder="0" applyAlignment="0" applyProtection="0"/>
    <xf numFmtId="0" fontId="156" fillId="8" borderId="3" applyNumberFormat="0" applyAlignment="0" applyProtection="0"/>
    <xf numFmtId="0" fontId="157" fillId="0" borderId="15" applyNumberFormat="0" applyFill="0" applyAlignment="0" applyProtection="0"/>
    <xf numFmtId="0" fontId="158" fillId="24" borderId="0" applyNumberFormat="0" applyBorder="0" applyAlignment="0" applyProtection="0"/>
    <xf numFmtId="43" fontId="2" fillId="0" borderId="0" applyFont="0" applyFill="0" applyBorder="0" applyAlignment="0" applyProtection="0"/>
    <xf numFmtId="0" fontId="0" fillId="0" borderId="0">
      <alignment/>
      <protection/>
    </xf>
    <xf numFmtId="0" fontId="0" fillId="0" borderId="0">
      <alignment/>
      <protection/>
    </xf>
    <xf numFmtId="43" fontId="2" fillId="0" borderId="0" applyFont="0" applyFill="0" applyBorder="0" applyAlignment="0" applyProtection="0"/>
    <xf numFmtId="0" fontId="8" fillId="11" borderId="16" applyNumberFormat="0" applyFont="0" applyAlignment="0" applyProtection="0"/>
    <xf numFmtId="0" fontId="159" fillId="4" borderId="18" applyNumberFormat="0" applyAlignment="0" applyProtection="0"/>
    <xf numFmtId="9" fontId="0" fillId="0" borderId="0" applyFont="0" applyFill="0" applyBorder="0" applyAlignment="0" applyProtection="0"/>
    <xf numFmtId="9"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8" fillId="0" borderId="0" applyFont="0" applyFill="0" applyBorder="0" applyAlignment="0" applyProtection="0"/>
    <xf numFmtId="0" fontId="160"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147" fillId="0" borderId="0">
      <alignment vertical="top"/>
      <protection/>
    </xf>
    <xf numFmtId="0" fontId="2" fillId="0" borderId="0">
      <alignment/>
      <protection/>
    </xf>
    <xf numFmtId="169" fontId="8" fillId="0" borderId="0" applyProtection="0">
      <alignment/>
    </xf>
    <xf numFmtId="169" fontId="8" fillId="0" borderId="0" applyProtection="0">
      <alignment/>
    </xf>
    <xf numFmtId="0" fontId="0" fillId="0" borderId="0">
      <alignment/>
      <protection/>
    </xf>
    <xf numFmtId="44" fontId="8" fillId="0" borderId="0" applyFont="0" applyFill="0" applyBorder="0" applyAlignment="0" applyProtection="0"/>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8" fillId="0" borderId="0" applyFont="0" applyFill="0" applyBorder="0" applyAlignment="0" applyProtection="0"/>
    <xf numFmtId="9" fontId="0" fillId="0" borderId="0" applyFont="0" applyFill="0" applyBorder="0" applyAlignment="0" applyProtection="0"/>
    <xf numFmtId="0" fontId="156" fillId="8" borderId="3"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56" fillId="8" borderId="3" applyNumberFormat="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8" fillId="0" borderId="0" applyFont="0" applyFill="0" applyBorder="0" applyAlignment="0" applyProtection="0"/>
    <xf numFmtId="0" fontId="2" fillId="0" borderId="0">
      <alignment/>
      <protection/>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40" fillId="6" borderId="0" applyNumberFormat="0" applyBorder="0" applyAlignment="0" applyProtection="0"/>
    <xf numFmtId="0" fontId="148"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48" fillId="6" borderId="0" applyNumberFormat="0" applyBorder="0" applyAlignment="0" applyProtection="0"/>
    <xf numFmtId="0" fontId="148" fillId="6" borderId="0" applyNumberFormat="0" applyBorder="0" applyAlignment="0" applyProtection="0"/>
    <xf numFmtId="0" fontId="148" fillId="6" borderId="0" applyNumberFormat="0" applyBorder="0" applyAlignment="0" applyProtection="0"/>
    <xf numFmtId="0" fontId="148" fillId="6" borderId="0" applyNumberFormat="0" applyBorder="0" applyAlignment="0" applyProtection="0"/>
    <xf numFmtId="0" fontId="40" fillId="9" borderId="0" applyNumberFormat="0" applyBorder="0" applyAlignment="0" applyProtection="0"/>
    <xf numFmtId="0" fontId="148"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148" fillId="9" borderId="0" applyNumberFormat="0" applyBorder="0" applyAlignment="0" applyProtection="0"/>
    <xf numFmtId="0" fontId="40" fillId="12" borderId="0" applyNumberFormat="0" applyBorder="0" applyAlignment="0" applyProtection="0"/>
    <xf numFmtId="0" fontId="148"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148" fillId="12" borderId="0" applyNumberFormat="0" applyBorder="0" applyAlignment="0" applyProtection="0"/>
    <xf numFmtId="0" fontId="40" fillId="14" borderId="0" applyNumberFormat="0" applyBorder="0" applyAlignment="0" applyProtection="0"/>
    <xf numFmtId="0" fontId="148"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40" fillId="17" borderId="0" applyNumberFormat="0" applyBorder="0" applyAlignment="0" applyProtection="0"/>
    <xf numFmtId="0" fontId="148"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148" fillId="17"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148" fillId="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48" fillId="8" borderId="0" applyNumberFormat="0" applyBorder="0" applyAlignment="0" applyProtection="0"/>
    <xf numFmtId="0" fontId="148" fillId="8" borderId="0" applyNumberFormat="0" applyBorder="0" applyAlignment="0" applyProtection="0"/>
    <xf numFmtId="0" fontId="148" fillId="8" borderId="0" applyNumberFormat="0" applyBorder="0" applyAlignment="0" applyProtection="0"/>
    <xf numFmtId="0" fontId="148" fillId="8" borderId="0" applyNumberFormat="0" applyBorder="0" applyAlignment="0" applyProtection="0"/>
    <xf numFmtId="0" fontId="40" fillId="20" borderId="0" applyNumberFormat="0" applyBorder="0" applyAlignment="0" applyProtection="0"/>
    <xf numFmtId="0" fontId="148"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48"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148" fillId="22" borderId="0" applyNumberFormat="0" applyBorder="0" applyAlignment="0" applyProtection="0"/>
    <xf numFmtId="0" fontId="40" fillId="25" borderId="0" applyNumberFormat="0" applyBorder="0" applyAlignment="0" applyProtection="0"/>
    <xf numFmtId="0" fontId="148"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148" fillId="25" borderId="0" applyNumberFormat="0" applyBorder="0" applyAlignment="0" applyProtection="0"/>
    <xf numFmtId="0" fontId="40" fillId="14" borderId="0" applyNumberFormat="0" applyBorder="0" applyAlignment="0" applyProtection="0"/>
    <xf numFmtId="0" fontId="148"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148" fillId="14"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148" fillId="2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148" fillId="20" borderId="0" applyNumberFormat="0" applyBorder="0" applyAlignment="0" applyProtection="0"/>
    <xf numFmtId="0" fontId="40" fillId="29" borderId="0" applyNumberFormat="0" applyBorder="0" applyAlignment="0" applyProtection="0"/>
    <xf numFmtId="0" fontId="148"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57" fillId="32" borderId="0" applyNumberFormat="0" applyBorder="0" applyAlignment="0" applyProtection="0"/>
    <xf numFmtId="0" fontId="149" fillId="32" borderId="0" applyNumberFormat="0" applyBorder="0" applyAlignment="0" applyProtection="0"/>
    <xf numFmtId="0" fontId="56" fillId="33"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149" fillId="3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149" fillId="22" borderId="0" applyNumberFormat="0" applyBorder="0" applyAlignment="0" applyProtection="0"/>
    <xf numFmtId="0" fontId="56" fillId="34" borderId="0" applyNumberFormat="0" applyBorder="0" applyAlignment="0" applyProtection="0"/>
    <xf numFmtId="0" fontId="149" fillId="22" borderId="0" applyNumberFormat="0" applyBorder="0" applyAlignment="0" applyProtection="0"/>
    <xf numFmtId="0" fontId="149" fillId="22" borderId="0" applyNumberFormat="0" applyBorder="0" applyAlignment="0" applyProtection="0"/>
    <xf numFmtId="0" fontId="149" fillId="22" borderId="0" applyNumberFormat="0" applyBorder="0" applyAlignment="0" applyProtection="0"/>
    <xf numFmtId="0" fontId="149" fillId="22" borderId="0" applyNumberFormat="0" applyBorder="0" applyAlignment="0" applyProtection="0"/>
    <xf numFmtId="0" fontId="57" fillId="25" borderId="0" applyNumberFormat="0" applyBorder="0" applyAlignment="0" applyProtection="0"/>
    <xf numFmtId="0" fontId="149" fillId="25" borderId="0" applyNumberFormat="0" applyBorder="0" applyAlignment="0" applyProtection="0"/>
    <xf numFmtId="0" fontId="56" fillId="3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149" fillId="25" borderId="0" applyNumberFormat="0" applyBorder="0" applyAlignment="0" applyProtection="0"/>
    <xf numFmtId="0" fontId="57" fillId="36" borderId="0" applyNumberFormat="0" applyBorder="0" applyAlignment="0" applyProtection="0"/>
    <xf numFmtId="0" fontId="149" fillId="36" borderId="0" applyNumberFormat="0" applyBorder="0" applyAlignment="0" applyProtection="0"/>
    <xf numFmtId="0" fontId="56" fillId="37"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149" fillId="31" borderId="0" applyNumberFormat="0" applyBorder="0" applyAlignment="0" applyProtection="0"/>
    <xf numFmtId="0" fontId="56" fillId="38" borderId="0" applyNumberFormat="0" applyBorder="0" applyAlignment="0" applyProtection="0"/>
    <xf numFmtId="0" fontId="149" fillId="31" borderId="0" applyNumberFormat="0" applyBorder="0" applyAlignment="0" applyProtection="0"/>
    <xf numFmtId="0" fontId="149" fillId="31" borderId="0" applyNumberFormat="0" applyBorder="0" applyAlignment="0" applyProtection="0"/>
    <xf numFmtId="0" fontId="149" fillId="31" borderId="0" applyNumberFormat="0" applyBorder="0" applyAlignment="0" applyProtection="0"/>
    <xf numFmtId="0" fontId="149" fillId="31" borderId="0" applyNumberFormat="0" applyBorder="0" applyAlignment="0" applyProtection="0"/>
    <xf numFmtId="0" fontId="57" fillId="39" borderId="0" applyNumberFormat="0" applyBorder="0" applyAlignment="0" applyProtection="0"/>
    <xf numFmtId="0" fontId="149" fillId="39" borderId="0" applyNumberFormat="0" applyBorder="0" applyAlignment="0" applyProtection="0"/>
    <xf numFmtId="0" fontId="56" fillId="40" borderId="0" applyNumberFormat="0" applyBorder="0" applyAlignment="0" applyProtection="0"/>
    <xf numFmtId="0" fontId="149" fillId="39" borderId="0" applyNumberFormat="0" applyBorder="0" applyAlignment="0" applyProtection="0"/>
    <xf numFmtId="0" fontId="149" fillId="39" borderId="0" applyNumberFormat="0" applyBorder="0" applyAlignment="0" applyProtection="0"/>
    <xf numFmtId="0" fontId="149" fillId="39" borderId="0" applyNumberFormat="0" applyBorder="0" applyAlignment="0" applyProtection="0"/>
    <xf numFmtId="0" fontId="149" fillId="39" borderId="0" applyNumberFormat="0" applyBorder="0" applyAlignment="0" applyProtection="0"/>
    <xf numFmtId="0" fontId="57" fillId="41" borderId="0" applyNumberFormat="0" applyBorder="0" applyAlignment="0" applyProtection="0"/>
    <xf numFmtId="0" fontId="149" fillId="41" borderId="0" applyNumberFormat="0" applyBorder="0" applyAlignment="0" applyProtection="0"/>
    <xf numFmtId="0" fontId="56" fillId="42"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149" fillId="41"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149" fillId="43" borderId="0" applyNumberFormat="0" applyBorder="0" applyAlignment="0" applyProtection="0"/>
    <xf numFmtId="0" fontId="56" fillId="44" borderId="0" applyNumberFormat="0" applyBorder="0" applyAlignment="0" applyProtection="0"/>
    <xf numFmtId="0" fontId="149" fillId="43" borderId="0" applyNumberFormat="0" applyBorder="0" applyAlignment="0" applyProtection="0"/>
    <xf numFmtId="0" fontId="149" fillId="43" borderId="0" applyNumberFormat="0" applyBorder="0" applyAlignment="0" applyProtection="0"/>
    <xf numFmtId="0" fontId="149" fillId="43" borderId="0" applyNumberFormat="0" applyBorder="0" applyAlignment="0" applyProtection="0"/>
    <xf numFmtId="0" fontId="149" fillId="43"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149" fillId="45" borderId="0" applyNumberFormat="0" applyBorder="0" applyAlignment="0" applyProtection="0"/>
    <xf numFmtId="0" fontId="56" fillId="46" borderId="0" applyNumberFormat="0" applyBorder="0" applyAlignment="0" applyProtection="0"/>
    <xf numFmtId="0" fontId="149" fillId="45" borderId="0" applyNumberFormat="0" applyBorder="0" applyAlignment="0" applyProtection="0"/>
    <xf numFmtId="0" fontId="149" fillId="45" borderId="0" applyNumberFormat="0" applyBorder="0" applyAlignment="0" applyProtection="0"/>
    <xf numFmtId="0" fontId="149" fillId="45" borderId="0" applyNumberFormat="0" applyBorder="0" applyAlignment="0" applyProtection="0"/>
    <xf numFmtId="0" fontId="149" fillId="45" borderId="0" applyNumberFormat="0" applyBorder="0" applyAlignment="0" applyProtection="0"/>
    <xf numFmtId="0" fontId="57" fillId="36" borderId="0" applyNumberFormat="0" applyBorder="0" applyAlignment="0" applyProtection="0"/>
    <xf numFmtId="0" fontId="149" fillId="36" borderId="0" applyNumberFormat="0" applyBorder="0" applyAlignment="0" applyProtection="0"/>
    <xf numFmtId="0" fontId="56" fillId="48"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149" fillId="36"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149" fillId="31" borderId="0" applyNumberFormat="0" applyBorder="0" applyAlignment="0" applyProtection="0"/>
    <xf numFmtId="0" fontId="56" fillId="49" borderId="0" applyNumberFormat="0" applyBorder="0" applyAlignment="0" applyProtection="0"/>
    <xf numFmtId="0" fontId="149" fillId="31" borderId="0" applyNumberFormat="0" applyBorder="0" applyAlignment="0" applyProtection="0"/>
    <xf numFmtId="0" fontId="149" fillId="31" borderId="0" applyNumberFormat="0" applyBorder="0" applyAlignment="0" applyProtection="0"/>
    <xf numFmtId="0" fontId="149" fillId="31" borderId="0" applyNumberFormat="0" applyBorder="0" applyAlignment="0" applyProtection="0"/>
    <xf numFmtId="0" fontId="149" fillId="3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149" fillId="50" borderId="0" applyNumberFormat="0" applyBorder="0" applyAlignment="0" applyProtection="0"/>
    <xf numFmtId="0" fontId="56" fillId="51" borderId="0" applyNumberFormat="0" applyBorder="0" applyAlignment="0" applyProtection="0"/>
    <xf numFmtId="0" fontId="149" fillId="50" borderId="0" applyNumberFormat="0" applyBorder="0" applyAlignment="0" applyProtection="0"/>
    <xf numFmtId="0" fontId="149" fillId="50" borderId="0" applyNumberFormat="0" applyBorder="0" applyAlignment="0" applyProtection="0"/>
    <xf numFmtId="0" fontId="149" fillId="50" borderId="0" applyNumberFormat="0" applyBorder="0" applyAlignment="0" applyProtection="0"/>
    <xf numFmtId="0" fontId="149" fillId="50"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150" fillId="9" borderId="0" applyNumberFormat="0" applyBorder="0" applyAlignment="0" applyProtection="0"/>
    <xf numFmtId="0" fontId="48" fillId="52"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150" fillId="9" borderId="0" applyNumberFormat="0" applyBorder="0" applyAlignment="0" applyProtection="0"/>
    <xf numFmtId="0" fontId="59" fillId="4" borderId="3" applyNumberFormat="0" applyAlignment="0" applyProtection="0"/>
    <xf numFmtId="0" fontId="151" fillId="4" borderId="3" applyNumberFormat="0" applyAlignment="0" applyProtection="0"/>
    <xf numFmtId="0" fontId="51" fillId="53" borderId="4" applyNumberFormat="0" applyAlignment="0" applyProtection="0"/>
    <xf numFmtId="0" fontId="151" fillId="4" borderId="3" applyNumberFormat="0" applyAlignment="0" applyProtection="0"/>
    <xf numFmtId="0" fontId="151" fillId="4" borderId="3" applyNumberFormat="0" applyAlignment="0" applyProtection="0"/>
    <xf numFmtId="0" fontId="151" fillId="4" borderId="3" applyNumberFormat="0" applyAlignment="0" applyProtection="0"/>
    <xf numFmtId="0" fontId="151" fillId="4" borderId="3" applyNumberFormat="0" applyAlignment="0" applyProtection="0"/>
    <xf numFmtId="0" fontId="60" fillId="54" borderId="5" applyNumberFormat="0" applyAlignment="0" applyProtection="0"/>
    <xf numFmtId="0" fontId="60" fillId="54" borderId="5" applyNumberFormat="0" applyAlignment="0" applyProtection="0"/>
    <xf numFmtId="0" fontId="152" fillId="54" borderId="5" applyNumberFormat="0" applyAlignment="0" applyProtection="0"/>
    <xf numFmtId="0" fontId="52" fillId="55" borderId="6" applyNumberFormat="0" applyAlignment="0" applyProtection="0"/>
    <xf numFmtId="0" fontId="152" fillId="54" borderId="5" applyNumberFormat="0" applyAlignment="0" applyProtection="0"/>
    <xf numFmtId="0" fontId="152" fillId="54" borderId="5" applyNumberFormat="0" applyAlignment="0" applyProtection="0"/>
    <xf numFmtId="0" fontId="152" fillId="54" borderId="5" applyNumberFormat="0" applyAlignment="0" applyProtection="0"/>
    <xf numFmtId="0" fontId="152" fillId="54" borderId="5" applyNumberFormat="0" applyAlignment="0" applyProtection="0"/>
    <xf numFmtId="40" fontId="16" fillId="0" borderId="0" applyFont="0" applyFill="0" applyBorder="0" applyAlignment="0" applyProtection="0"/>
    <xf numFmtId="40"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16" fillId="0" borderId="0" applyFont="0" applyFill="0" applyBorder="0" applyAlignment="0" applyProtection="0"/>
    <xf numFmtId="40" fontId="16" fillId="0" borderId="0" applyFont="0" applyFill="0" applyBorder="0" applyAlignment="0" applyProtection="0"/>
    <xf numFmtId="43" fontId="1" fillId="0" borderId="0" applyFont="0" applyFill="0" applyBorder="0" applyAlignment="0" applyProtection="0"/>
    <xf numFmtId="40" fontId="16" fillId="0" borderId="0" applyFont="0" applyFill="0" applyBorder="0" applyAlignment="0" applyProtection="0"/>
    <xf numFmtId="40" fontId="16" fillId="0" borderId="0" applyFont="0" applyFill="0" applyBorder="0" applyAlignment="0" applyProtection="0"/>
    <xf numFmtId="3" fontId="16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7" fontId="164" fillId="0" borderId="0" applyFont="0" applyFill="0" applyBorder="0" applyAlignment="0" applyProtection="0"/>
    <xf numFmtId="0" fontId="164"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53" fillId="0" borderId="0" applyNumberFormat="0" applyFill="0" applyBorder="0" applyAlignment="0" applyProtection="0"/>
    <xf numFmtId="0" fontId="54"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2" fontId="164" fillId="0" borderId="0" applyFont="0" applyFill="0" applyBorder="0" applyAlignment="0" applyProtection="0"/>
    <xf numFmtId="0" fontId="64" fillId="12" borderId="0" applyNumberFormat="0" applyBorder="0" applyAlignment="0" applyProtection="0"/>
    <xf numFmtId="0" fontId="64" fillId="12" borderId="0" applyNumberFormat="0" applyBorder="0" applyAlignment="0" applyProtection="0"/>
    <xf numFmtId="0" fontId="154" fillId="12" borderId="0" applyNumberFormat="0" applyBorder="0" applyAlignment="0" applyProtection="0"/>
    <xf numFmtId="0" fontId="47" fillId="56"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54" fillId="12" borderId="0" applyNumberFormat="0" applyBorder="0" applyAlignment="0" applyProtection="0"/>
    <xf numFmtId="0" fontId="106" fillId="0" borderId="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06" fillId="0" borderId="0" applyFont="0" applyFill="0" applyBorder="0" applyAlignment="0" applyProtection="0"/>
    <xf numFmtId="0" fontId="94" fillId="0" borderId="35" applyNumberFormat="0" applyFill="0" applyAlignment="0" applyProtection="0"/>
    <xf numFmtId="0" fontId="106" fillId="0" borderId="0" applyFont="0" applyFill="0" applyBorder="0" applyAlignment="0" applyProtection="0"/>
    <xf numFmtId="0" fontId="106" fillId="0" borderId="0" applyFont="0" applyFill="0" applyBorder="0" applyAlignment="0" applyProtection="0"/>
    <xf numFmtId="0" fontId="106" fillId="0" borderId="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4" fillId="0" borderId="0" applyFont="0" applyFill="0" applyBorder="0" applyAlignment="0" applyProtection="0"/>
    <xf numFmtId="0" fontId="45" fillId="0" borderId="11" applyNumberFormat="0" applyFill="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70" fillId="0" borderId="13" applyNumberFormat="0" applyFill="0" applyAlignment="0" applyProtection="0"/>
    <xf numFmtId="0" fontId="155" fillId="0" borderId="13" applyNumberFormat="0" applyFill="0" applyAlignment="0" applyProtection="0"/>
    <xf numFmtId="0" fontId="46" fillId="0" borderId="14" applyNumberFormat="0" applyFill="0" applyAlignment="0" applyProtection="0"/>
    <xf numFmtId="0" fontId="155" fillId="0" borderId="13" applyNumberFormat="0" applyFill="0" applyAlignment="0" applyProtection="0"/>
    <xf numFmtId="0" fontId="155" fillId="0" borderId="13" applyNumberFormat="0" applyFill="0" applyAlignment="0" applyProtection="0"/>
    <xf numFmtId="0" fontId="155" fillId="0" borderId="13" applyNumberFormat="0" applyFill="0" applyAlignment="0" applyProtection="0"/>
    <xf numFmtId="0" fontId="155" fillId="0" borderId="13" applyNumberFormat="0" applyFill="0" applyAlignment="0" applyProtection="0"/>
    <xf numFmtId="0" fontId="70" fillId="0" borderId="0" applyNumberFormat="0" applyFill="0" applyBorder="0" applyAlignment="0" applyProtection="0"/>
    <xf numFmtId="0" fontId="155" fillId="0" borderId="0" applyNumberFormat="0" applyFill="0" applyBorder="0" applyAlignment="0" applyProtection="0"/>
    <xf numFmtId="0" fontId="46"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72" fillId="8" borderId="3" applyNumberFormat="0" applyAlignment="0" applyProtection="0"/>
    <xf numFmtId="0" fontId="49" fillId="57" borderId="4" applyNumberFormat="0" applyAlignment="0" applyProtection="0"/>
    <xf numFmtId="0" fontId="156" fillId="8" borderId="3" applyNumberFormat="0" applyAlignment="0" applyProtection="0"/>
    <xf numFmtId="0" fontId="156" fillId="8" borderId="3" applyNumberFormat="0" applyAlignment="0" applyProtection="0"/>
    <xf numFmtId="0" fontId="156" fillId="8" borderId="3" applyNumberFormat="0" applyAlignment="0" applyProtection="0"/>
    <xf numFmtId="0" fontId="156" fillId="8" borderId="3" applyNumberFormat="0" applyAlignment="0" applyProtection="0"/>
    <xf numFmtId="0" fontId="73" fillId="0" borderId="15" applyNumberFormat="0" applyFill="0" applyAlignment="0" applyProtection="0"/>
    <xf numFmtId="0" fontId="73" fillId="0" borderId="15" applyNumberFormat="0" applyFill="0" applyAlignment="0" applyProtection="0"/>
    <xf numFmtId="0" fontId="157" fillId="0" borderId="15" applyNumberFormat="0" applyFill="0" applyAlignment="0" applyProtection="0"/>
    <xf numFmtId="0" fontId="95" fillId="0" borderId="36" applyNumberFormat="0" applyFill="0" applyAlignment="0" applyProtection="0"/>
    <xf numFmtId="0" fontId="157" fillId="0" borderId="15" applyNumberFormat="0" applyFill="0" applyAlignment="0" applyProtection="0"/>
    <xf numFmtId="0" fontId="157" fillId="0" borderId="15" applyNumberFormat="0" applyFill="0" applyAlignment="0" applyProtection="0"/>
    <xf numFmtId="0" fontId="157" fillId="0" borderId="15" applyNumberFormat="0" applyFill="0" applyAlignment="0" applyProtection="0"/>
    <xf numFmtId="0" fontId="157" fillId="0" borderId="15" applyNumberFormat="0" applyFill="0" applyAlignment="0" applyProtection="0"/>
    <xf numFmtId="0" fontId="74" fillId="24" borderId="0" applyNumberFormat="0" applyBorder="0" applyAlignment="0" applyProtection="0"/>
    <xf numFmtId="0" fontId="74" fillId="24" borderId="0" applyNumberFormat="0" applyBorder="0" applyAlignment="0" applyProtection="0"/>
    <xf numFmtId="0" fontId="158" fillId="24" borderId="0" applyNumberFormat="0" applyBorder="0" applyAlignment="0" applyProtection="0"/>
    <xf numFmtId="0" fontId="163" fillId="63" borderId="0" applyNumberFormat="0" applyBorder="0" applyAlignment="0" applyProtection="0"/>
    <xf numFmtId="0" fontId="158" fillId="24" borderId="0" applyNumberFormat="0" applyBorder="0" applyAlignment="0" applyProtection="0"/>
    <xf numFmtId="0" fontId="158" fillId="24" borderId="0" applyNumberFormat="0" applyBorder="0" applyAlignment="0" applyProtection="0"/>
    <xf numFmtId="0" fontId="158" fillId="24" borderId="0" applyNumberFormat="0" applyBorder="0" applyAlignment="0" applyProtection="0"/>
    <xf numFmtId="0" fontId="158" fillId="2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16" fillId="0" borderId="0">
      <alignment/>
      <protection/>
    </xf>
    <xf numFmtId="169" fontId="8" fillId="0" borderId="0" applyProtection="0">
      <alignment/>
    </xf>
    <xf numFmtId="0" fontId="16" fillId="0" borderId="0">
      <alignment/>
      <protection/>
    </xf>
    <xf numFmtId="0" fontId="16" fillId="0" borderId="0">
      <alignment/>
      <protection/>
    </xf>
    <xf numFmtId="169" fontId="8" fillId="0" borderId="0" applyProtection="0">
      <alignment/>
    </xf>
    <xf numFmtId="169" fontId="8" fillId="0" borderId="0" applyProtection="0">
      <alignment/>
    </xf>
    <xf numFmtId="0" fontId="16"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278" fontId="0" fillId="0" borderId="0">
      <alignment/>
      <protection/>
    </xf>
    <xf numFmtId="2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278" fontId="0" fillId="0" borderId="0">
      <alignment/>
      <protection/>
    </xf>
    <xf numFmtId="2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11" borderId="16" applyNumberFormat="0" applyFont="0" applyAlignment="0" applyProtection="0"/>
    <xf numFmtId="0" fontId="8" fillId="11" borderId="16"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2" fillId="58" borderId="17"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8" fillId="11" borderId="16" applyNumberFormat="0" applyFont="0" applyAlignment="0" applyProtection="0"/>
    <xf numFmtId="0" fontId="76" fillId="4" borderId="18" applyNumberFormat="0" applyAlignment="0" applyProtection="0"/>
    <xf numFmtId="0" fontId="159" fillId="4" borderId="18" applyNumberFormat="0" applyAlignment="0" applyProtection="0"/>
    <xf numFmtId="0" fontId="50" fillId="53" borderId="19" applyNumberFormat="0" applyAlignment="0" applyProtection="0"/>
    <xf numFmtId="0" fontId="159" fillId="4" borderId="18" applyNumberFormat="0" applyAlignment="0" applyProtection="0"/>
    <xf numFmtId="0" fontId="159" fillId="4" borderId="18" applyNumberFormat="0" applyAlignment="0" applyProtection="0"/>
    <xf numFmtId="0" fontId="159" fillId="4" borderId="18" applyNumberFormat="0" applyAlignment="0" applyProtection="0"/>
    <xf numFmtId="0" fontId="159" fillId="4" borderId="18" applyNumberFormat="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0" fontId="16" fillId="0" borderId="0" applyNumberFormat="0" applyFont="0" applyFill="0" applyBorder="0" applyProtection="0">
      <alignment/>
    </xf>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3" fontId="16" fillId="0" borderId="0" applyFont="0" applyFill="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16" fillId="2" borderId="0" applyNumberFormat="0" applyFont="0" applyBorder="0" applyAlignment="0" applyProtection="0"/>
    <xf numFmtId="0" fontId="84" fillId="0" borderId="0" applyNumberFormat="0" applyFill="0" applyBorder="0" applyAlignment="0" applyProtection="0"/>
    <xf numFmtId="0" fontId="162"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0" fillId="0" borderId="0" applyFont="0" applyFill="0" applyBorder="0" applyAlignment="0" applyProtection="0"/>
    <xf numFmtId="0" fontId="164" fillId="0" borderId="26" applyNumberFormat="0" applyFont="0" applyFill="0" applyAlignment="0" applyProtection="0"/>
    <xf numFmtId="0" fontId="164" fillId="0" borderId="26" applyNumberFormat="0" applyFont="0" applyFill="0" applyAlignment="0" applyProtection="0"/>
    <xf numFmtId="0" fontId="0" fillId="0" borderId="0" applyFont="0" applyFill="0" applyBorder="0" applyAlignment="0" applyProtection="0"/>
    <xf numFmtId="0" fontId="55" fillId="0" borderId="24" applyNumberFormat="0" applyFill="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60" fillId="0" borderId="0" applyNumberFormat="0" applyFill="0" applyBorder="0" applyAlignment="0" applyProtection="0"/>
    <xf numFmtId="0" fontId="53"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3" fontId="0" fillId="0" borderId="0">
      <alignment/>
      <protection/>
    </xf>
    <xf numFmtId="14" fontId="3" fillId="17" borderId="2">
      <alignment horizontal="center" vertical="center" wrapText="1"/>
      <protection/>
    </xf>
    <xf numFmtId="0" fontId="107" fillId="0" borderId="2">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2">
      <alignment horizontal="center"/>
      <protection/>
    </xf>
    <xf numFmtId="0" fontId="117" fillId="0" borderId="2">
      <alignment horizontal="righ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0" fillId="0" borderId="0">
      <alignment/>
      <protection/>
    </xf>
    <xf numFmtId="14" fontId="0" fillId="0" borderId="0" applyFont="0" applyFill="0" applyBorder="0" applyAlignment="0" applyProtection="0"/>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17" fillId="0" borderId="2">
      <alignment horizontal="center"/>
      <protection/>
    </xf>
    <xf numFmtId="0" fontId="2" fillId="0" borderId="0">
      <alignment/>
      <protection/>
    </xf>
    <xf numFmtId="43" fontId="2" fillId="0" borderId="0" applyFont="0" applyFill="0" applyBorder="0" applyAlignment="0" applyProtection="0"/>
    <xf numFmtId="0" fontId="2" fillId="0" borderId="0">
      <alignment/>
      <protection/>
    </xf>
    <xf numFmtId="43" fontId="2" fillId="0" borderId="0" applyFont="0" applyFill="0" applyBorder="0" applyAlignment="0" applyProtection="0"/>
  </cellStyleXfs>
  <cellXfs count="1198">
    <xf numFmtId="0" fontId="0" fillId="0" borderId="0" xfId="0"/>
    <xf numFmtId="0" fontId="5" fillId="0" borderId="0" xfId="20" applyFont="1" applyAlignment="1">
      <alignment/>
      <protection/>
    </xf>
    <xf numFmtId="0" fontId="5" fillId="0" borderId="0" xfId="20" applyFont="1">
      <alignment/>
      <protection/>
    </xf>
    <xf numFmtId="0" fontId="5" fillId="0" borderId="0" xfId="20" applyFont="1" applyFill="1" applyAlignment="1">
      <alignment/>
      <protection/>
    </xf>
    <xf numFmtId="0" fontId="5" fillId="0" borderId="0" xfId="20" applyFont="1" applyFill="1">
      <alignment/>
      <protection/>
    </xf>
    <xf numFmtId="0" fontId="5" fillId="0" borderId="0" xfId="20" applyFont="1" applyAlignment="1">
      <alignment horizontal="left"/>
      <protection/>
    </xf>
    <xf numFmtId="0" fontId="5" fillId="0" borderId="0" xfId="20" applyFont="1" applyAlignment="1">
      <alignment horizontal="right"/>
      <protection/>
    </xf>
    <xf numFmtId="0" fontId="5" fillId="0" borderId="0" xfId="20" applyFont="1" applyAlignment="1">
      <alignment horizontal="center"/>
      <protection/>
    </xf>
    <xf numFmtId="0" fontId="5" fillId="0" borderId="0" xfId="20" applyFont="1" applyFill="1" applyAlignment="1">
      <alignment horizontal="center"/>
      <protection/>
    </xf>
    <xf numFmtId="164" fontId="5" fillId="0" borderId="0" xfId="18" applyNumberFormat="1" applyFont="1"/>
    <xf numFmtId="0" fontId="5" fillId="0" borderId="25" xfId="20" applyFont="1" applyBorder="1">
      <alignment/>
      <protection/>
    </xf>
    <xf numFmtId="0" fontId="11" fillId="0" borderId="0" xfId="20" applyFont="1" applyFill="1" applyAlignment="1">
      <alignment horizontal="center"/>
      <protection/>
    </xf>
    <xf numFmtId="0" fontId="18" fillId="0" borderId="0" xfId="20" applyFont="1">
      <alignment/>
      <protection/>
    </xf>
    <xf numFmtId="0" fontId="18" fillId="0" borderId="0" xfId="20" applyFont="1" applyFill="1">
      <alignment/>
      <protection/>
    </xf>
    <xf numFmtId="0" fontId="18" fillId="0" borderId="0" xfId="20" applyFont="1" applyFill="1" applyBorder="1">
      <alignment/>
      <protection/>
    </xf>
    <xf numFmtId="0" fontId="18" fillId="0" borderId="0" xfId="20" applyFont="1" applyBorder="1">
      <alignment/>
      <protection/>
    </xf>
    <xf numFmtId="0" fontId="15" fillId="0" borderId="0" xfId="20" applyFont="1" applyFill="1">
      <alignment/>
      <protection/>
    </xf>
    <xf numFmtId="0" fontId="15" fillId="0" borderId="0" xfId="20" applyFont="1">
      <alignment/>
      <protection/>
    </xf>
    <xf numFmtId="164" fontId="5" fillId="0" borderId="0" xfId="18" applyNumberFormat="1" applyFont="1" applyFill="1" applyAlignment="1">
      <alignment/>
    </xf>
    <xf numFmtId="0" fontId="27" fillId="0" borderId="0" xfId="20" applyFont="1" applyAlignment="1">
      <alignment/>
      <protection/>
    </xf>
    <xf numFmtId="164" fontId="5" fillId="0" borderId="0" xfId="18" applyNumberFormat="1" applyFont="1" applyFill="1" applyBorder="1" applyAlignment="1">
      <alignment/>
    </xf>
    <xf numFmtId="0" fontId="6" fillId="0" borderId="0" xfId="20" applyFont="1">
      <alignment/>
      <protection/>
    </xf>
    <xf numFmtId="164" fontId="5" fillId="0" borderId="0" xfId="18" applyNumberFormat="1" applyFont="1" applyAlignment="1">
      <alignment/>
    </xf>
    <xf numFmtId="0" fontId="5" fillId="0" borderId="0" xfId="20" applyFont="1" applyAlignment="1">
      <alignment horizontal="left" wrapText="1"/>
      <protection/>
    </xf>
    <xf numFmtId="0" fontId="5" fillId="43" borderId="0" xfId="20" applyFont="1" applyFill="1">
      <alignment/>
      <protection/>
    </xf>
    <xf numFmtId="0" fontId="5" fillId="0" borderId="0" xfId="20" applyFont="1" applyFill="1" applyAlignment="1">
      <alignment horizontal="left" wrapText="1"/>
      <protection/>
    </xf>
    <xf numFmtId="164" fontId="5" fillId="0" borderId="0" xfId="18" applyNumberFormat="1" applyFont="1" applyFill="1" applyBorder="1"/>
    <xf numFmtId="0" fontId="10" fillId="0" borderId="0" xfId="20" applyFont="1">
      <alignment/>
      <protection/>
    </xf>
    <xf numFmtId="3" fontId="5" fillId="0" borderId="0" xfId="20" applyNumberFormat="1" applyFont="1" applyFill="1" applyBorder="1" applyAlignment="1">
      <alignment/>
      <protection/>
    </xf>
    <xf numFmtId="0" fontId="5" fillId="0" borderId="0" xfId="20" applyNumberFormat="1" applyFont="1" applyFill="1" applyBorder="1" applyAlignment="1">
      <alignment horizontal="left"/>
      <protection/>
    </xf>
    <xf numFmtId="171" fontId="14" fillId="0" borderId="0" xfId="25" applyNumberFormat="1" applyFont="1" applyFill="1"/>
    <xf numFmtId="164" fontId="5" fillId="0" borderId="2" xfId="18" applyNumberFormat="1" applyFont="1" applyFill="1" applyBorder="1"/>
    <xf numFmtId="0" fontId="5" fillId="0" borderId="0" xfId="20" applyFont="1">
      <alignment/>
      <protection/>
    </xf>
    <xf numFmtId="0" fontId="28" fillId="0" borderId="0" xfId="20" applyFont="1" applyAlignment="1">
      <alignment horizontal="center"/>
      <protection/>
    </xf>
    <xf numFmtId="0" fontId="35" fillId="0" borderId="0" xfId="20" applyFont="1" applyFill="1" applyAlignment="1">
      <alignment horizontal="center"/>
      <protection/>
    </xf>
    <xf numFmtId="0" fontId="11" fillId="0" borderId="0" xfId="20" applyFont="1">
      <alignment/>
      <protection/>
    </xf>
    <xf numFmtId="0" fontId="5" fillId="0" borderId="0" xfId="20" applyFont="1" applyAlignment="1">
      <alignment horizontal="right" wrapText="1"/>
      <protection/>
    </xf>
    <xf numFmtId="164" fontId="5" fillId="0" borderId="0" xfId="18" applyNumberFormat="1" applyFont="1" applyAlignment="1">
      <alignment horizontal="left" wrapText="1"/>
    </xf>
    <xf numFmtId="0" fontId="5" fillId="0" borderId="0" xfId="20" applyFont="1" applyAlignment="1">
      <alignment horizontal="right"/>
      <protection/>
    </xf>
    <xf numFmtId="37" fontId="5" fillId="0" borderId="0" xfId="20" applyNumberFormat="1" applyFont="1" applyFill="1" applyAlignment="1">
      <alignment horizontal="right" wrapText="1"/>
      <protection/>
    </xf>
    <xf numFmtId="0" fontId="6" fillId="0" borderId="0" xfId="20" applyFont="1" applyFill="1">
      <alignment/>
      <protection/>
    </xf>
    <xf numFmtId="41" fontId="5" fillId="0" borderId="0" xfId="20" applyNumberFormat="1" applyFont="1" applyFill="1" applyBorder="1" applyAlignment="1">
      <alignment horizontal="right"/>
      <protection/>
    </xf>
    <xf numFmtId="0" fontId="10" fillId="0" borderId="0" xfId="20" applyFont="1" applyAlignment="1">
      <alignment horizontal="center"/>
      <protection/>
    </xf>
    <xf numFmtId="164" fontId="10" fillId="0" borderId="0" xfId="18" applyNumberFormat="1" applyFont="1" applyAlignment="1">
      <alignment/>
    </xf>
    <xf numFmtId="0" fontId="10" fillId="0" borderId="0" xfId="20" applyFont="1" applyAlignment="1">
      <alignment horizontal="right"/>
      <protection/>
    </xf>
    <xf numFmtId="0" fontId="10" fillId="0" borderId="0" xfId="20" applyFont="1" applyFill="1">
      <alignment/>
      <protection/>
    </xf>
    <xf numFmtId="164" fontId="5" fillId="0" borderId="0" xfId="18" applyNumberFormat="1" applyFont="1" applyBorder="1"/>
    <xf numFmtId="3" fontId="5" fillId="24" borderId="0" xfId="20" applyNumberFormat="1" applyFont="1" applyFill="1" applyBorder="1">
      <alignment/>
      <protection/>
    </xf>
    <xf numFmtId="3" fontId="5" fillId="0" borderId="0" xfId="18" applyNumberFormat="1" applyFont="1" applyFill="1"/>
    <xf numFmtId="167" fontId="5" fillId="0" borderId="0" xfId="15" applyNumberFormat="1" applyFont="1"/>
    <xf numFmtId="166" fontId="5" fillId="0" borderId="0" xfId="16" applyNumberFormat="1" applyFont="1" applyFill="1" applyBorder="1"/>
    <xf numFmtId="164" fontId="5" fillId="0" borderId="0" xfId="18" applyNumberFormat="1" applyFont="1" applyFill="1" applyBorder="1" applyAlignment="1">
      <alignment horizontal="left"/>
    </xf>
    <xf numFmtId="164" fontId="5" fillId="61" borderId="29" xfId="18" applyNumberFormat="1" applyFont="1" applyFill="1" applyBorder="1"/>
    <xf numFmtId="164" fontId="5" fillId="0" borderId="2" xfId="18" applyNumberFormat="1" applyFont="1" applyBorder="1"/>
    <xf numFmtId="3" fontId="5" fillId="0" borderId="0" xfId="16" applyNumberFormat="1" applyFont="1" applyFill="1" applyBorder="1"/>
    <xf numFmtId="167" fontId="5" fillId="0" borderId="0" xfId="15" applyNumberFormat="1" applyFont="1" applyFill="1" applyBorder="1"/>
    <xf numFmtId="10" fontId="5" fillId="0" borderId="0" xfId="15" applyNumberFormat="1" applyFont="1"/>
    <xf numFmtId="0" fontId="3" fillId="0" borderId="0" xfId="0" applyFont="1" applyFill="1" applyBorder="1" applyAlignment="1">
      <alignment horizontal="center"/>
    </xf>
    <xf numFmtId="0" fontId="5" fillId="0" borderId="0" xfId="0" applyFont="1" applyFill="1" applyBorder="1"/>
    <xf numFmtId="0" fontId="18" fillId="0" borderId="0" xfId="0" applyFont="1"/>
    <xf numFmtId="164" fontId="15" fillId="0" borderId="0" xfId="18" applyNumberFormat="1" applyFont="1" applyFill="1" applyAlignment="1">
      <alignment/>
    </xf>
    <xf numFmtId="3" fontId="5" fillId="0" borderId="30" xfId="20" applyNumberFormat="1" applyFont="1" applyFill="1" applyBorder="1">
      <alignment/>
      <protection/>
    </xf>
    <xf numFmtId="0" fontId="39" fillId="0" borderId="0" xfId="0" applyFont="1" applyFill="1" applyBorder="1" applyAlignment="1">
      <alignment horizontal="center"/>
    </xf>
    <xf numFmtId="0" fontId="3" fillId="0" borderId="0" xfId="0" applyFont="1" applyFill="1" applyBorder="1" applyAlignment="1">
      <alignment horizontal="center" wrapText="1"/>
    </xf>
    <xf numFmtId="0" fontId="3" fillId="0" borderId="37" xfId="0" applyFont="1" applyFill="1" applyBorder="1" applyAlignment="1">
      <alignment horizontal="center" wrapText="1"/>
    </xf>
    <xf numFmtId="0" fontId="31" fillId="0" borderId="0" xfId="0" applyFont="1" applyFill="1" applyBorder="1" applyAlignment="1">
      <alignment/>
    </xf>
    <xf numFmtId="0" fontId="31" fillId="0" borderId="0" xfId="0" applyFont="1" applyFill="1" applyBorder="1" applyAlignment="1">
      <alignment horizontal="center"/>
    </xf>
    <xf numFmtId="0" fontId="31" fillId="0" borderId="38" xfId="0" applyFont="1" applyFill="1" applyBorder="1" applyAlignment="1">
      <alignment horizontal="left"/>
    </xf>
    <xf numFmtId="0" fontId="31" fillId="0" borderId="0" xfId="0" applyFont="1" applyFill="1" applyBorder="1" applyAlignment="1">
      <alignment horizontal="left"/>
    </xf>
    <xf numFmtId="0" fontId="5" fillId="0" borderId="2" xfId="0" applyFont="1" applyFill="1" applyBorder="1"/>
    <xf numFmtId="0" fontId="5" fillId="0" borderId="0" xfId="0" applyFont="1" applyFill="1" applyBorder="1" applyAlignment="1">
      <alignment/>
    </xf>
    <xf numFmtId="0" fontId="31" fillId="0" borderId="0" xfId="0" applyFont="1" applyFill="1" applyBorder="1" applyAlignment="1">
      <alignment wrapText="1"/>
    </xf>
    <xf numFmtId="0" fontId="4" fillId="0" borderId="0" xfId="0" applyFont="1" applyFill="1" applyBorder="1" applyAlignment="1">
      <alignment/>
    </xf>
    <xf numFmtId="0" fontId="5" fillId="0" borderId="0" xfId="0" applyFont="1" applyFill="1" applyBorder="1" applyAlignment="1">
      <alignment horizontal="center"/>
    </xf>
    <xf numFmtId="0" fontId="38" fillId="0" borderId="0" xfId="0" applyFont="1" applyFill="1" applyBorder="1" applyAlignment="1">
      <alignment horizontal="center"/>
    </xf>
    <xf numFmtId="0" fontId="4" fillId="0" borderId="0" xfId="0" applyFont="1" applyFill="1" applyBorder="1" applyAlignment="1">
      <alignment horizontal="center" wrapText="1"/>
    </xf>
    <xf numFmtId="0" fontId="37" fillId="0" borderId="0" xfId="0" applyFont="1" applyFill="1" applyBorder="1" applyAlignment="1">
      <alignment/>
    </xf>
    <xf numFmtId="0" fontId="4" fillId="0" borderId="37" xfId="0" applyFont="1" applyFill="1" applyBorder="1" applyAlignment="1">
      <alignment horizontal="center" wrapText="1"/>
    </xf>
    <xf numFmtId="0" fontId="5" fillId="0" borderId="37" xfId="0" applyFont="1" applyFill="1" applyBorder="1"/>
    <xf numFmtId="0" fontId="5" fillId="0" borderId="2" xfId="0" applyFont="1" applyFill="1" applyBorder="1" applyAlignment="1">
      <alignment/>
    </xf>
    <xf numFmtId="0" fontId="5" fillId="0" borderId="2" xfId="0" applyFont="1" applyFill="1" applyBorder="1" applyAlignment="1">
      <alignment horizontal="center"/>
    </xf>
    <xf numFmtId="166" fontId="5" fillId="0" borderId="2" xfId="0" applyNumberFormat="1" applyFont="1" applyFill="1" applyBorder="1" applyAlignment="1">
      <alignment horizontal="center"/>
    </xf>
    <xf numFmtId="0" fontId="6" fillId="0" borderId="2" xfId="0" applyFont="1" applyFill="1" applyBorder="1"/>
    <xf numFmtId="0" fontId="5" fillId="0" borderId="39" xfId="0" applyFont="1" applyFill="1" applyBorder="1"/>
    <xf numFmtId="0" fontId="37" fillId="0" borderId="0" xfId="0" applyFont="1" applyFill="1" applyBorder="1"/>
    <xf numFmtId="0" fontId="0" fillId="0" borderId="0" xfId="35" applyFont="1" applyAlignment="1">
      <alignment horizontal="center"/>
      <protection/>
    </xf>
    <xf numFmtId="0" fontId="3" fillId="0" borderId="0" xfId="35" applyFont="1">
      <alignment/>
      <protection/>
    </xf>
    <xf numFmtId="3" fontId="5" fillId="24" borderId="0" xfId="20" applyNumberFormat="1" applyFont="1" applyFill="1" applyBorder="1" applyProtection="1">
      <alignment/>
      <protection locked="0"/>
    </xf>
    <xf numFmtId="0" fontId="5" fillId="0" borderId="0" xfId="35" applyFont="1">
      <alignment/>
      <protection/>
    </xf>
    <xf numFmtId="0" fontId="5" fillId="0" borderId="0" xfId="35" applyFont="1" applyFill="1">
      <alignment/>
      <protection/>
    </xf>
    <xf numFmtId="0" fontId="5" fillId="0" borderId="0" xfId="35" applyFont="1" applyAlignment="1">
      <alignment horizontal="center"/>
      <protection/>
    </xf>
    <xf numFmtId="0" fontId="5" fillId="0" borderId="0" xfId="35" applyFont="1" applyBorder="1">
      <alignment/>
      <protection/>
    </xf>
    <xf numFmtId="0" fontId="4" fillId="0" borderId="0" xfId="35" applyFont="1" applyFill="1" applyBorder="1" applyAlignment="1">
      <alignment/>
      <protection/>
    </xf>
    <xf numFmtId="0" fontId="5" fillId="0" borderId="0" xfId="35" applyFont="1" applyFill="1" applyBorder="1">
      <alignment/>
      <protection/>
    </xf>
    <xf numFmtId="0" fontId="10" fillId="0" borderId="0" xfId="35" applyFont="1">
      <alignment/>
      <protection/>
    </xf>
    <xf numFmtId="0" fontId="4" fillId="0" borderId="0" xfId="35" applyFont="1" applyAlignment="1">
      <alignment horizontal="centerContinuous"/>
      <protection/>
    </xf>
    <xf numFmtId="0" fontId="5" fillId="0" borderId="0" xfId="35" applyNumberFormat="1" applyFont="1" applyFill="1" applyBorder="1" applyAlignment="1">
      <alignment/>
      <protection/>
    </xf>
    <xf numFmtId="0" fontId="5" fillId="0" borderId="0" xfId="35" applyNumberFormat="1" applyFont="1" applyFill="1" applyBorder="1" applyAlignment="1">
      <alignment horizontal="center"/>
      <protection/>
    </xf>
    <xf numFmtId="37" fontId="5" fillId="0" borderId="0" xfId="35" applyNumberFormat="1" applyFont="1" applyBorder="1" applyAlignment="1">
      <alignment horizontal="left"/>
      <protection/>
    </xf>
    <xf numFmtId="37" fontId="27" fillId="0" borderId="0" xfId="35" applyNumberFormat="1" applyFont="1" applyBorder="1" applyAlignment="1">
      <alignment horizontal="left"/>
      <protection/>
    </xf>
    <xf numFmtId="0" fontId="4" fillId="0" borderId="0" xfId="35" applyFont="1" applyFill="1" applyBorder="1" applyAlignment="1">
      <alignment horizontal="left"/>
      <protection/>
    </xf>
    <xf numFmtId="0" fontId="5" fillId="0" borderId="0" xfId="35" applyNumberFormat="1" applyFont="1" applyBorder="1" applyAlignment="1">
      <alignment horizontal="center"/>
      <protection/>
    </xf>
    <xf numFmtId="0" fontId="5" fillId="0" borderId="0" xfId="35" applyFont="1" applyBorder="1" applyAlignment="1">
      <alignment/>
      <protection/>
    </xf>
    <xf numFmtId="0" fontId="4" fillId="0" borderId="0" xfId="35" applyFont="1" applyBorder="1" applyAlignment="1">
      <alignment horizontal="center"/>
      <protection/>
    </xf>
    <xf numFmtId="0" fontId="4" fillId="61" borderId="40" xfId="35" applyFont="1" applyFill="1" applyBorder="1" applyAlignment="1">
      <alignment/>
      <protection/>
    </xf>
    <xf numFmtId="0" fontId="4" fillId="61" borderId="29" xfId="35" applyFont="1" applyFill="1" applyBorder="1" applyAlignment="1">
      <alignment/>
      <protection/>
    </xf>
    <xf numFmtId="0" fontId="4" fillId="61" borderId="29" xfId="35" applyFont="1" applyFill="1" applyBorder="1" applyAlignment="1">
      <alignment horizontal="center"/>
      <protection/>
    </xf>
    <xf numFmtId="0" fontId="4" fillId="61" borderId="29" xfId="35" applyFont="1" applyFill="1" applyBorder="1" applyAlignment="1">
      <alignment wrapText="1"/>
      <protection/>
    </xf>
    <xf numFmtId="0" fontId="5" fillId="0" borderId="41" xfId="35" applyFont="1" applyBorder="1" applyAlignment="1">
      <alignment horizontal="center"/>
      <protection/>
    </xf>
    <xf numFmtId="0" fontId="4" fillId="0" borderId="42" xfId="35" applyNumberFormat="1" applyFont="1" applyFill="1" applyBorder="1" applyAlignment="1">
      <alignment/>
      <protection/>
    </xf>
    <xf numFmtId="0" fontId="5" fillId="0" borderId="42" xfId="35" applyFont="1" applyBorder="1" applyAlignment="1">
      <alignment/>
      <protection/>
    </xf>
    <xf numFmtId="0" fontId="5" fillId="0" borderId="42" xfId="35" applyFont="1" applyBorder="1">
      <alignment/>
      <protection/>
    </xf>
    <xf numFmtId="0" fontId="5" fillId="0" borderId="42" xfId="35" applyFont="1" applyBorder="1" applyAlignment="1">
      <alignment horizontal="center"/>
      <protection/>
    </xf>
    <xf numFmtId="0" fontId="5" fillId="0" borderId="43" xfId="35" applyFont="1" applyBorder="1">
      <alignment/>
      <protection/>
    </xf>
    <xf numFmtId="0" fontId="5" fillId="0" borderId="38" xfId="35" applyFont="1" applyBorder="1" applyAlignment="1">
      <alignment horizontal="center"/>
      <protection/>
    </xf>
    <xf numFmtId="0" fontId="4" fillId="0" borderId="0" xfId="35" applyNumberFormat="1" applyFont="1" applyFill="1" applyBorder="1" applyAlignment="1">
      <alignment/>
      <protection/>
    </xf>
    <xf numFmtId="0" fontId="5" fillId="0" borderId="0" xfId="35" applyFont="1" applyFill="1" applyBorder="1" applyAlignment="1">
      <alignment horizontal="left"/>
      <protection/>
    </xf>
    <xf numFmtId="3" fontId="5" fillId="0" borderId="0" xfId="35" applyNumberFormat="1" applyFont="1" applyFill="1" applyBorder="1">
      <alignment/>
      <protection/>
    </xf>
    <xf numFmtId="0" fontId="5" fillId="0" borderId="38" xfId="35" applyNumberFormat="1" applyFont="1" applyFill="1" applyBorder="1" applyAlignment="1">
      <alignment horizontal="center"/>
      <protection/>
    </xf>
    <xf numFmtId="0" fontId="5" fillId="0" borderId="0" xfId="35" applyNumberFormat="1" applyFont="1" applyFill="1" applyBorder="1" applyAlignment="1">
      <alignment horizontal="left"/>
      <protection/>
    </xf>
    <xf numFmtId="3" fontId="5" fillId="0" borderId="0" xfId="35" applyNumberFormat="1" applyFont="1" applyFill="1" applyBorder="1" applyAlignment="1">
      <alignment horizontal="center"/>
      <protection/>
    </xf>
    <xf numFmtId="3" fontId="5" fillId="0" borderId="0" xfId="35" applyNumberFormat="1" applyFont="1" applyFill="1" applyBorder="1" applyAlignment="1">
      <alignment horizontal="left"/>
      <protection/>
    </xf>
    <xf numFmtId="0" fontId="5" fillId="0" borderId="37" xfId="35" applyFont="1" applyBorder="1">
      <alignment/>
      <protection/>
    </xf>
    <xf numFmtId="3" fontId="5" fillId="0" borderId="0" xfId="35" applyNumberFormat="1" applyFont="1" applyFill="1" applyBorder="1" applyAlignment="1">
      <alignment/>
      <protection/>
    </xf>
    <xf numFmtId="0" fontId="5" fillId="0" borderId="38" xfId="35" applyFont="1" applyFill="1" applyBorder="1" applyAlignment="1">
      <alignment horizontal="center"/>
      <protection/>
    </xf>
    <xf numFmtId="0" fontId="4" fillId="0" borderId="0" xfId="35" applyNumberFormat="1" applyFont="1" applyFill="1" applyBorder="1" applyAlignment="1">
      <alignment horizontal="left"/>
      <protection/>
    </xf>
    <xf numFmtId="0" fontId="5" fillId="0" borderId="0" xfId="35" applyFont="1" applyBorder="1" applyAlignment="1">
      <alignment horizontal="left"/>
      <protection/>
    </xf>
    <xf numFmtId="0" fontId="4" fillId="0" borderId="2" xfId="35" applyNumberFormat="1" applyFont="1" applyFill="1" applyBorder="1" applyAlignment="1">
      <alignment horizontal="left"/>
      <protection/>
    </xf>
    <xf numFmtId="0" fontId="5" fillId="0" borderId="2" xfId="35" applyNumberFormat="1" applyFont="1" applyFill="1" applyBorder="1" applyAlignment="1">
      <alignment horizontal="left"/>
      <protection/>
    </xf>
    <xf numFmtId="0" fontId="5" fillId="0" borderId="2" xfId="35" applyFont="1" applyFill="1" applyBorder="1">
      <alignment/>
      <protection/>
    </xf>
    <xf numFmtId="0" fontId="5" fillId="0" borderId="2" xfId="35" applyFont="1" applyFill="1" applyBorder="1" applyAlignment="1">
      <alignment horizontal="center"/>
      <protection/>
    </xf>
    <xf numFmtId="0" fontId="5" fillId="0" borderId="2" xfId="35" applyFont="1" applyFill="1" applyBorder="1" applyAlignment="1">
      <alignment/>
      <protection/>
    </xf>
    <xf numFmtId="0" fontId="5" fillId="0" borderId="39" xfId="35" applyFont="1" applyFill="1" applyBorder="1">
      <alignment/>
      <protection/>
    </xf>
    <xf numFmtId="0" fontId="5" fillId="0" borderId="0" xfId="35" applyFont="1" applyFill="1" applyBorder="1" applyAlignment="1">
      <alignment/>
      <protection/>
    </xf>
    <xf numFmtId="0" fontId="5" fillId="0" borderId="0" xfId="35" applyNumberFormat="1" applyFont="1" applyBorder="1" applyAlignment="1">
      <alignment horizontal="left"/>
      <protection/>
    </xf>
    <xf numFmtId="0" fontId="5" fillId="0" borderId="0" xfId="35" applyFont="1" applyBorder="1" applyAlignment="1">
      <alignment horizontal="center"/>
      <protection/>
    </xf>
    <xf numFmtId="0" fontId="5" fillId="0" borderId="0" xfId="35" applyNumberFormat="1" applyFont="1" applyBorder="1" applyAlignment="1">
      <alignment/>
      <protection/>
    </xf>
    <xf numFmtId="37" fontId="4" fillId="0" borderId="0" xfId="35" applyNumberFormat="1" applyFont="1" applyBorder="1" applyAlignment="1">
      <alignment horizontal="left"/>
      <protection/>
    </xf>
    <xf numFmtId="0" fontId="5" fillId="61" borderId="29" xfId="35" applyFont="1" applyFill="1" applyBorder="1">
      <alignment/>
      <protection/>
    </xf>
    <xf numFmtId="0" fontId="5" fillId="61" borderId="44" xfId="35" applyFont="1" applyFill="1" applyBorder="1">
      <alignment/>
      <protection/>
    </xf>
    <xf numFmtId="0" fontId="4" fillId="0" borderId="38" xfId="35" applyFont="1" applyFill="1" applyBorder="1" applyAlignment="1">
      <alignment/>
      <protection/>
    </xf>
    <xf numFmtId="0" fontId="4" fillId="0" borderId="0" xfId="35" applyFont="1" applyFill="1" applyBorder="1" applyAlignment="1">
      <alignment wrapText="1"/>
      <protection/>
    </xf>
    <xf numFmtId="0" fontId="5" fillId="0" borderId="37" xfId="35" applyFont="1" applyFill="1" applyBorder="1">
      <alignment/>
      <protection/>
    </xf>
    <xf numFmtId="0" fontId="5" fillId="0" borderId="45" xfId="35" applyNumberFormat="1" applyFont="1" applyFill="1" applyBorder="1" applyAlignment="1">
      <alignment horizontal="center"/>
      <protection/>
    </xf>
    <xf numFmtId="0" fontId="5" fillId="0" borderId="2" xfId="35" applyFont="1" applyBorder="1">
      <alignment/>
      <protection/>
    </xf>
    <xf numFmtId="0" fontId="5" fillId="0" borderId="2" xfId="35" applyNumberFormat="1" applyFont="1" applyBorder="1" applyAlignment="1">
      <alignment horizontal="left"/>
      <protection/>
    </xf>
    <xf numFmtId="0" fontId="5" fillId="0" borderId="2" xfId="35" applyNumberFormat="1" applyFont="1" applyBorder="1" applyAlignment="1">
      <alignment/>
      <protection/>
    </xf>
    <xf numFmtId="0" fontId="5" fillId="0" borderId="39" xfId="35" applyFont="1" applyBorder="1">
      <alignment/>
      <protection/>
    </xf>
    <xf numFmtId="0" fontId="5" fillId="0" borderId="2" xfId="35" applyNumberFormat="1" applyFont="1" applyFill="1" applyBorder="1" applyAlignment="1">
      <alignment horizontal="center"/>
      <protection/>
    </xf>
    <xf numFmtId="3" fontId="4" fillId="61" borderId="29" xfId="35" applyNumberFormat="1" applyFont="1" applyFill="1" applyBorder="1" applyAlignment="1">
      <alignment horizontal="center" wrapText="1"/>
      <protection/>
    </xf>
    <xf numFmtId="0" fontId="5" fillId="0" borderId="41" xfId="35" applyFont="1" applyFill="1" applyBorder="1">
      <alignment/>
      <protection/>
    </xf>
    <xf numFmtId="0" fontId="4" fillId="0" borderId="42" xfId="35" applyNumberFormat="1" applyFont="1" applyFill="1" applyBorder="1" applyAlignment="1">
      <alignment horizontal="left"/>
      <protection/>
    </xf>
    <xf numFmtId="0" fontId="4" fillId="0" borderId="42" xfId="35" applyFont="1" applyFill="1" applyBorder="1">
      <alignment/>
      <protection/>
    </xf>
    <xf numFmtId="0" fontId="5" fillId="0" borderId="42" xfId="35" applyFont="1" applyFill="1" applyBorder="1">
      <alignment/>
      <protection/>
    </xf>
    <xf numFmtId="0" fontId="5" fillId="0" borderId="42" xfId="35" applyNumberFormat="1" applyFont="1" applyFill="1" applyBorder="1" applyAlignment="1">
      <alignment horizontal="left"/>
      <protection/>
    </xf>
    <xf numFmtId="3" fontId="4" fillId="0" borderId="42" xfId="35" applyNumberFormat="1" applyFont="1" applyFill="1" applyBorder="1" applyAlignment="1">
      <alignment horizontal="center"/>
      <protection/>
    </xf>
    <xf numFmtId="0" fontId="4" fillId="0" borderId="42" xfId="35" applyFont="1" applyFill="1" applyBorder="1" applyAlignment="1">
      <alignment horizontal="left"/>
      <protection/>
    </xf>
    <xf numFmtId="167" fontId="5" fillId="0" borderId="42" xfId="35" applyNumberFormat="1" applyFont="1" applyFill="1" applyBorder="1">
      <alignment/>
      <protection/>
    </xf>
    <xf numFmtId="0" fontId="5" fillId="0" borderId="43" xfId="35" applyFont="1" applyFill="1" applyBorder="1">
      <alignment/>
      <protection/>
    </xf>
    <xf numFmtId="0" fontId="5" fillId="0" borderId="37" xfId="35" applyFont="1" applyFill="1" applyBorder="1" applyAlignment="1">
      <alignment horizontal="center" wrapText="1"/>
      <protection/>
    </xf>
    <xf numFmtId="167" fontId="4" fillId="0" borderId="0" xfId="18" applyNumberFormat="1" applyFont="1" applyFill="1" applyBorder="1"/>
    <xf numFmtId="0" fontId="4" fillId="0" borderId="2" xfId="35" applyNumberFormat="1" applyFont="1" applyFill="1" applyBorder="1" applyAlignment="1">
      <alignment/>
      <protection/>
    </xf>
    <xf numFmtId="3" fontId="5" fillId="0" borderId="0" xfId="35" applyNumberFormat="1" applyFont="1" applyBorder="1" applyAlignment="1">
      <alignment horizontal="center"/>
      <protection/>
    </xf>
    <xf numFmtId="3" fontId="5" fillId="0" borderId="42" xfId="35" applyNumberFormat="1" applyFont="1" applyBorder="1" applyAlignment="1">
      <alignment horizontal="center"/>
      <protection/>
    </xf>
    <xf numFmtId="167" fontId="5" fillId="0" borderId="0" xfId="35" applyNumberFormat="1" applyFont="1" applyBorder="1">
      <alignment/>
      <protection/>
    </xf>
    <xf numFmtId="166" fontId="5" fillId="0" borderId="2" xfId="16" applyNumberFormat="1" applyFont="1" applyFill="1" applyBorder="1"/>
    <xf numFmtId="0" fontId="4" fillId="61" borderId="41" xfId="35" applyFont="1" applyFill="1" applyBorder="1" applyAlignment="1">
      <alignment/>
      <protection/>
    </xf>
    <xf numFmtId="0" fontId="4" fillId="61" borderId="42" xfId="35" applyFont="1" applyFill="1" applyBorder="1" applyAlignment="1">
      <alignment/>
      <protection/>
    </xf>
    <xf numFmtId="0" fontId="4" fillId="61" borderId="42" xfId="35" applyFont="1" applyFill="1" applyBorder="1" applyAlignment="1">
      <alignment horizontal="center"/>
      <protection/>
    </xf>
    <xf numFmtId="0" fontId="4" fillId="61" borderId="42" xfId="35" applyFont="1" applyFill="1" applyBorder="1" applyAlignment="1">
      <alignment wrapText="1"/>
      <protection/>
    </xf>
    <xf numFmtId="3" fontId="5" fillId="0" borderId="37" xfId="35" applyNumberFormat="1" applyFont="1" applyBorder="1" applyAlignment="1">
      <alignment horizontal="center"/>
      <protection/>
    </xf>
    <xf numFmtId="0" fontId="4" fillId="0" borderId="0" xfId="35" applyNumberFormat="1" applyFont="1" applyBorder="1" applyAlignment="1">
      <alignment horizontal="left"/>
      <protection/>
    </xf>
    <xf numFmtId="0" fontId="5" fillId="0" borderId="2" xfId="35" applyNumberFormat="1" applyFont="1" applyFill="1" applyBorder="1" applyAlignment="1">
      <alignment/>
      <protection/>
    </xf>
    <xf numFmtId="3" fontId="5" fillId="0" borderId="39" xfId="35" applyNumberFormat="1" applyFont="1" applyBorder="1" applyAlignment="1">
      <alignment horizontal="center"/>
      <protection/>
    </xf>
    <xf numFmtId="0" fontId="4" fillId="0" borderId="41" xfId="35" applyFont="1" applyFill="1" applyBorder="1" applyAlignment="1">
      <alignment/>
      <protection/>
    </xf>
    <xf numFmtId="0" fontId="4" fillId="0" borderId="42" xfId="35" applyFont="1" applyFill="1" applyBorder="1" applyAlignment="1">
      <alignment/>
      <protection/>
    </xf>
    <xf numFmtId="0" fontId="4" fillId="0" borderId="42" xfId="35" applyFont="1" applyFill="1" applyBorder="1" applyAlignment="1">
      <alignment horizontal="center"/>
      <protection/>
    </xf>
    <xf numFmtId="0" fontId="4" fillId="0" borderId="42" xfId="35" applyFont="1" applyFill="1" applyBorder="1" applyAlignment="1">
      <alignment wrapText="1"/>
      <protection/>
    </xf>
    <xf numFmtId="0" fontId="4" fillId="0" borderId="42" xfId="35" applyFont="1" applyFill="1" applyBorder="1" applyAlignment="1">
      <alignment horizontal="center" wrapText="1"/>
      <protection/>
    </xf>
    <xf numFmtId="0" fontId="4" fillId="0" borderId="43" xfId="35" applyFont="1" applyFill="1" applyBorder="1" applyAlignment="1">
      <alignment horizontal="center" wrapText="1"/>
      <protection/>
    </xf>
    <xf numFmtId="3" fontId="5" fillId="0" borderId="37" xfId="35" applyNumberFormat="1" applyFont="1" applyFill="1" applyBorder="1" applyAlignment="1">
      <alignment horizontal="right"/>
      <protection/>
    </xf>
    <xf numFmtId="0" fontId="4" fillId="0" borderId="37" xfId="35" applyFont="1" applyBorder="1" applyAlignment="1">
      <alignment horizontal="center"/>
      <protection/>
    </xf>
    <xf numFmtId="3" fontId="5" fillId="0" borderId="37" xfId="35" applyNumberFormat="1" applyFont="1" applyBorder="1" applyAlignment="1">
      <alignment horizontal="right"/>
      <protection/>
    </xf>
    <xf numFmtId="0" fontId="5" fillId="0" borderId="45" xfId="35" applyFont="1" applyBorder="1">
      <alignment/>
      <protection/>
    </xf>
    <xf numFmtId="0" fontId="4" fillId="0" borderId="0" xfId="35" applyFont="1" applyBorder="1">
      <alignment/>
      <protection/>
    </xf>
    <xf numFmtId="0" fontId="5" fillId="0" borderId="37" xfId="35" applyFont="1" applyFill="1" applyBorder="1" applyAlignment="1">
      <alignment horizontal="center"/>
      <protection/>
    </xf>
    <xf numFmtId="164" fontId="5" fillId="0" borderId="2" xfId="35" applyNumberFormat="1" applyFont="1" applyFill="1" applyBorder="1" applyAlignment="1">
      <alignment horizontal="center"/>
      <protection/>
    </xf>
    <xf numFmtId="0" fontId="5" fillId="0" borderId="39" xfId="35" applyFont="1" applyBorder="1" applyAlignment="1">
      <alignment horizontal="center"/>
      <protection/>
    </xf>
    <xf numFmtId="0" fontId="5" fillId="0" borderId="38" xfId="35" applyNumberFormat="1" applyFont="1" applyBorder="1" applyAlignment="1">
      <alignment horizontal="center"/>
      <protection/>
    </xf>
    <xf numFmtId="0" fontId="5" fillId="0" borderId="0" xfId="35" applyNumberFormat="1" applyFont="1" applyFill="1" applyBorder="1" applyAlignment="1">
      <alignment horizontal="right"/>
      <protection/>
    </xf>
    <xf numFmtId="0" fontId="5" fillId="0" borderId="2" xfId="35" applyNumberFormat="1" applyFont="1" applyFill="1" applyBorder="1" applyAlignment="1">
      <alignment horizontal="right"/>
      <protection/>
    </xf>
    <xf numFmtId="0" fontId="5" fillId="0" borderId="42" xfId="35" applyFont="1" applyFill="1" applyBorder="1" applyAlignment="1">
      <alignment/>
      <protection/>
    </xf>
    <xf numFmtId="0" fontId="5" fillId="0" borderId="0" xfId="35" applyNumberFormat="1" applyFont="1" applyBorder="1" applyAlignment="1">
      <alignment horizontal="right"/>
      <protection/>
    </xf>
    <xf numFmtId="0" fontId="5" fillId="0" borderId="0" xfId="35" applyNumberFormat="1" applyFont="1" applyFill="1" applyBorder="1" applyAlignment="1">
      <alignment horizontal="left" wrapText="1"/>
      <protection/>
    </xf>
    <xf numFmtId="0" fontId="4" fillId="0" borderId="0" xfId="35" applyFont="1" applyFill="1" applyAlignment="1">
      <alignment horizontal="left"/>
      <protection/>
    </xf>
    <xf numFmtId="164" fontId="4" fillId="0" borderId="0" xfId="18" applyNumberFormat="1" applyFont="1" applyFill="1" applyBorder="1"/>
    <xf numFmtId="3" fontId="5" fillId="0" borderId="2" xfId="35" applyNumberFormat="1" applyFont="1" applyFill="1" applyBorder="1">
      <alignment/>
      <protection/>
    </xf>
    <xf numFmtId="3" fontId="5" fillId="0" borderId="2" xfId="35" applyNumberFormat="1" applyFont="1" applyFill="1" applyBorder="1" applyAlignment="1">
      <alignment horizontal="left"/>
      <protection/>
    </xf>
    <xf numFmtId="167" fontId="4" fillId="0" borderId="0" xfId="35" applyNumberFormat="1" applyFont="1" applyBorder="1" applyAlignment="1">
      <alignment horizontal="left"/>
      <protection/>
    </xf>
    <xf numFmtId="3" fontId="5" fillId="0" borderId="0" xfId="35" applyNumberFormat="1" applyFont="1" applyBorder="1" applyAlignment="1">
      <alignment/>
      <protection/>
    </xf>
    <xf numFmtId="169" fontId="5" fillId="0" borderId="0" xfId="35" applyNumberFormat="1" applyFont="1" applyBorder="1" applyAlignment="1">
      <alignment/>
      <protection/>
    </xf>
    <xf numFmtId="167" fontId="5" fillId="0" borderId="0" xfId="15" applyNumberFormat="1" applyFont="1" applyFill="1" applyBorder="1" applyAlignment="1">
      <alignment horizontal="center"/>
    </xf>
    <xf numFmtId="10" fontId="5" fillId="0" borderId="37" xfId="15" applyNumberFormat="1" applyFont="1" applyFill="1" applyBorder="1" applyAlignment="1">
      <alignment horizontal="center"/>
    </xf>
    <xf numFmtId="0" fontId="5" fillId="0" borderId="0" xfId="35" applyFont="1" applyFill="1" applyAlignment="1">
      <alignment horizontal="center"/>
      <protection/>
    </xf>
    <xf numFmtId="0" fontId="4" fillId="0" borderId="43" xfId="35" applyFont="1" applyFill="1" applyBorder="1" applyAlignment="1">
      <alignment wrapText="1"/>
      <protection/>
    </xf>
    <xf numFmtId="2" fontId="5" fillId="0" borderId="0" xfId="35" applyNumberFormat="1" applyFont="1" applyFill="1" applyBorder="1" applyAlignment="1">
      <alignment horizontal="center"/>
      <protection/>
    </xf>
    <xf numFmtId="0" fontId="5" fillId="0" borderId="0" xfId="35" applyFont="1" applyFill="1" applyBorder="1" applyAlignment="1">
      <alignment horizontal="center"/>
      <protection/>
    </xf>
    <xf numFmtId="164" fontId="14" fillId="0" borderId="0" xfId="21" applyNumberFormat="1" applyFont="1" applyFill="1"/>
    <xf numFmtId="0" fontId="5" fillId="0" borderId="42" xfId="35" applyFont="1" applyBorder="1" applyAlignment="1">
      <alignment horizontal="left"/>
      <protection/>
    </xf>
    <xf numFmtId="0" fontId="4" fillId="0" borderId="0" xfId="35" applyFont="1" applyFill="1" applyBorder="1" applyAlignment="1">
      <alignment horizontal="center"/>
      <protection/>
    </xf>
    <xf numFmtId="0" fontId="5" fillId="0" borderId="41" xfId="35" applyFont="1" applyBorder="1">
      <alignment/>
      <protection/>
    </xf>
    <xf numFmtId="3" fontId="4" fillId="0" borderId="42" xfId="35" applyNumberFormat="1" applyFont="1" applyBorder="1" applyAlignment="1">
      <alignment horizontal="center"/>
      <protection/>
    </xf>
    <xf numFmtId="3" fontId="5" fillId="0" borderId="42" xfId="18" applyNumberFormat="1" applyFont="1" applyFill="1" applyBorder="1"/>
    <xf numFmtId="0" fontId="34" fillId="0" borderId="0" xfId="0" applyFont="1" applyBorder="1"/>
    <xf numFmtId="43" fontId="14" fillId="0" borderId="0" xfId="18" applyFont="1" applyFill="1"/>
    <xf numFmtId="0" fontId="10" fillId="0" borderId="0" xfId="0" applyFont="1"/>
    <xf numFmtId="0" fontId="5" fillId="0" borderId="0" xfId="0" applyFont="1"/>
    <xf numFmtId="0" fontId="10" fillId="0" borderId="0" xfId="0" applyFont="1" applyBorder="1"/>
    <xf numFmtId="0" fontId="5" fillId="0" borderId="0" xfId="0" applyFont="1" applyBorder="1"/>
    <xf numFmtId="0" fontId="4" fillId="0" borderId="0" xfId="0" applyFont="1" applyFill="1" applyBorder="1"/>
    <xf numFmtId="0" fontId="5" fillId="0" borderId="0" xfId="0" applyFont="1" applyFill="1"/>
    <xf numFmtId="0" fontId="0" fillId="0" borderId="0" xfId="0" applyFill="1" applyAlignment="1">
      <alignment vertical="center" wrapText="1"/>
    </xf>
    <xf numFmtId="0" fontId="5" fillId="0" borderId="0" xfId="0" applyFont="1" applyFill="1" applyAlignment="1">
      <alignment/>
    </xf>
    <xf numFmtId="0" fontId="11" fillId="0" borderId="0" xfId="0" applyFont="1" applyFill="1" applyAlignment="1">
      <alignment horizontal="center"/>
    </xf>
    <xf numFmtId="0" fontId="5" fillId="0" borderId="0" xfId="0" applyFont="1" applyFill="1" applyAlignment="1">
      <alignment horizontal="left"/>
    </xf>
    <xf numFmtId="0" fontId="11" fillId="0" borderId="0" xfId="0" applyFont="1" applyFill="1"/>
    <xf numFmtId="37" fontId="5" fillId="0" borderId="0" xfId="0" applyNumberFormat="1" applyFont="1" applyFill="1"/>
    <xf numFmtId="37" fontId="4" fillId="0" borderId="0" xfId="0" applyNumberFormat="1" applyFont="1" applyFill="1"/>
    <xf numFmtId="37" fontId="5" fillId="0" borderId="0" xfId="0" applyNumberFormat="1" applyFont="1" applyFill="1" applyAlignment="1">
      <alignment horizontal="left"/>
    </xf>
    <xf numFmtId="0" fontId="4" fillId="0" borderId="0" xfId="0" applyFont="1" applyFill="1"/>
    <xf numFmtId="0" fontId="4" fillId="0" borderId="0" xfId="0" applyFont="1" applyFill="1" applyAlignment="1">
      <alignment horizontal="center"/>
    </xf>
    <xf numFmtId="0" fontId="4" fillId="0" borderId="0" xfId="0" applyFont="1" applyAlignment="1">
      <alignment horizontal="center"/>
    </xf>
    <xf numFmtId="0" fontId="11" fillId="0" borderId="0" xfId="0" applyFont="1" applyFill="1" applyAlignment="1">
      <alignment horizontal="left"/>
    </xf>
    <xf numFmtId="37" fontId="5" fillId="0" borderId="46" xfId="0" applyNumberFormat="1" applyFont="1" applyFill="1" applyBorder="1" applyAlignment="1">
      <alignment wrapText="1"/>
    </xf>
    <xf numFmtId="37" fontId="4" fillId="0" borderId="0" xfId="0" applyNumberFormat="1" applyFont="1" applyFill="1" applyBorder="1" applyAlignment="1">
      <alignment horizontal="center"/>
    </xf>
    <xf numFmtId="0" fontId="4" fillId="0" borderId="0" xfId="0" applyFont="1" applyBorder="1"/>
    <xf numFmtId="0" fontId="5" fillId="0" borderId="0" xfId="0" applyFont="1" applyBorder="1" applyAlignment="1">
      <alignment horizontal="left"/>
    </xf>
    <xf numFmtId="0" fontId="5" fillId="0" borderId="0" xfId="0" applyFont="1" applyBorder="1" applyAlignment="1">
      <alignment/>
    </xf>
    <xf numFmtId="0" fontId="11" fillId="0" borderId="0" xfId="0" applyFont="1" applyBorder="1" applyAlignment="1">
      <alignment horizontal="center"/>
    </xf>
    <xf numFmtId="0" fontId="11" fillId="0" borderId="0" xfId="0" applyFont="1" applyFill="1" applyBorder="1" applyAlignment="1">
      <alignment horizontal="center"/>
    </xf>
    <xf numFmtId="0" fontId="11" fillId="0" borderId="0" xfId="0" applyFont="1" applyBorder="1"/>
    <xf numFmtId="0" fontId="10" fillId="0" borderId="0" xfId="0" applyFont="1" applyBorder="1" applyAlignment="1">
      <alignment horizontal="left"/>
    </xf>
    <xf numFmtId="0" fontId="10" fillId="0" borderId="0" xfId="0" applyFont="1" applyFill="1" applyBorder="1" applyAlignment="1">
      <alignment wrapText="1"/>
    </xf>
    <xf numFmtId="41" fontId="4" fillId="0" borderId="0" xfId="0" applyNumberFormat="1" applyFont="1" applyFill="1" applyAlignment="1">
      <alignment horizontal="center" wrapText="1"/>
    </xf>
    <xf numFmtId="0" fontId="5" fillId="0" borderId="0" xfId="0" applyFont="1" applyAlignment="1">
      <alignment horizontal="left"/>
    </xf>
    <xf numFmtId="0" fontId="4" fillId="0" borderId="47" xfId="0" applyFont="1" applyFill="1" applyBorder="1"/>
    <xf numFmtId="0" fontId="5" fillId="0" borderId="48" xfId="0" applyFont="1" applyFill="1" applyBorder="1" applyAlignment="1">
      <alignment wrapText="1"/>
    </xf>
    <xf numFmtId="37" fontId="5" fillId="0" borderId="0" xfId="0" applyNumberFormat="1" applyFont="1" applyBorder="1"/>
    <xf numFmtId="37" fontId="5" fillId="0" borderId="0" xfId="0" applyNumberFormat="1" applyFont="1" applyFill="1" applyBorder="1"/>
    <xf numFmtId="164" fontId="5" fillId="0" borderId="0" xfId="0" applyNumberFormat="1" applyFont="1" applyFill="1" applyBorder="1" applyAlignment="1">
      <alignment wrapText="1"/>
    </xf>
    <xf numFmtId="0" fontId="4" fillId="0" borderId="0" xfId="0" applyFont="1" applyFill="1" applyBorder="1" applyAlignment="1">
      <alignment horizontal="centerContinuous"/>
    </xf>
    <xf numFmtId="0" fontId="5" fillId="0" borderId="0" xfId="0" applyFont="1" applyFill="1" applyBorder="1" applyAlignment="1">
      <alignment horizontal="centerContinuous"/>
    </xf>
    <xf numFmtId="41" fontId="4" fillId="0" borderId="0" xfId="0" applyNumberFormat="1" applyFont="1" applyFill="1" applyBorder="1" applyAlignment="1">
      <alignment horizontal="center"/>
    </xf>
    <xf numFmtId="0" fontId="5" fillId="0" borderId="0" xfId="0" applyFont="1" applyFill="1" applyBorder="1" applyAlignment="1">
      <alignment horizontal="left"/>
    </xf>
    <xf numFmtId="0" fontId="9" fillId="0" borderId="0" xfId="0" applyFont="1" applyBorder="1" applyAlignment="1">
      <alignment horizontal="centerContinuous"/>
    </xf>
    <xf numFmtId="0" fontId="10" fillId="0" borderId="0" xfId="0" applyFont="1" applyBorder="1" applyAlignment="1">
      <alignment horizontal="centerContinuous"/>
    </xf>
    <xf numFmtId="0" fontId="10" fillId="0" borderId="0" xfId="0" applyFont="1" applyFill="1" applyBorder="1" applyAlignment="1">
      <alignment horizontal="centerContinuous"/>
    </xf>
    <xf numFmtId="0" fontId="4" fillId="0" borderId="49" xfId="0" applyFont="1" applyFill="1" applyBorder="1" applyAlignment="1">
      <alignment/>
    </xf>
    <xf numFmtId="0" fontId="5" fillId="0" borderId="50" xfId="0" applyFont="1" applyFill="1" applyBorder="1" applyAlignment="1">
      <alignment wrapText="1"/>
    </xf>
    <xf numFmtId="0" fontId="10" fillId="0" borderId="0" xfId="35" applyFont="1" applyAlignment="1">
      <alignment horizontal="center"/>
      <protection/>
    </xf>
    <xf numFmtId="0" fontId="11" fillId="0" borderId="0" xfId="35" applyFont="1" applyFill="1" applyAlignment="1">
      <alignment horizontal="center"/>
      <protection/>
    </xf>
    <xf numFmtId="0" fontId="5" fillId="0" borderId="0" xfId="35" applyFont="1" applyAlignment="1">
      <alignment horizontal="left"/>
      <protection/>
    </xf>
    <xf numFmtId="37" fontId="5" fillId="0" borderId="0" xfId="35" applyNumberFormat="1" applyFont="1" applyFill="1" applyBorder="1" applyAlignment="1">
      <alignment horizontal="left"/>
      <protection/>
    </xf>
    <xf numFmtId="0" fontId="9" fillId="0" borderId="0" xfId="35" applyFont="1" applyFill="1" applyAlignment="1">
      <alignment horizontal="center"/>
      <protection/>
    </xf>
    <xf numFmtId="43" fontId="5" fillId="0" borderId="0" xfId="18" applyFont="1"/>
    <xf numFmtId="164" fontId="0" fillId="0" borderId="0" xfId="18" applyNumberFormat="1" applyFont="1"/>
    <xf numFmtId="10" fontId="0" fillId="0" borderId="0" xfId="15" applyNumberFormat="1" applyFont="1"/>
    <xf numFmtId="3" fontId="5" fillId="64" borderId="0" xfId="18" applyNumberFormat="1" applyFont="1" applyFill="1" applyBorder="1"/>
    <xf numFmtId="0" fontId="5" fillId="5" borderId="0" xfId="35" applyNumberFormat="1" applyFont="1" applyFill="1" applyBorder="1" applyAlignment="1">
      <alignment/>
      <protection/>
    </xf>
    <xf numFmtId="0" fontId="5" fillId="0" borderId="51" xfId="35" applyFont="1" applyBorder="1">
      <alignment/>
      <protection/>
    </xf>
    <xf numFmtId="0" fontId="4" fillId="0" borderId="0" xfId="0" applyFont="1" applyFill="1" applyAlignment="1">
      <alignment horizontal="right"/>
    </xf>
    <xf numFmtId="43" fontId="5" fillId="0" borderId="0" xfId="18" applyNumberFormat="1" applyFont="1" applyFill="1" applyBorder="1" applyAlignment="1">
      <alignment/>
    </xf>
    <xf numFmtId="0" fontId="4" fillId="61" borderId="51" xfId="35" applyFont="1" applyFill="1" applyBorder="1" applyAlignment="1">
      <alignment horizontal="center" wrapText="1"/>
      <protection/>
    </xf>
    <xf numFmtId="3" fontId="5" fillId="0" borderId="52" xfId="35" applyNumberFormat="1" applyFont="1" applyFill="1" applyBorder="1" applyAlignment="1">
      <alignment horizontal="center"/>
      <protection/>
    </xf>
    <xf numFmtId="37" fontId="4" fillId="0" borderId="1" xfId="35" applyNumberFormat="1" applyFont="1" applyFill="1" applyBorder="1" applyAlignment="1">
      <alignment horizontal="center"/>
      <protection/>
    </xf>
    <xf numFmtId="164" fontId="5" fillId="0" borderId="0" xfId="35" applyNumberFormat="1" applyFont="1">
      <alignment/>
      <protection/>
    </xf>
    <xf numFmtId="0" fontId="14" fillId="0" borderId="0" xfId="35" applyFont="1" applyFill="1" applyAlignment="1">
      <alignment horizontal="center"/>
      <protection/>
    </xf>
    <xf numFmtId="0" fontId="0" fillId="0" borderId="0" xfId="35" applyFont="1">
      <alignment/>
      <protection/>
    </xf>
    <xf numFmtId="43" fontId="0" fillId="0" borderId="0" xfId="18" applyFont="1" applyFill="1"/>
    <xf numFmtId="164" fontId="5" fillId="0" borderId="0" xfId="20" applyNumberFormat="1" applyFont="1">
      <alignment/>
      <protection/>
    </xf>
    <xf numFmtId="0" fontId="4" fillId="0" borderId="0" xfId="35" applyFont="1">
      <alignment/>
      <protection/>
    </xf>
    <xf numFmtId="0" fontId="4" fillId="0" borderId="0" xfId="35" applyFont="1" applyAlignment="1">
      <alignment horizontal="center"/>
      <protection/>
    </xf>
    <xf numFmtId="0" fontId="5" fillId="0" borderId="0" xfId="35" applyFont="1" applyAlignment="1">
      <alignment horizontal="right"/>
      <protection/>
    </xf>
    <xf numFmtId="0" fontId="5" fillId="0" borderId="0" xfId="35" applyFont="1" applyProtection="1">
      <alignment/>
      <protection locked="0"/>
    </xf>
    <xf numFmtId="0" fontId="0" fillId="0" borderId="0" xfId="35" applyFont="1" applyFill="1">
      <alignment/>
      <protection/>
    </xf>
    <xf numFmtId="0" fontId="0" fillId="0" borderId="0" xfId="35" applyFont="1" applyFill="1" applyBorder="1">
      <alignment/>
      <protection/>
    </xf>
    <xf numFmtId="3" fontId="5" fillId="0" borderId="52" xfId="35" applyNumberFormat="1" applyFont="1" applyBorder="1">
      <alignment/>
      <protection/>
    </xf>
    <xf numFmtId="0" fontId="18" fillId="0" borderId="0" xfId="35" applyFont="1" applyFill="1" applyProtection="1">
      <alignment/>
      <protection/>
    </xf>
    <xf numFmtId="0" fontId="18" fillId="0" borderId="0" xfId="35" applyFont="1" applyFill="1" applyBorder="1" applyProtection="1">
      <alignment/>
      <protection/>
    </xf>
    <xf numFmtId="0" fontId="15" fillId="0" borderId="0" xfId="35" applyFont="1" applyFill="1" applyBorder="1" applyAlignment="1" applyProtection="1">
      <alignment horizontal="center" wrapText="1"/>
      <protection/>
    </xf>
    <xf numFmtId="0" fontId="18" fillId="65" borderId="0" xfId="35" applyFont="1" applyFill="1" applyBorder="1" applyAlignment="1" applyProtection="1">
      <alignment horizontal="center" wrapText="1"/>
      <protection/>
    </xf>
    <xf numFmtId="0" fontId="18" fillId="0" borderId="0" xfId="35" applyFont="1" applyFill="1" applyBorder="1" applyAlignment="1" applyProtection="1">
      <alignment horizontal="center" wrapText="1"/>
      <protection/>
    </xf>
    <xf numFmtId="3" fontId="18" fillId="0" borderId="0" xfId="35" applyNumberFormat="1" applyFont="1" applyAlignment="1" applyProtection="1">
      <alignment/>
      <protection/>
    </xf>
    <xf numFmtId="3" fontId="18" fillId="0" borderId="0" xfId="35" applyNumberFormat="1" applyFont="1" applyFill="1" applyAlignment="1" applyProtection="1">
      <alignment/>
      <protection/>
    </xf>
    <xf numFmtId="3" fontId="18" fillId="0" borderId="27" xfId="35" applyNumberFormat="1" applyFont="1" applyBorder="1" applyAlignment="1" applyProtection="1">
      <alignment/>
      <protection/>
    </xf>
    <xf numFmtId="171" fontId="15" fillId="0" borderId="0" xfId="15" applyNumberFormat="1" applyFont="1" applyAlignment="1" applyProtection="1">
      <alignment/>
      <protection/>
    </xf>
    <xf numFmtId="0" fontId="18" fillId="0" borderId="0" xfId="35" applyFont="1" applyProtection="1">
      <alignment/>
      <protection/>
    </xf>
    <xf numFmtId="3" fontId="18" fillId="0" borderId="25" xfId="35" applyNumberFormat="1" applyFont="1" applyFill="1" applyBorder="1" applyAlignment="1" applyProtection="1">
      <alignment/>
      <protection/>
    </xf>
    <xf numFmtId="3" fontId="18" fillId="0" borderId="0" xfId="35" applyNumberFormat="1" applyFont="1" applyFill="1" applyBorder="1" applyAlignment="1" applyProtection="1">
      <alignment/>
      <protection/>
    </xf>
    <xf numFmtId="3" fontId="18" fillId="0" borderId="0" xfId="35" applyNumberFormat="1" applyFont="1" applyBorder="1" applyProtection="1">
      <alignment/>
      <protection/>
    </xf>
    <xf numFmtId="3" fontId="18" fillId="0" borderId="0" xfId="35" applyNumberFormat="1" applyFont="1" applyBorder="1" applyAlignment="1" applyProtection="1">
      <alignment/>
      <protection/>
    </xf>
    <xf numFmtId="3" fontId="18" fillId="0" borderId="0" xfId="35" applyNumberFormat="1" applyFont="1" applyProtection="1">
      <alignment/>
      <protection/>
    </xf>
    <xf numFmtId="3" fontId="18" fillId="0" borderId="27" xfId="35" applyNumberFormat="1" applyFont="1" applyFill="1" applyBorder="1" applyAlignment="1" applyProtection="1">
      <alignment/>
      <protection/>
    </xf>
    <xf numFmtId="3" fontId="18" fillId="0" borderId="0" xfId="35" applyNumberFormat="1" applyFont="1" applyAlignment="1" applyProtection="1">
      <alignment horizontal="center"/>
      <protection/>
    </xf>
    <xf numFmtId="0" fontId="18" fillId="65" borderId="0" xfId="35" applyFont="1" applyFill="1" applyProtection="1">
      <alignment/>
      <protection/>
    </xf>
    <xf numFmtId="3" fontId="18" fillId="0" borderId="0" xfId="35" applyNumberFormat="1" applyFont="1" applyFill="1" applyBorder="1" applyAlignment="1" applyProtection="1">
      <alignment horizontal="right"/>
      <protection/>
    </xf>
    <xf numFmtId="3" fontId="18" fillId="0" borderId="0" xfId="35" applyNumberFormat="1" applyFont="1" applyFill="1" applyAlignment="1" applyProtection="1">
      <alignment horizontal="right"/>
      <protection/>
    </xf>
    <xf numFmtId="171" fontId="18" fillId="0" borderId="0" xfId="35" applyNumberFormat="1" applyFont="1" applyFill="1" applyAlignment="1" applyProtection="1">
      <alignment horizontal="right"/>
      <protection/>
    </xf>
    <xf numFmtId="3" fontId="18" fillId="0" borderId="27" xfId="35" applyNumberFormat="1" applyFont="1" applyBorder="1" applyAlignment="1" applyProtection="1">
      <alignment horizontal="right"/>
      <protection/>
    </xf>
    <xf numFmtId="3" fontId="18" fillId="0" borderId="25" xfId="35" applyNumberFormat="1" applyFont="1" applyFill="1" applyBorder="1" applyAlignment="1" applyProtection="1">
      <alignment horizontal="right"/>
      <protection/>
    </xf>
    <xf numFmtId="170" fontId="18" fillId="0" borderId="25" xfId="15" applyNumberFormat="1" applyFont="1" applyBorder="1" applyAlignment="1" applyProtection="1">
      <alignment horizontal="right"/>
      <protection/>
    </xf>
    <xf numFmtId="3" fontId="15" fillId="0" borderId="0" xfId="35" applyNumberFormat="1" applyFont="1" applyBorder="1" applyAlignment="1" applyProtection="1">
      <alignment horizontal="right"/>
      <protection/>
    </xf>
    <xf numFmtId="3" fontId="15" fillId="0" borderId="27" xfId="35" applyNumberFormat="1" applyFont="1" applyFill="1" applyBorder="1" applyAlignment="1" applyProtection="1">
      <alignment/>
      <protection/>
    </xf>
    <xf numFmtId="171" fontId="15" fillId="0" borderId="0" xfId="15" applyNumberFormat="1" applyFont="1" applyFill="1" applyAlignment="1" applyProtection="1">
      <alignment/>
      <protection/>
    </xf>
    <xf numFmtId="3" fontId="21" fillId="0" borderId="0" xfId="35" applyNumberFormat="1" applyFont="1" applyFill="1" applyAlignment="1" applyProtection="1">
      <alignment horizontal="right"/>
      <protection/>
    </xf>
    <xf numFmtId="3" fontId="15" fillId="0" borderId="27" xfId="35" applyNumberFormat="1" applyFont="1" applyFill="1" applyBorder="1" applyAlignment="1" applyProtection="1">
      <alignment horizontal="right"/>
      <protection/>
    </xf>
    <xf numFmtId="3" fontId="15" fillId="0" borderId="53" xfId="35" applyNumberFormat="1" applyFont="1" applyFill="1" applyBorder="1" applyAlignment="1" applyProtection="1">
      <alignment/>
      <protection/>
    </xf>
    <xf numFmtId="171" fontId="21" fillId="0" borderId="0" xfId="35" applyNumberFormat="1" applyFont="1" applyAlignment="1" applyProtection="1">
      <alignment horizontal="right"/>
      <protection/>
    </xf>
    <xf numFmtId="164" fontId="18" fillId="0" borderId="0" xfId="18" applyNumberFormat="1" applyFont="1" applyAlignment="1" applyProtection="1">
      <alignment horizontal="right"/>
      <protection/>
    </xf>
    <xf numFmtId="0" fontId="18" fillId="0" borderId="0" xfId="35" applyFont="1" applyAlignment="1" applyProtection="1">
      <alignment/>
      <protection/>
    </xf>
    <xf numFmtId="165" fontId="18" fillId="0" borderId="0" xfId="35" applyNumberFormat="1" applyFont="1" applyAlignment="1" applyProtection="1">
      <alignment/>
      <protection/>
    </xf>
    <xf numFmtId="10" fontId="18" fillId="24" borderId="0" xfId="35" applyNumberFormat="1" applyFont="1" applyFill="1" applyProtection="1">
      <alignment/>
      <protection/>
    </xf>
    <xf numFmtId="10" fontId="18" fillId="0" borderId="0" xfId="35" applyNumberFormat="1" applyFont="1" applyFill="1" applyAlignment="1" applyProtection="1">
      <alignment horizontal="right"/>
      <protection/>
    </xf>
    <xf numFmtId="10" fontId="18" fillId="0" borderId="0" xfId="35" applyNumberFormat="1" applyFont="1" applyFill="1" applyProtection="1">
      <alignment/>
      <protection/>
    </xf>
    <xf numFmtId="10" fontId="18" fillId="0" borderId="0" xfId="15" applyNumberFormat="1" applyFont="1" applyAlignment="1" applyProtection="1">
      <alignment/>
      <protection/>
    </xf>
    <xf numFmtId="3" fontId="15" fillId="0" borderId="27" xfId="35" applyNumberFormat="1" applyFont="1" applyBorder="1" applyAlignment="1" applyProtection="1">
      <alignment horizontal="right"/>
      <protection/>
    </xf>
    <xf numFmtId="3" fontId="18" fillId="0" borderId="0" xfId="35" applyNumberFormat="1" applyFont="1" applyBorder="1" applyAlignment="1" applyProtection="1">
      <alignment horizontal="right"/>
      <protection/>
    </xf>
    <xf numFmtId="3" fontId="15" fillId="0" borderId="29" xfId="35" applyNumberFormat="1" applyFont="1" applyFill="1" applyBorder="1" applyProtection="1">
      <alignment/>
      <protection/>
    </xf>
    <xf numFmtId="37" fontId="15" fillId="0" borderId="0" xfId="35" applyNumberFormat="1" applyFont="1" applyBorder="1" applyAlignment="1" applyProtection="1">
      <alignment horizontal="right"/>
      <protection/>
    </xf>
    <xf numFmtId="37" fontId="15" fillId="0" borderId="0" xfId="35" applyNumberFormat="1" applyFont="1" applyFill="1" applyBorder="1" applyAlignment="1" applyProtection="1">
      <alignment horizontal="right"/>
      <protection/>
    </xf>
    <xf numFmtId="0" fontId="15" fillId="0" borderId="0" xfId="35" applyNumberFormat="1" applyFont="1" applyFill="1" applyBorder="1" applyAlignment="1" applyProtection="1">
      <alignment horizontal="center"/>
      <protection/>
    </xf>
    <xf numFmtId="0" fontId="18" fillId="0" borderId="0" xfId="35" applyFont="1" applyFill="1" applyAlignment="1" applyProtection="1">
      <alignment horizontal="left"/>
      <protection/>
    </xf>
    <xf numFmtId="37" fontId="18" fillId="0" borderId="0" xfId="35" applyNumberFormat="1" applyFont="1" applyFill="1" applyBorder="1" applyAlignment="1" applyProtection="1">
      <alignment horizontal="left"/>
      <protection/>
    </xf>
    <xf numFmtId="0" fontId="18" fillId="0" borderId="0" xfId="35" applyFont="1" applyAlignment="1" applyProtection="1">
      <alignment horizontal="left"/>
      <protection/>
    </xf>
    <xf numFmtId="0" fontId="18" fillId="0" borderId="0" xfId="35" applyFont="1" applyAlignment="1" applyProtection="1">
      <alignment horizontal="center"/>
      <protection/>
    </xf>
    <xf numFmtId="0" fontId="18" fillId="0" borderId="0" xfId="35" applyFont="1" applyFill="1" applyAlignment="1" applyProtection="1">
      <alignment/>
      <protection/>
    </xf>
    <xf numFmtId="0" fontId="13" fillId="0" borderId="0" xfId="35" applyFont="1" applyFill="1" applyProtection="1">
      <alignment/>
      <protection/>
    </xf>
    <xf numFmtId="0" fontId="15" fillId="16" borderId="41" xfId="35" applyFont="1" applyFill="1" applyBorder="1" applyAlignment="1" applyProtection="1">
      <alignment horizontal="left"/>
      <protection/>
    </xf>
    <xf numFmtId="0" fontId="18" fillId="16" borderId="42" xfId="35" applyFont="1" applyFill="1" applyBorder="1" applyAlignment="1" applyProtection="1">
      <alignment/>
      <protection/>
    </xf>
    <xf numFmtId="0" fontId="15" fillId="16" borderId="38" xfId="35" applyFont="1" applyFill="1" applyBorder="1" applyAlignment="1" applyProtection="1">
      <alignment horizontal="left"/>
      <protection/>
    </xf>
    <xf numFmtId="0" fontId="18" fillId="16" borderId="0" xfId="35" applyFont="1" applyFill="1" applyBorder="1" applyAlignment="1" applyProtection="1">
      <alignment/>
      <protection/>
    </xf>
    <xf numFmtId="0" fontId="18" fillId="16" borderId="0" xfId="35" applyFont="1" applyFill="1" applyBorder="1" applyAlignment="1" applyProtection="1">
      <alignment horizontal="center"/>
      <protection/>
    </xf>
    <xf numFmtId="0" fontId="18" fillId="16" borderId="37" xfId="35" applyFont="1" applyFill="1" applyBorder="1" applyAlignment="1" applyProtection="1">
      <alignment horizontal="center"/>
      <protection/>
    </xf>
    <xf numFmtId="0" fontId="15" fillId="16" borderId="45" xfId="35" applyFont="1" applyFill="1" applyBorder="1" applyAlignment="1" applyProtection="1">
      <alignment horizontal="left"/>
      <protection/>
    </xf>
    <xf numFmtId="0" fontId="15" fillId="16" borderId="2" xfId="35" applyFont="1" applyFill="1" applyBorder="1" applyAlignment="1" applyProtection="1">
      <alignment/>
      <protection/>
    </xf>
    <xf numFmtId="0" fontId="15" fillId="16" borderId="2" xfId="35" applyNumberFormat="1" applyFont="1" applyFill="1" applyBorder="1" applyAlignment="1" applyProtection="1">
      <alignment horizontal="center"/>
      <protection/>
    </xf>
    <xf numFmtId="0" fontId="15" fillId="16" borderId="39" xfId="35" applyFont="1" applyFill="1" applyBorder="1" applyAlignment="1" applyProtection="1">
      <alignment horizontal="center" wrapText="1"/>
      <protection/>
    </xf>
    <xf numFmtId="0" fontId="15" fillId="0" borderId="0" xfId="35" applyFont="1" applyFill="1" applyBorder="1" applyProtection="1">
      <alignment/>
      <protection/>
    </xf>
    <xf numFmtId="0" fontId="15" fillId="0" borderId="0" xfId="35" applyFont="1" applyFill="1" applyBorder="1" applyAlignment="1" applyProtection="1">
      <alignment horizontal="left"/>
      <protection/>
    </xf>
    <xf numFmtId="0" fontId="15" fillId="0" borderId="0" xfId="35" applyFont="1" applyFill="1" applyBorder="1" applyAlignment="1" applyProtection="1">
      <alignment/>
      <protection/>
    </xf>
    <xf numFmtId="0" fontId="19" fillId="65" borderId="0" xfId="35" applyFont="1" applyFill="1" applyBorder="1" applyAlignment="1" applyProtection="1">
      <alignment horizontal="left"/>
      <protection/>
    </xf>
    <xf numFmtId="0" fontId="19" fillId="65" borderId="0" xfId="35" applyFont="1" applyFill="1" applyBorder="1" applyAlignment="1" applyProtection="1">
      <alignment/>
      <protection/>
    </xf>
    <xf numFmtId="0" fontId="18" fillId="65" borderId="0" xfId="35" applyFont="1" applyFill="1" applyBorder="1" applyAlignment="1" applyProtection="1">
      <alignment/>
      <protection/>
    </xf>
    <xf numFmtId="0" fontId="15" fillId="65" borderId="0" xfId="35" applyNumberFormat="1" applyFont="1" applyFill="1" applyBorder="1" applyAlignment="1" applyProtection="1">
      <alignment horizontal="center"/>
      <protection/>
    </xf>
    <xf numFmtId="0" fontId="18" fillId="65" borderId="0" xfId="35" applyFont="1" applyFill="1" applyBorder="1" applyProtection="1">
      <alignment/>
      <protection/>
    </xf>
    <xf numFmtId="0" fontId="18" fillId="0" borderId="0" xfId="35" applyFont="1" applyFill="1" applyBorder="1" applyAlignment="1" applyProtection="1">
      <alignment horizontal="left"/>
      <protection/>
    </xf>
    <xf numFmtId="0" fontId="18" fillId="0" borderId="0" xfId="35" applyFont="1" applyFill="1" applyBorder="1" applyAlignment="1" applyProtection="1">
      <alignment/>
      <protection/>
    </xf>
    <xf numFmtId="0" fontId="15" fillId="0" borderId="0" xfId="35" applyNumberFormat="1" applyFont="1" applyFill="1" applyAlignment="1" applyProtection="1">
      <alignment horizontal="center"/>
      <protection/>
    </xf>
    <xf numFmtId="0" fontId="15" fillId="0" borderId="0" xfId="35" applyNumberFormat="1" applyFont="1" applyFill="1" applyAlignment="1" applyProtection="1">
      <alignment/>
      <protection/>
    </xf>
    <xf numFmtId="0" fontId="18" fillId="0" borderId="0" xfId="35" applyNumberFormat="1" applyFont="1" applyAlignment="1" applyProtection="1">
      <alignment horizontal="center"/>
      <protection/>
    </xf>
    <xf numFmtId="0" fontId="21" fillId="0" borderId="0" xfId="35" applyFont="1" applyFill="1" applyAlignment="1" applyProtection="1">
      <alignment horizontal="left"/>
      <protection/>
    </xf>
    <xf numFmtId="0" fontId="21" fillId="0" borderId="0" xfId="35" applyFont="1" applyFill="1" applyBorder="1" applyAlignment="1" applyProtection="1">
      <alignment horizontal="center"/>
      <protection/>
    </xf>
    <xf numFmtId="0" fontId="18" fillId="0" borderId="27" xfId="35" applyNumberFormat="1" applyFont="1" applyFill="1" applyBorder="1" applyAlignment="1" applyProtection="1">
      <alignment/>
      <protection/>
    </xf>
    <xf numFmtId="3" fontId="18" fillId="0" borderId="27" xfId="35" applyNumberFormat="1" applyFont="1" applyBorder="1" applyAlignment="1" applyProtection="1">
      <alignment horizontal="center"/>
      <protection/>
    </xf>
    <xf numFmtId="0" fontId="18" fillId="0" borderId="27" xfId="35" applyFont="1" applyBorder="1" applyAlignment="1" applyProtection="1">
      <alignment/>
      <protection/>
    </xf>
    <xf numFmtId="0" fontId="18" fillId="0" borderId="0" xfId="35" applyNumberFormat="1" applyFont="1" applyAlignment="1" applyProtection="1">
      <alignment/>
      <protection/>
    </xf>
    <xf numFmtId="0" fontId="15" fillId="0" borderId="54" xfId="35" applyNumberFormat="1" applyFont="1" applyFill="1" applyBorder="1" applyAlignment="1" applyProtection="1">
      <alignment/>
      <protection/>
    </xf>
    <xf numFmtId="0" fontId="18" fillId="0" borderId="54" xfId="35" applyFont="1" applyFill="1" applyBorder="1" applyAlignment="1" applyProtection="1">
      <alignment/>
      <protection/>
    </xf>
    <xf numFmtId="3" fontId="18" fillId="0" borderId="54" xfId="35" applyNumberFormat="1" applyFont="1" applyFill="1" applyBorder="1" applyAlignment="1" applyProtection="1">
      <alignment horizontal="center"/>
      <protection/>
    </xf>
    <xf numFmtId="3" fontId="18" fillId="0" borderId="54" xfId="35" applyNumberFormat="1" applyFont="1" applyFill="1" applyBorder="1" applyAlignment="1" applyProtection="1">
      <alignment/>
      <protection/>
    </xf>
    <xf numFmtId="0" fontId="18" fillId="0" borderId="54" xfId="35" applyFont="1" applyBorder="1" applyAlignment="1" applyProtection="1">
      <alignment/>
      <protection/>
    </xf>
    <xf numFmtId="3" fontId="18" fillId="0" borderId="0" xfId="35" applyNumberFormat="1" applyFont="1" applyFill="1" applyAlignment="1" applyProtection="1">
      <alignment horizontal="center"/>
      <protection/>
    </xf>
    <xf numFmtId="0" fontId="18" fillId="0" borderId="0" xfId="35" applyNumberFormat="1" applyFont="1" applyFill="1" applyAlignment="1" applyProtection="1">
      <alignment horizontal="center"/>
      <protection/>
    </xf>
    <xf numFmtId="0" fontId="18" fillId="0" borderId="25" xfId="35" applyFont="1" applyFill="1" applyBorder="1" applyProtection="1">
      <alignment/>
      <protection/>
    </xf>
    <xf numFmtId="0" fontId="18" fillId="0" borderId="25" xfId="35" applyFont="1" applyBorder="1" applyAlignment="1" applyProtection="1">
      <alignment/>
      <protection/>
    </xf>
    <xf numFmtId="0" fontId="21" fillId="0" borderId="25" xfId="35" applyFont="1" applyFill="1" applyBorder="1" applyAlignment="1" applyProtection="1">
      <alignment horizontal="center"/>
      <protection/>
    </xf>
    <xf numFmtId="0" fontId="18" fillId="0" borderId="25" xfId="35" applyFont="1" applyBorder="1" applyProtection="1">
      <alignment/>
      <protection/>
    </xf>
    <xf numFmtId="0" fontId="18" fillId="0" borderId="27" xfId="35" applyFont="1" applyFill="1" applyBorder="1" applyProtection="1">
      <alignment/>
      <protection/>
    </xf>
    <xf numFmtId="0" fontId="18" fillId="0" borderId="27" xfId="35" applyFont="1" applyBorder="1" applyAlignment="1" applyProtection="1">
      <alignment horizontal="center"/>
      <protection/>
    </xf>
    <xf numFmtId="0" fontId="18" fillId="0" borderId="0" xfId="35" applyFont="1" applyBorder="1" applyProtection="1">
      <alignment/>
      <protection/>
    </xf>
    <xf numFmtId="0" fontId="18" fillId="0" borderId="0" xfId="35" applyFont="1" applyBorder="1" applyAlignment="1" applyProtection="1">
      <alignment/>
      <protection/>
    </xf>
    <xf numFmtId="0" fontId="18" fillId="0" borderId="0" xfId="35" applyFont="1" applyBorder="1" applyAlignment="1" applyProtection="1">
      <alignment horizontal="center"/>
      <protection/>
    </xf>
    <xf numFmtId="0" fontId="15" fillId="0" borderId="54" xfId="35" applyFont="1" applyBorder="1" applyProtection="1">
      <alignment/>
      <protection/>
    </xf>
    <xf numFmtId="0" fontId="15" fillId="0" borderId="54" xfId="35" applyFont="1" applyFill="1" applyBorder="1" applyProtection="1">
      <alignment/>
      <protection/>
    </xf>
    <xf numFmtId="0" fontId="18" fillId="0" borderId="54" xfId="35" applyFont="1" applyBorder="1" applyProtection="1">
      <alignment/>
      <protection/>
    </xf>
    <xf numFmtId="0" fontId="18" fillId="0" borderId="54" xfId="35" applyFont="1" applyBorder="1" applyAlignment="1" applyProtection="1">
      <alignment horizontal="center"/>
      <protection/>
    </xf>
    <xf numFmtId="0" fontId="18" fillId="0" borderId="0" xfId="35" applyNumberFormat="1" applyFont="1" applyFill="1" applyAlignment="1" applyProtection="1">
      <alignment/>
      <protection/>
    </xf>
    <xf numFmtId="0" fontId="18" fillId="0" borderId="0" xfId="35" applyNumberFormat="1" applyFont="1" applyAlignment="1" applyProtection="1">
      <alignment horizontal="left"/>
      <protection/>
    </xf>
    <xf numFmtId="0" fontId="22" fillId="0" borderId="0" xfId="35" applyFont="1" applyFill="1" applyBorder="1" applyAlignment="1" applyProtection="1">
      <alignment horizontal="center"/>
      <protection/>
    </xf>
    <xf numFmtId="0" fontId="19" fillId="0" borderId="0" xfId="35" applyFont="1" applyFill="1" applyBorder="1" applyAlignment="1" applyProtection="1">
      <alignment/>
      <protection/>
    </xf>
    <xf numFmtId="0" fontId="18" fillId="0" borderId="0" xfId="35" applyFont="1" applyFill="1" applyAlignment="1" applyProtection="1">
      <alignment horizontal="center"/>
      <protection/>
    </xf>
    <xf numFmtId="0" fontId="18" fillId="0" borderId="25" xfId="35" applyFont="1" applyFill="1" applyBorder="1" applyAlignment="1" applyProtection="1">
      <alignment horizontal="left"/>
      <protection/>
    </xf>
    <xf numFmtId="0" fontId="18" fillId="0" borderId="27" xfId="35" applyFont="1" applyFill="1" applyBorder="1" applyAlignment="1" applyProtection="1">
      <alignment/>
      <protection/>
    </xf>
    <xf numFmtId="0" fontId="18" fillId="0" borderId="27" xfId="35" applyFont="1" applyFill="1" applyBorder="1" applyAlignment="1" applyProtection="1">
      <alignment horizontal="center"/>
      <protection/>
    </xf>
    <xf numFmtId="0" fontId="18" fillId="0" borderId="0" xfId="35" applyNumberFormat="1" applyFont="1" applyFill="1" applyBorder="1" applyAlignment="1" applyProtection="1">
      <alignment/>
      <protection/>
    </xf>
    <xf numFmtId="0" fontId="18" fillId="0" borderId="25" xfId="35" applyNumberFormat="1" applyFont="1" applyFill="1" applyBorder="1" applyAlignment="1" applyProtection="1">
      <alignment/>
      <protection/>
    </xf>
    <xf numFmtId="0" fontId="18" fillId="0" borderId="25" xfId="35" applyFont="1" applyFill="1" applyBorder="1" applyAlignment="1" applyProtection="1">
      <alignment/>
      <protection/>
    </xf>
    <xf numFmtId="0" fontId="18" fillId="0" borderId="0" xfId="35" applyNumberFormat="1" applyFont="1" applyFill="1" applyAlignment="1" applyProtection="1">
      <alignment horizontal="left"/>
      <protection/>
    </xf>
    <xf numFmtId="0" fontId="15" fillId="0" borderId="0" xfId="35" applyNumberFormat="1" applyFont="1" applyFill="1" applyAlignment="1" applyProtection="1">
      <alignment horizontal="right"/>
      <protection/>
    </xf>
    <xf numFmtId="3" fontId="18" fillId="0" borderId="27" xfId="35" applyNumberFormat="1" applyFont="1" applyFill="1" applyBorder="1" applyAlignment="1" applyProtection="1">
      <alignment horizontal="center"/>
      <protection/>
    </xf>
    <xf numFmtId="3" fontId="18" fillId="0" borderId="0" xfId="35" applyNumberFormat="1" applyFont="1" applyFill="1" applyBorder="1" applyAlignment="1" applyProtection="1">
      <alignment horizontal="center"/>
      <protection/>
    </xf>
    <xf numFmtId="0" fontId="15" fillId="0" borderId="54" xfId="35" applyFont="1" applyFill="1" applyBorder="1" applyAlignment="1" applyProtection="1">
      <alignment horizontal="center"/>
      <protection/>
    </xf>
    <xf numFmtId="167" fontId="18" fillId="0" borderId="0" xfId="35" applyNumberFormat="1" applyFont="1" applyAlignment="1" applyProtection="1">
      <alignment horizontal="center"/>
      <protection/>
    </xf>
    <xf numFmtId="0" fontId="15" fillId="0" borderId="54" xfId="35" applyFont="1" applyBorder="1" applyAlignment="1" applyProtection="1">
      <alignment horizontal="center"/>
      <protection/>
    </xf>
    <xf numFmtId="0" fontId="18" fillId="0" borderId="54" xfId="35" applyFont="1" applyBorder="1" applyAlignment="1" applyProtection="1">
      <alignment horizontal="left"/>
      <protection/>
    </xf>
    <xf numFmtId="0" fontId="15" fillId="0" borderId="54" xfId="35" applyFont="1" applyBorder="1" applyAlignment="1" applyProtection="1">
      <alignment horizontal="left"/>
      <protection/>
    </xf>
    <xf numFmtId="0" fontId="23" fillId="0" borderId="0" xfId="35" applyFont="1" applyAlignment="1" applyProtection="1">
      <alignment horizontal="left"/>
      <protection/>
    </xf>
    <xf numFmtId="0" fontId="23" fillId="0" borderId="0" xfId="35" applyFont="1" applyProtection="1">
      <alignment/>
      <protection/>
    </xf>
    <xf numFmtId="0" fontId="15" fillId="0" borderId="0" xfId="35" applyNumberFormat="1" applyFont="1" applyFill="1" applyBorder="1" applyAlignment="1" applyProtection="1">
      <alignment horizontal="left"/>
      <protection/>
    </xf>
    <xf numFmtId="0" fontId="18" fillId="0" borderId="0" xfId="35" applyFont="1" applyFill="1" applyAlignment="1" applyProtection="1">
      <alignment horizontal="right"/>
      <protection/>
    </xf>
    <xf numFmtId="0" fontId="15" fillId="0" borderId="0" xfId="35" applyFont="1" applyFill="1" applyAlignment="1" applyProtection="1">
      <alignment/>
      <protection/>
    </xf>
    <xf numFmtId="0" fontId="18" fillId="0" borderId="0" xfId="35" applyFont="1" applyFill="1" applyBorder="1" applyAlignment="1" applyProtection="1">
      <alignment horizontal="right"/>
      <protection/>
    </xf>
    <xf numFmtId="0" fontId="15" fillId="0" borderId="0" xfId="35" applyFont="1" applyFill="1" applyProtection="1">
      <alignment/>
      <protection/>
    </xf>
    <xf numFmtId="0" fontId="15" fillId="0" borderId="0" xfId="35" applyNumberFormat="1" applyFont="1" applyFill="1" applyBorder="1" applyAlignment="1" applyProtection="1">
      <alignment/>
      <protection/>
    </xf>
    <xf numFmtId="0" fontId="21" fillId="0" borderId="0" xfId="35" applyFont="1" applyFill="1" applyBorder="1" applyAlignment="1" applyProtection="1">
      <alignment/>
      <protection/>
    </xf>
    <xf numFmtId="0" fontId="15" fillId="0" borderId="0" xfId="35" applyNumberFormat="1" applyFont="1" applyFill="1" applyAlignment="1" applyProtection="1">
      <alignment horizontal="left"/>
      <protection/>
    </xf>
    <xf numFmtId="4" fontId="21" fillId="0" borderId="0" xfId="35" applyNumberFormat="1" applyFont="1" applyFill="1" applyAlignment="1" applyProtection="1">
      <alignment horizontal="right"/>
      <protection/>
    </xf>
    <xf numFmtId="3" fontId="21" fillId="0" borderId="0" xfId="35" applyNumberFormat="1" applyFont="1" applyAlignment="1" applyProtection="1">
      <alignment horizontal="right"/>
      <protection/>
    </xf>
    <xf numFmtId="0" fontId="24" fillId="0" borderId="0" xfId="35" applyNumberFormat="1" applyFont="1" applyFill="1" applyAlignment="1" applyProtection="1">
      <alignment horizontal="left"/>
      <protection/>
    </xf>
    <xf numFmtId="0" fontId="18" fillId="0" borderId="0" xfId="35" applyNumberFormat="1" applyFont="1" applyFill="1" applyBorder="1" applyAlignment="1" applyProtection="1">
      <alignment horizontal="left"/>
      <protection/>
    </xf>
    <xf numFmtId="0" fontId="18" fillId="0" borderId="0" xfId="35" applyNumberFormat="1" applyFont="1" applyFill="1" applyAlignment="1" applyProtection="1">
      <alignment horizontal="right"/>
      <protection/>
    </xf>
    <xf numFmtId="0" fontId="25" fillId="0" borderId="0" xfId="35" applyFont="1" applyFill="1" applyAlignment="1" applyProtection="1">
      <alignment horizontal="center"/>
      <protection/>
    </xf>
    <xf numFmtId="0" fontId="18" fillId="0" borderId="25" xfId="35" applyNumberFormat="1" applyFont="1" applyFill="1" applyBorder="1" applyAlignment="1" applyProtection="1">
      <alignment horizontal="left"/>
      <protection/>
    </xf>
    <xf numFmtId="0" fontId="18" fillId="0" borderId="25" xfId="35" applyNumberFormat="1" applyFont="1" applyFill="1" applyBorder="1" applyAlignment="1" applyProtection="1">
      <alignment horizontal="center"/>
      <protection/>
    </xf>
    <xf numFmtId="3" fontId="21" fillId="0" borderId="25" xfId="35" applyNumberFormat="1" applyFont="1" applyBorder="1" applyAlignment="1" applyProtection="1">
      <alignment horizontal="right"/>
      <protection/>
    </xf>
    <xf numFmtId="0" fontId="18" fillId="0" borderId="27" xfId="35" applyNumberFormat="1" applyFont="1" applyBorder="1" applyAlignment="1" applyProtection="1">
      <alignment horizontal="center"/>
      <protection/>
    </xf>
    <xf numFmtId="3" fontId="21" fillId="0" borderId="27" xfId="35" applyNumberFormat="1" applyFont="1" applyBorder="1" applyAlignment="1" applyProtection="1">
      <alignment horizontal="right"/>
      <protection/>
    </xf>
    <xf numFmtId="0" fontId="18" fillId="0" borderId="27" xfId="35" applyNumberFormat="1" applyFont="1" applyFill="1" applyBorder="1" applyAlignment="1" applyProtection="1">
      <alignment horizontal="left"/>
      <protection/>
    </xf>
    <xf numFmtId="0" fontId="18" fillId="0" borderId="27" xfId="35" applyFont="1" applyFill="1" applyBorder="1" applyAlignment="1" applyProtection="1">
      <alignment horizontal="left"/>
      <protection/>
    </xf>
    <xf numFmtId="0" fontId="15" fillId="0" borderId="27" xfId="35" applyFont="1" applyFill="1" applyBorder="1" applyAlignment="1" applyProtection="1">
      <alignment horizontal="center"/>
      <protection/>
    </xf>
    <xf numFmtId="0" fontId="15" fillId="0" borderId="27" xfId="35" applyFont="1" applyFill="1" applyBorder="1" applyProtection="1">
      <alignment/>
      <protection/>
    </xf>
    <xf numFmtId="0" fontId="18" fillId="0" borderId="0" xfId="35" applyFont="1" applyBorder="1" applyAlignment="1" applyProtection="1">
      <alignment horizontal="left"/>
      <protection/>
    </xf>
    <xf numFmtId="0" fontId="15" fillId="0" borderId="0" xfId="35" applyFont="1" applyBorder="1" applyAlignment="1" applyProtection="1">
      <alignment horizontal="center"/>
      <protection/>
    </xf>
    <xf numFmtId="0" fontId="15" fillId="0" borderId="0" xfId="35" applyFont="1" applyBorder="1" applyProtection="1">
      <alignment/>
      <protection/>
    </xf>
    <xf numFmtId="0" fontId="15" fillId="0" borderId="0" xfId="35" applyFont="1" applyProtection="1">
      <alignment/>
      <protection/>
    </xf>
    <xf numFmtId="43" fontId="15" fillId="0" borderId="54" xfId="18" applyFont="1" applyBorder="1" applyProtection="1">
      <protection/>
    </xf>
    <xf numFmtId="0" fontId="18" fillId="0" borderId="53" xfId="35" applyNumberFormat="1" applyFont="1" applyBorder="1" applyAlignment="1" applyProtection="1">
      <alignment horizontal="center"/>
      <protection/>
    </xf>
    <xf numFmtId="0" fontId="15" fillId="0" borderId="53" xfId="35" applyFont="1" applyBorder="1" applyProtection="1">
      <alignment/>
      <protection/>
    </xf>
    <xf numFmtId="0" fontId="15" fillId="0" borderId="53" xfId="35" applyFont="1" applyBorder="1" applyAlignment="1" applyProtection="1">
      <alignment horizontal="center"/>
      <protection/>
    </xf>
    <xf numFmtId="3" fontId="18" fillId="0" borderId="53" xfId="35" applyNumberFormat="1" applyFont="1" applyFill="1" applyBorder="1" applyAlignment="1" applyProtection="1">
      <alignment/>
      <protection/>
    </xf>
    <xf numFmtId="0" fontId="19" fillId="65" borderId="0" xfId="35" applyFont="1" applyFill="1" applyAlignment="1" applyProtection="1">
      <alignment horizontal="left"/>
      <protection/>
    </xf>
    <xf numFmtId="0" fontId="19" fillId="65" borderId="0" xfId="35" applyFont="1" applyFill="1" applyAlignment="1" applyProtection="1">
      <alignment/>
      <protection/>
    </xf>
    <xf numFmtId="0" fontId="15" fillId="65" borderId="0" xfId="35" applyNumberFormat="1" applyFont="1" applyFill="1" applyAlignment="1" applyProtection="1">
      <alignment horizontal="left"/>
      <protection/>
    </xf>
    <xf numFmtId="0" fontId="18" fillId="65" borderId="0" xfId="35" applyFont="1" applyFill="1" applyAlignment="1" applyProtection="1">
      <alignment/>
      <protection/>
    </xf>
    <xf numFmtId="0" fontId="15" fillId="65" borderId="0" xfId="35" applyNumberFormat="1" applyFont="1" applyFill="1" applyAlignment="1" applyProtection="1">
      <alignment horizontal="center"/>
      <protection/>
    </xf>
    <xf numFmtId="0" fontId="15" fillId="0" borderId="27" xfId="35" applyNumberFormat="1" applyFont="1" applyFill="1" applyBorder="1" applyAlignment="1" applyProtection="1">
      <alignment/>
      <protection/>
    </xf>
    <xf numFmtId="0" fontId="21" fillId="0" borderId="0" xfId="35" applyFont="1" applyFill="1" applyAlignment="1" applyProtection="1">
      <alignment horizontal="center"/>
      <protection/>
    </xf>
    <xf numFmtId="0" fontId="21" fillId="0" borderId="25" xfId="35" applyFont="1" applyFill="1" applyBorder="1" applyAlignment="1" applyProtection="1">
      <alignment/>
      <protection/>
    </xf>
    <xf numFmtId="0" fontId="15" fillId="0" borderId="53" xfId="35" applyNumberFormat="1" applyFont="1" applyFill="1" applyBorder="1" applyAlignment="1" applyProtection="1">
      <alignment/>
      <protection/>
    </xf>
    <xf numFmtId="0" fontId="18" fillId="0" borderId="53" xfId="35" applyFont="1" applyFill="1" applyBorder="1" applyAlignment="1" applyProtection="1">
      <alignment/>
      <protection/>
    </xf>
    <xf numFmtId="3" fontId="18" fillId="0" borderId="53" xfId="35" applyNumberFormat="1" applyFont="1" applyFill="1" applyBorder="1" applyAlignment="1" applyProtection="1">
      <alignment horizontal="center"/>
      <protection/>
    </xf>
    <xf numFmtId="0" fontId="18" fillId="0" borderId="0" xfId="35" applyFont="1" applyAlignment="1" applyProtection="1">
      <alignment horizontal="right"/>
      <protection/>
    </xf>
    <xf numFmtId="0" fontId="18" fillId="0" borderId="0" xfId="35" applyNumberFormat="1" applyFont="1" applyFill="1" applyBorder="1" applyAlignment="1" applyProtection="1">
      <alignment horizontal="center"/>
      <protection/>
    </xf>
    <xf numFmtId="0" fontId="18" fillId="0" borderId="25" xfId="35" applyFont="1" applyFill="1" applyBorder="1" applyAlignment="1" applyProtection="1">
      <alignment horizontal="center"/>
      <protection/>
    </xf>
    <xf numFmtId="3" fontId="21" fillId="0" borderId="25" xfId="35" applyNumberFormat="1" applyFont="1" applyFill="1" applyBorder="1" applyAlignment="1" applyProtection="1">
      <alignment horizontal="right"/>
      <protection/>
    </xf>
    <xf numFmtId="0" fontId="25" fillId="0" borderId="0" xfId="35" applyNumberFormat="1" applyFont="1" applyFill="1" applyAlignment="1" applyProtection="1">
      <alignment horizontal="center"/>
      <protection/>
    </xf>
    <xf numFmtId="0" fontId="25" fillId="0" borderId="0" xfId="35" applyNumberFormat="1" applyFont="1" applyFill="1" applyAlignment="1" applyProtection="1">
      <alignment/>
      <protection/>
    </xf>
    <xf numFmtId="0" fontId="15" fillId="0" borderId="53" xfId="35" applyNumberFormat="1" applyFont="1" applyBorder="1" applyAlignment="1" applyProtection="1">
      <alignment horizontal="left"/>
      <protection/>
    </xf>
    <xf numFmtId="0" fontId="15" fillId="0" borderId="53" xfId="35" applyFont="1" applyBorder="1" applyAlignment="1" applyProtection="1">
      <alignment/>
      <protection/>
    </xf>
    <xf numFmtId="0" fontId="15" fillId="0" borderId="53" xfId="35" applyNumberFormat="1" applyFont="1" applyBorder="1" applyAlignment="1" applyProtection="1">
      <alignment horizontal="center"/>
      <protection/>
    </xf>
    <xf numFmtId="0" fontId="19" fillId="65" borderId="0" xfId="35" applyFont="1" applyFill="1" applyBorder="1" applyAlignment="1" applyProtection="1">
      <alignment horizontal="center"/>
      <protection/>
    </xf>
    <xf numFmtId="3" fontId="15" fillId="0" borderId="0" xfId="35" applyNumberFormat="1" applyFont="1" applyBorder="1" applyAlignment="1" applyProtection="1">
      <alignment/>
      <protection/>
    </xf>
    <xf numFmtId="3" fontId="15" fillId="0" borderId="0" xfId="35" applyNumberFormat="1" applyFont="1" applyAlignment="1" applyProtection="1">
      <alignment/>
      <protection/>
    </xf>
    <xf numFmtId="3" fontId="18" fillId="0" borderId="0" xfId="35" applyNumberFormat="1" applyFont="1" applyBorder="1" applyAlignment="1" applyProtection="1">
      <alignment horizontal="center"/>
      <protection/>
    </xf>
    <xf numFmtId="0" fontId="15" fillId="0" borderId="0" xfId="35" applyNumberFormat="1" applyFont="1" applyAlignment="1" applyProtection="1">
      <alignment/>
      <protection/>
    </xf>
    <xf numFmtId="3" fontId="18" fillId="0" borderId="25" xfId="35" applyNumberFormat="1" applyFont="1" applyBorder="1" applyAlignment="1" applyProtection="1">
      <alignment/>
      <protection/>
    </xf>
    <xf numFmtId="3" fontId="15" fillId="0" borderId="0" xfId="35" applyNumberFormat="1" applyFont="1" applyFill="1" applyBorder="1" applyAlignment="1" applyProtection="1">
      <alignment/>
      <protection/>
    </xf>
    <xf numFmtId="0" fontId="18" fillId="0" borderId="0" xfId="35" applyNumberFormat="1" applyFont="1" applyBorder="1" applyProtection="1">
      <alignment/>
      <protection/>
    </xf>
    <xf numFmtId="0" fontId="18" fillId="0" borderId="0" xfId="35" applyNumberFormat="1" applyFont="1" applyBorder="1" applyAlignment="1" applyProtection="1">
      <alignment horizontal="left"/>
      <protection/>
    </xf>
    <xf numFmtId="3" fontId="18" fillId="0" borderId="0" xfId="35" applyNumberFormat="1" applyFont="1" applyAlignment="1" applyProtection="1">
      <alignment horizontal="left"/>
      <protection/>
    </xf>
    <xf numFmtId="3" fontId="18" fillId="0" borderId="0" xfId="35" applyNumberFormat="1" applyFont="1" applyAlignment="1" applyProtection="1" quotePrefix="1">
      <alignment horizontal="right"/>
      <protection/>
    </xf>
    <xf numFmtId="0" fontId="18" fillId="0" borderId="25" xfId="35" applyNumberFormat="1" applyFont="1" applyBorder="1" applyAlignment="1" applyProtection="1">
      <alignment horizontal="center"/>
      <protection/>
    </xf>
    <xf numFmtId="0" fontId="18" fillId="0" borderId="25" xfId="35" applyNumberFormat="1" applyFont="1" applyBorder="1" applyAlignment="1" applyProtection="1">
      <alignment horizontal="left"/>
      <protection/>
    </xf>
    <xf numFmtId="0" fontId="18" fillId="0" borderId="25" xfId="35" applyNumberFormat="1" applyFont="1" applyBorder="1" applyAlignment="1" applyProtection="1">
      <alignment/>
      <protection/>
    </xf>
    <xf numFmtId="0" fontId="18" fillId="0" borderId="25" xfId="35" applyFont="1" applyBorder="1" applyAlignment="1" applyProtection="1">
      <alignment horizontal="center"/>
      <protection/>
    </xf>
    <xf numFmtId="3" fontId="18" fillId="0" borderId="25" xfId="35" applyNumberFormat="1" applyFont="1" applyBorder="1" applyAlignment="1" applyProtection="1">
      <alignment horizontal="right"/>
      <protection/>
    </xf>
    <xf numFmtId="0" fontId="15" fillId="0" borderId="0" xfId="35" applyNumberFormat="1" applyFont="1" applyBorder="1" applyAlignment="1" applyProtection="1">
      <alignment/>
      <protection/>
    </xf>
    <xf numFmtId="0" fontId="15" fillId="0" borderId="0" xfId="35" applyFont="1" applyBorder="1" applyAlignment="1" applyProtection="1">
      <alignment/>
      <protection/>
    </xf>
    <xf numFmtId="3" fontId="15" fillId="0" borderId="0" xfId="35" applyNumberFormat="1" applyFont="1" applyBorder="1" applyAlignment="1" applyProtection="1" quotePrefix="1">
      <alignment horizontal="right"/>
      <protection/>
    </xf>
    <xf numFmtId="0" fontId="15" fillId="0" borderId="0" xfId="35" applyNumberFormat="1" applyFont="1" applyAlignment="1" applyProtection="1">
      <alignment horizontal="center"/>
      <protection/>
    </xf>
    <xf numFmtId="167" fontId="15" fillId="0" borderId="53" xfId="35" applyNumberFormat="1" applyFont="1" applyBorder="1" applyAlignment="1" applyProtection="1">
      <alignment horizontal="left"/>
      <protection/>
    </xf>
    <xf numFmtId="0" fontId="18" fillId="0" borderId="53" xfId="35" applyFont="1" applyBorder="1" applyProtection="1">
      <alignment/>
      <protection/>
    </xf>
    <xf numFmtId="3" fontId="15" fillId="0" borderId="53" xfId="35" applyNumberFormat="1" applyFont="1" applyBorder="1" applyAlignment="1" applyProtection="1">
      <alignment horizontal="center"/>
      <protection/>
    </xf>
    <xf numFmtId="168" fontId="15" fillId="0" borderId="53" xfId="35" applyNumberFormat="1" applyFont="1" applyBorder="1" applyAlignment="1" applyProtection="1">
      <alignment horizontal="center"/>
      <protection/>
    </xf>
    <xf numFmtId="167" fontId="15" fillId="0" borderId="0" xfId="35" applyNumberFormat="1" applyFont="1" applyBorder="1" applyAlignment="1" applyProtection="1">
      <alignment horizontal="left"/>
      <protection/>
    </xf>
    <xf numFmtId="168" fontId="18" fillId="0" borderId="0" xfId="35" applyNumberFormat="1" applyFont="1" applyAlignment="1" applyProtection="1">
      <alignment horizontal="center"/>
      <protection/>
    </xf>
    <xf numFmtId="0" fontId="18" fillId="0" borderId="0" xfId="35" applyNumberFormat="1" applyFont="1" applyFill="1" applyProtection="1">
      <alignment/>
      <protection/>
    </xf>
    <xf numFmtId="169" fontId="18" fillId="0" borderId="0" xfId="35" applyNumberFormat="1" applyFont="1" applyAlignment="1" applyProtection="1">
      <alignment/>
      <protection/>
    </xf>
    <xf numFmtId="167" fontId="18" fillId="0" borderId="0" xfId="35" applyNumberFormat="1" applyFont="1" applyFill="1" applyAlignment="1" applyProtection="1">
      <alignment horizontal="left"/>
      <protection/>
    </xf>
    <xf numFmtId="168" fontId="18" fillId="0" borderId="0" xfId="35" applyNumberFormat="1" applyFont="1" applyFill="1" applyAlignment="1" applyProtection="1">
      <alignment horizontal="center"/>
      <protection/>
    </xf>
    <xf numFmtId="0" fontId="18" fillId="0" borderId="0" xfId="35" applyNumberFormat="1" applyFont="1" applyBorder="1" applyAlignment="1" applyProtection="1">
      <alignment horizontal="center"/>
      <protection/>
    </xf>
    <xf numFmtId="3" fontId="21" fillId="0" borderId="0" xfId="35" applyNumberFormat="1" applyFont="1" applyBorder="1" applyAlignment="1" applyProtection="1">
      <alignment horizontal="right"/>
      <protection/>
    </xf>
    <xf numFmtId="0" fontId="15" fillId="0" borderId="27" xfId="35" applyNumberFormat="1" applyFont="1" applyBorder="1" applyAlignment="1" applyProtection="1">
      <alignment horizontal="left"/>
      <protection/>
    </xf>
    <xf numFmtId="0" fontId="15" fillId="0" borderId="0" xfId="35" applyNumberFormat="1" applyFont="1" applyBorder="1" applyAlignment="1" applyProtection="1">
      <alignment horizontal="left"/>
      <protection/>
    </xf>
    <xf numFmtId="167" fontId="15" fillId="0" borderId="54" xfId="35" applyNumberFormat="1" applyFont="1" applyBorder="1" applyAlignment="1" applyProtection="1">
      <alignment horizontal="left"/>
      <protection/>
    </xf>
    <xf numFmtId="0" fontId="15" fillId="0" borderId="54" xfId="35" applyFont="1" applyBorder="1" applyAlignment="1" applyProtection="1">
      <alignment/>
      <protection/>
    </xf>
    <xf numFmtId="3" fontId="15" fillId="0" borderId="54" xfId="35" applyNumberFormat="1" applyFont="1" applyFill="1" applyBorder="1" applyAlignment="1" applyProtection="1">
      <alignment/>
      <protection/>
    </xf>
    <xf numFmtId="168" fontId="15" fillId="0" borderId="54" xfId="35" applyNumberFormat="1" applyFont="1" applyBorder="1" applyAlignment="1" applyProtection="1">
      <alignment/>
      <protection/>
    </xf>
    <xf numFmtId="167" fontId="18" fillId="0" borderId="0" xfId="35" applyNumberFormat="1" applyFont="1" applyAlignment="1" applyProtection="1">
      <alignment horizontal="left"/>
      <protection/>
    </xf>
    <xf numFmtId="168" fontId="18" fillId="0" borderId="0" xfId="35" applyNumberFormat="1" applyFont="1" applyAlignment="1" applyProtection="1">
      <alignment/>
      <protection/>
    </xf>
    <xf numFmtId="0" fontId="15" fillId="0" borderId="27" xfId="35" applyFont="1" applyFill="1" applyBorder="1" applyAlignment="1" applyProtection="1">
      <alignment/>
      <protection/>
    </xf>
    <xf numFmtId="3" fontId="15" fillId="0" borderId="27" xfId="35" applyNumberFormat="1" applyFont="1" applyBorder="1" applyAlignment="1" applyProtection="1">
      <alignment horizontal="center"/>
      <protection/>
    </xf>
    <xf numFmtId="0" fontId="15" fillId="0" borderId="27" xfId="35" applyFont="1" applyBorder="1" applyAlignment="1" applyProtection="1">
      <alignment/>
      <protection/>
    </xf>
    <xf numFmtId="167" fontId="18" fillId="0" borderId="0" xfId="35" applyNumberFormat="1" applyFont="1" applyBorder="1" applyAlignment="1" applyProtection="1">
      <alignment horizontal="left"/>
      <protection/>
    </xf>
    <xf numFmtId="0" fontId="15" fillId="0" borderId="47" xfId="35" applyNumberFormat="1" applyFont="1" applyBorder="1" applyAlignment="1" applyProtection="1">
      <alignment horizontal="center"/>
      <protection/>
    </xf>
    <xf numFmtId="0" fontId="18" fillId="0" borderId="30" xfId="35" applyNumberFormat="1" applyFont="1" applyBorder="1" applyAlignment="1" applyProtection="1">
      <alignment horizontal="center"/>
      <protection/>
    </xf>
    <xf numFmtId="0" fontId="15" fillId="0" borderId="30" xfId="35" applyNumberFormat="1" applyFont="1" applyFill="1" applyBorder="1" applyAlignment="1" applyProtection="1">
      <alignment/>
      <protection/>
    </xf>
    <xf numFmtId="0" fontId="15" fillId="0" borderId="30" xfId="35" applyFont="1" applyFill="1" applyBorder="1" applyAlignment="1" applyProtection="1">
      <alignment/>
      <protection/>
    </xf>
    <xf numFmtId="3" fontId="15" fillId="0" borderId="30" xfId="35" applyNumberFormat="1" applyFont="1" applyFill="1" applyBorder="1" applyAlignment="1" applyProtection="1">
      <alignment/>
      <protection/>
    </xf>
    <xf numFmtId="0" fontId="18" fillId="0" borderId="30" xfId="35" applyFont="1" applyBorder="1" applyAlignment="1" applyProtection="1">
      <alignment/>
      <protection/>
    </xf>
    <xf numFmtId="0" fontId="15" fillId="0" borderId="0" xfId="35" applyNumberFormat="1" applyFont="1" applyBorder="1" applyAlignment="1" applyProtection="1">
      <alignment horizontal="center"/>
      <protection/>
    </xf>
    <xf numFmtId="3" fontId="15" fillId="0" borderId="0" xfId="35" applyNumberFormat="1" applyFont="1" applyBorder="1" applyAlignment="1" applyProtection="1">
      <alignment horizontal="center"/>
      <protection/>
    </xf>
    <xf numFmtId="0" fontId="15" fillId="0" borderId="25" xfId="35" applyFont="1" applyFill="1" applyBorder="1" applyAlignment="1" applyProtection="1">
      <alignment/>
      <protection/>
    </xf>
    <xf numFmtId="3" fontId="15" fillId="0" borderId="0" xfId="35" applyNumberFormat="1" applyFont="1" applyFill="1" applyBorder="1" applyAlignment="1" applyProtection="1">
      <alignment horizontal="center"/>
      <protection/>
    </xf>
    <xf numFmtId="3" fontId="15" fillId="0" borderId="25" xfId="35" applyNumberFormat="1" applyFont="1" applyBorder="1" applyAlignment="1" applyProtection="1">
      <alignment horizontal="center"/>
      <protection/>
    </xf>
    <xf numFmtId="0" fontId="15" fillId="0" borderId="0" xfId="35" applyNumberFormat="1" applyFont="1" applyAlignment="1" applyProtection="1">
      <alignment horizontal="left"/>
      <protection/>
    </xf>
    <xf numFmtId="0" fontId="25" fillId="0" borderId="0" xfId="35" applyFont="1" applyFill="1" applyBorder="1" applyAlignment="1" applyProtection="1">
      <alignment/>
      <protection/>
    </xf>
    <xf numFmtId="43" fontId="18" fillId="0" borderId="0" xfId="35" applyNumberFormat="1" applyFont="1" applyAlignment="1" applyProtection="1">
      <alignment/>
      <protection/>
    </xf>
    <xf numFmtId="0" fontId="15" fillId="0" borderId="40" xfId="35" applyNumberFormat="1" applyFont="1" applyBorder="1" applyAlignment="1" applyProtection="1">
      <alignment horizontal="center"/>
      <protection/>
    </xf>
    <xf numFmtId="0" fontId="15" fillId="0" borderId="29" xfId="35" applyFont="1" applyBorder="1" applyProtection="1">
      <alignment/>
      <protection/>
    </xf>
    <xf numFmtId="0" fontId="15" fillId="0" borderId="29" xfId="35" applyNumberFormat="1" applyFont="1" applyBorder="1" applyAlignment="1" applyProtection="1">
      <alignment horizontal="left"/>
      <protection/>
    </xf>
    <xf numFmtId="0" fontId="15" fillId="0" borderId="29" xfId="35" applyFont="1" applyBorder="1" applyAlignment="1" applyProtection="1">
      <alignment horizontal="center"/>
      <protection/>
    </xf>
    <xf numFmtId="3" fontId="15" fillId="0" borderId="29" xfId="35" applyNumberFormat="1" applyFont="1" applyBorder="1" applyAlignment="1" applyProtection="1">
      <alignment/>
      <protection/>
    </xf>
    <xf numFmtId="0" fontId="15" fillId="0" borderId="29" xfId="35" applyFont="1" applyBorder="1" applyAlignment="1" applyProtection="1">
      <alignment/>
      <protection/>
    </xf>
    <xf numFmtId="0" fontId="13" fillId="0" borderId="0" xfId="35" applyFont="1" applyFill="1" applyAlignment="1" applyProtection="1">
      <alignment/>
      <protection/>
    </xf>
    <xf numFmtId="0" fontId="13" fillId="0" borderId="0" xfId="35" applyFont="1" applyFill="1" applyBorder="1" applyAlignment="1" applyProtection="1">
      <alignment horizontal="center"/>
      <protection/>
    </xf>
    <xf numFmtId="37" fontId="18" fillId="0" borderId="0" xfId="35" applyNumberFormat="1" applyFont="1" applyBorder="1" applyAlignment="1" applyProtection="1">
      <alignment horizontal="left"/>
      <protection/>
    </xf>
    <xf numFmtId="0" fontId="13" fillId="0" borderId="0" xfId="35" applyFont="1" applyBorder="1" applyAlignment="1" applyProtection="1">
      <alignment horizontal="center"/>
      <protection/>
    </xf>
    <xf numFmtId="0" fontId="15" fillId="0" borderId="0" xfId="35" applyFont="1" applyFill="1" applyBorder="1" applyAlignment="1" applyProtection="1">
      <alignment horizontal="center"/>
      <protection/>
    </xf>
    <xf numFmtId="0" fontId="19" fillId="0" borderId="0" xfId="35" applyNumberFormat="1" applyFont="1" applyFill="1" applyBorder="1" applyAlignment="1" applyProtection="1">
      <alignment horizontal="left"/>
      <protection/>
    </xf>
    <xf numFmtId="0" fontId="5" fillId="0" borderId="0" xfId="20" applyFont="1" applyBorder="1">
      <alignment/>
      <protection/>
    </xf>
    <xf numFmtId="37" fontId="5" fillId="0" borderId="0" xfId="20" applyNumberFormat="1" applyFont="1" applyFill="1" applyBorder="1" applyAlignment="1" applyProtection="1">
      <alignment horizontal="right" wrapText="1"/>
      <protection locked="0"/>
    </xf>
    <xf numFmtId="43" fontId="5" fillId="0" borderId="37" xfId="18" applyFont="1" applyFill="1" applyBorder="1"/>
    <xf numFmtId="41" fontId="5" fillId="15" borderId="0" xfId="0" applyNumberFormat="1" applyFont="1" applyFill="1"/>
    <xf numFmtId="0" fontId="5" fillId="0" borderId="0" xfId="35" applyFont="1" applyFill="1" applyAlignment="1">
      <alignment/>
      <protection/>
    </xf>
    <xf numFmtId="0" fontId="30" fillId="0" borderId="0" xfId="35" applyFont="1" applyAlignment="1">
      <alignment horizontal="left"/>
      <protection/>
    </xf>
    <xf numFmtId="174" fontId="0" fillId="0" borderId="0" xfId="18" applyNumberFormat="1" applyFont="1"/>
    <xf numFmtId="167" fontId="0" fillId="0" borderId="0" xfId="15" applyNumberFormat="1" applyFont="1" applyFill="1"/>
    <xf numFmtId="0" fontId="33" fillId="0" borderId="0" xfId="35" applyFont="1" applyAlignment="1">
      <alignment horizontal="center"/>
      <protection/>
    </xf>
    <xf numFmtId="0" fontId="32" fillId="0" borderId="0" xfId="35" applyFont="1" applyAlignment="1">
      <alignment horizontal="center"/>
      <protection/>
    </xf>
    <xf numFmtId="3" fontId="5" fillId="0" borderId="0" xfId="35" applyNumberFormat="1" applyFont="1">
      <alignment/>
      <protection/>
    </xf>
    <xf numFmtId="164" fontId="14" fillId="0" borderId="0" xfId="35" applyNumberFormat="1" applyFont="1" applyFill="1">
      <alignment/>
      <protection/>
    </xf>
    <xf numFmtId="0" fontId="5" fillId="0" borderId="0" xfId="35" applyNumberFormat="1" applyFont="1" applyAlignment="1">
      <alignment horizontal="left"/>
      <protection/>
    </xf>
    <xf numFmtId="0" fontId="14" fillId="0" borderId="0" xfId="35" applyFont="1" applyFill="1">
      <alignment/>
      <protection/>
    </xf>
    <xf numFmtId="164" fontId="5" fillId="0" borderId="0" xfId="35" applyNumberFormat="1" applyFont="1" applyAlignment="1">
      <alignment horizontal="center"/>
      <protection/>
    </xf>
    <xf numFmtId="171" fontId="14" fillId="0" borderId="0" xfId="35" applyNumberFormat="1" applyFont="1" applyFill="1">
      <alignment/>
      <protection/>
    </xf>
    <xf numFmtId="171" fontId="5" fillId="24" borderId="0" xfId="35" applyNumberFormat="1" applyFont="1" applyFill="1" applyProtection="1">
      <alignment/>
      <protection locked="0"/>
    </xf>
    <xf numFmtId="0" fontId="14" fillId="0" borderId="0" xfId="35" applyFont="1">
      <alignment/>
      <protection/>
    </xf>
    <xf numFmtId="171" fontId="5" fillId="0" borderId="0" xfId="35" applyNumberFormat="1" applyFont="1" applyFill="1">
      <alignment/>
      <protection/>
    </xf>
    <xf numFmtId="0" fontId="9" fillId="0" borderId="0" xfId="35" applyFont="1" applyFill="1">
      <alignment/>
      <protection/>
    </xf>
    <xf numFmtId="0" fontId="10" fillId="0" borderId="0" xfId="35" applyFont="1" applyFill="1" applyAlignment="1">
      <alignment horizontal="left"/>
      <protection/>
    </xf>
    <xf numFmtId="0" fontId="10" fillId="0" borderId="0" xfId="35" applyFont="1" applyFill="1" applyAlignment="1">
      <alignment horizontal="center"/>
      <protection/>
    </xf>
    <xf numFmtId="0" fontId="4" fillId="0" borderId="55" xfId="0" applyFont="1" applyFill="1" applyBorder="1" applyAlignment="1">
      <alignment wrapText="1"/>
    </xf>
    <xf numFmtId="0" fontId="4" fillId="0" borderId="56" xfId="0" applyFont="1" applyFill="1" applyBorder="1"/>
    <xf numFmtId="0" fontId="4" fillId="0" borderId="57" xfId="35" applyFont="1" applyFill="1" applyBorder="1">
      <alignment/>
      <protection/>
    </xf>
    <xf numFmtId="0" fontId="5" fillId="24" borderId="58" xfId="35" applyFont="1" applyFill="1" applyBorder="1" applyAlignment="1">
      <alignment wrapText="1"/>
      <protection/>
    </xf>
    <xf numFmtId="0" fontId="5" fillId="0" borderId="0" xfId="35" applyFont="1">
      <alignment/>
      <protection/>
    </xf>
    <xf numFmtId="0" fontId="5" fillId="24" borderId="57" xfId="35" applyFont="1" applyFill="1" applyBorder="1" applyAlignment="1">
      <alignment wrapText="1"/>
      <protection/>
    </xf>
    <xf numFmtId="0" fontId="4" fillId="0" borderId="59" xfId="35" applyFont="1" applyFill="1" applyBorder="1">
      <alignment/>
      <protection/>
    </xf>
    <xf numFmtId="164" fontId="5" fillId="24" borderId="48" xfId="19" applyNumberFormat="1" applyFont="1" applyFill="1" applyBorder="1" applyAlignment="1">
      <alignment wrapText="1"/>
    </xf>
    <xf numFmtId="3" fontId="5" fillId="0" borderId="0" xfId="35" applyNumberFormat="1" applyFont="1" applyAlignment="1">
      <alignment horizontal="center"/>
      <protection/>
    </xf>
    <xf numFmtId="37" fontId="5" fillId="24" borderId="0" xfId="18" applyNumberFormat="1" applyFont="1" applyFill="1" applyBorder="1"/>
    <xf numFmtId="3" fontId="5" fillId="0" borderId="42" xfId="35" applyNumberFormat="1" applyFont="1" applyBorder="1">
      <alignment/>
      <protection/>
    </xf>
    <xf numFmtId="0" fontId="42" fillId="0" borderId="0" xfId="35" applyNumberFormat="1" applyFont="1" applyFill="1" applyBorder="1" applyAlignment="1">
      <alignment horizontal="left"/>
      <protection/>
    </xf>
    <xf numFmtId="0" fontId="42" fillId="0" borderId="0" xfId="35" applyFont="1">
      <alignment/>
      <protection/>
    </xf>
    <xf numFmtId="0" fontId="5" fillId="24" borderId="48" xfId="19" applyNumberFormat="1" applyFont="1" applyFill="1" applyBorder="1" applyAlignment="1">
      <alignment wrapText="1"/>
    </xf>
    <xf numFmtId="4" fontId="5" fillId="0" borderId="0" xfId="35" applyNumberFormat="1" applyFont="1">
      <alignment/>
      <protection/>
    </xf>
    <xf numFmtId="182" fontId="5" fillId="0" borderId="0" xfId="35" applyNumberFormat="1" applyFont="1" applyAlignment="1">
      <alignment horizontal="center"/>
      <protection/>
    </xf>
    <xf numFmtId="37" fontId="5" fillId="0" borderId="0" xfId="20" applyNumberFormat="1" applyFont="1" applyAlignment="1">
      <alignment horizontal="right" wrapText="1"/>
      <protection/>
    </xf>
    <xf numFmtId="3" fontId="5" fillId="0" borderId="0" xfId="0" applyNumberFormat="1" applyFont="1"/>
    <xf numFmtId="0" fontId="42" fillId="0" borderId="0" xfId="0" applyFont="1" applyFill="1"/>
    <xf numFmtId="164" fontId="5" fillId="0" borderId="0" xfId="0" applyNumberFormat="1" applyFont="1"/>
    <xf numFmtId="41" fontId="5" fillId="0" borderId="0" xfId="0" applyNumberFormat="1" applyFont="1"/>
    <xf numFmtId="0" fontId="87" fillId="0" borderId="0" xfId="0" applyFont="1" applyFill="1"/>
    <xf numFmtId="0" fontId="42" fillId="0" borderId="0" xfId="0" applyFont="1"/>
    <xf numFmtId="37" fontId="5" fillId="0" borderId="0" xfId="0" applyNumberFormat="1" applyFont="1"/>
    <xf numFmtId="3" fontId="18" fillId="0" borderId="0" xfId="20" applyNumberFormat="1" applyFont="1">
      <alignment/>
      <protection/>
    </xf>
    <xf numFmtId="0" fontId="5" fillId="0" borderId="2" xfId="35" applyFont="1" applyBorder="1" applyAlignment="1">
      <alignment/>
      <protection/>
    </xf>
    <xf numFmtId="3" fontId="5" fillId="0" borderId="60" xfId="35" applyNumberFormat="1" applyFont="1" applyFill="1" applyBorder="1" applyAlignment="1">
      <alignment horizontal="center"/>
      <protection/>
    </xf>
    <xf numFmtId="3" fontId="5" fillId="0" borderId="0" xfId="18" applyNumberFormat="1" applyFont="1" applyFill="1" applyBorder="1"/>
    <xf numFmtId="0" fontId="5" fillId="0" borderId="38" xfId="0" applyFont="1" applyFill="1" applyBorder="1" applyAlignment="1">
      <alignment horizontal="left"/>
    </xf>
    <xf numFmtId="0" fontId="5" fillId="0" borderId="45" xfId="0" applyFont="1" applyFill="1" applyBorder="1" applyAlignment="1">
      <alignment horizontal="left"/>
    </xf>
    <xf numFmtId="0" fontId="5" fillId="0" borderId="38" xfId="0" applyFont="1" applyFill="1" applyBorder="1" applyAlignment="1">
      <alignment horizontal="center"/>
    </xf>
    <xf numFmtId="37" fontId="5" fillId="0" borderId="0" xfId="18" applyNumberFormat="1" applyFont="1" applyFill="1" applyBorder="1"/>
    <xf numFmtId="3" fontId="4" fillId="0" borderId="0" xfId="35" applyNumberFormat="1" applyFont="1" applyBorder="1" applyAlignment="1">
      <alignment horizontal="center"/>
      <protection/>
    </xf>
    <xf numFmtId="3" fontId="5" fillId="0" borderId="0" xfId="35" applyNumberFormat="1" applyFont="1" applyFill="1" applyAlignment="1" applyProtection="1">
      <alignment/>
      <protection/>
    </xf>
    <xf numFmtId="10" fontId="18" fillId="0" borderId="0" xfId="15" applyNumberFormat="1" applyFont="1" applyFill="1" applyProtection="1">
      <protection/>
    </xf>
    <xf numFmtId="0" fontId="0" fillId="0" borderId="0" xfId="0" applyFont="1"/>
    <xf numFmtId="0" fontId="5" fillId="64" borderId="0" xfId="20" applyFont="1" applyFill="1">
      <alignment/>
      <protection/>
    </xf>
    <xf numFmtId="0" fontId="5" fillId="64" borderId="0" xfId="20" applyFont="1" applyFill="1" applyAlignment="1">
      <alignment horizontal="left" vertical="center" wrapText="1"/>
      <protection/>
    </xf>
    <xf numFmtId="37" fontId="5" fillId="64" borderId="0" xfId="20" applyNumberFormat="1" applyFont="1" applyFill="1">
      <alignment/>
      <protection/>
    </xf>
    <xf numFmtId="0" fontId="12" fillId="0" borderId="0" xfId="306" applyFont="1">
      <alignment/>
      <protection/>
    </xf>
    <xf numFmtId="10" fontId="12" fillId="0" borderId="0" xfId="306" applyNumberFormat="1" applyFont="1">
      <alignment/>
      <protection/>
    </xf>
    <xf numFmtId="0" fontId="12" fillId="0" borderId="0" xfId="306" applyFont="1" applyAlignment="1">
      <alignment horizontal="left"/>
      <protection/>
    </xf>
    <xf numFmtId="0" fontId="0" fillId="0" borderId="0" xfId="306" applyFont="1">
      <alignment/>
      <protection/>
    </xf>
    <xf numFmtId="0" fontId="12" fillId="0" borderId="0" xfId="0" applyFont="1"/>
    <xf numFmtId="2" fontId="12" fillId="0" borderId="0" xfId="0" applyNumberFormat="1" applyFont="1" applyAlignment="1">
      <alignment horizontal="left"/>
    </xf>
    <xf numFmtId="10" fontId="12" fillId="0" borderId="0" xfId="15" applyNumberFormat="1" applyFont="1" applyAlignment="1">
      <alignment horizontal="center"/>
    </xf>
    <xf numFmtId="0" fontId="10" fillId="0" borderId="0" xfId="0" applyFont="1" applyAlignment="1">
      <alignment horizontal="center"/>
    </xf>
    <xf numFmtId="0" fontId="31" fillId="0" borderId="0" xfId="306" applyFont="1">
      <alignment/>
      <protection/>
    </xf>
    <xf numFmtId="0" fontId="31" fillId="0" borderId="0" xfId="306" applyFont="1" applyAlignment="1">
      <alignment horizontal="center"/>
      <protection/>
    </xf>
    <xf numFmtId="0" fontId="5" fillId="0" borderId="0" xfId="306" applyFont="1" applyAlignment="1">
      <alignment horizontal="center"/>
      <protection/>
    </xf>
    <xf numFmtId="0" fontId="5" fillId="0" borderId="0" xfId="306" applyFont="1">
      <alignment/>
      <protection/>
    </xf>
    <xf numFmtId="171" fontId="4" fillId="0" borderId="0" xfId="538" applyNumberFormat="1" applyFont="1" applyAlignment="1">
      <alignment horizontal="center"/>
    </xf>
    <xf numFmtId="177" fontId="5" fillId="0" borderId="0" xfId="18" applyNumberFormat="1" applyFont="1" applyAlignment="1">
      <alignment horizontal="left"/>
    </xf>
    <xf numFmtId="171" fontId="5" fillId="0" borderId="0" xfId="538" applyNumberFormat="1" applyFont="1" applyAlignment="1">
      <alignment horizontal="center"/>
    </xf>
    <xf numFmtId="9" fontId="5" fillId="0" borderId="0" xfId="15" applyFont="1"/>
    <xf numFmtId="177" fontId="31" fillId="0" borderId="0" xfId="18" applyNumberFormat="1" applyFont="1" applyAlignment="1">
      <alignment horizontal="left"/>
    </xf>
    <xf numFmtId="171" fontId="5" fillId="0" borderId="0" xfId="538" applyNumberFormat="1" applyFont="1"/>
    <xf numFmtId="10" fontId="5" fillId="0" borderId="0" xfId="306" applyNumberFormat="1" applyFont="1">
      <alignment/>
      <protection/>
    </xf>
    <xf numFmtId="0" fontId="5" fillId="0" borderId="0" xfId="306" applyFont="1" quotePrefix="1">
      <alignment/>
      <protection/>
    </xf>
    <xf numFmtId="0" fontId="5" fillId="0" borderId="0" xfId="306" applyFont="1" applyAlignment="1">
      <alignment horizontal="left"/>
      <protection/>
    </xf>
    <xf numFmtId="3" fontId="5" fillId="0" borderId="52" xfId="18" applyNumberFormat="1" applyFont="1" applyFill="1" applyBorder="1"/>
    <xf numFmtId="3" fontId="5" fillId="0" borderId="60" xfId="18" applyNumberFormat="1" applyFont="1" applyFill="1" applyBorder="1"/>
    <xf numFmtId="0" fontId="5" fillId="64" borderId="0" xfId="35" applyFont="1" applyFill="1" applyBorder="1" applyAlignment="1">
      <alignment/>
      <protection/>
    </xf>
    <xf numFmtId="0" fontId="5" fillId="64" borderId="0" xfId="35" applyNumberFormat="1" applyFont="1" applyFill="1" applyBorder="1" applyAlignment="1">
      <alignment horizontal="left"/>
      <protection/>
    </xf>
    <xf numFmtId="172" fontId="5" fillId="0" borderId="0" xfId="15" applyNumberFormat="1" applyFont="1"/>
    <xf numFmtId="0" fontId="31" fillId="0" borderId="0" xfId="35" applyFont="1" applyAlignment="1">
      <alignment horizontal="center"/>
      <protection/>
    </xf>
    <xf numFmtId="3" fontId="18" fillId="0" borderId="0" xfId="20" applyNumberFormat="1" applyFont="1" applyFill="1">
      <alignment/>
      <protection/>
    </xf>
    <xf numFmtId="0" fontId="0" fillId="0" borderId="0" xfId="0"/>
    <xf numFmtId="0" fontId="5" fillId="0" borderId="45" xfId="35" applyNumberFormat="1" applyFont="1" applyFill="1" applyBorder="1" applyAlignment="1">
      <alignment horizontal="left"/>
      <protection/>
    </xf>
    <xf numFmtId="0" fontId="15" fillId="0" borderId="25" xfId="35" applyFont="1" applyFill="1" applyBorder="1" applyAlignment="1" applyProtection="1">
      <alignment horizontal="center"/>
      <protection/>
    </xf>
    <xf numFmtId="0" fontId="15" fillId="0" borderId="25" xfId="35" applyFont="1" applyFill="1" applyBorder="1" applyProtection="1">
      <alignment/>
      <protection/>
    </xf>
    <xf numFmtId="3" fontId="88" fillId="0" borderId="0" xfId="35" applyNumberFormat="1" applyFont="1" applyFill="1" applyBorder="1" applyAlignment="1" applyProtection="1">
      <alignment horizontal="right"/>
      <protection/>
    </xf>
    <xf numFmtId="0" fontId="15" fillId="0" borderId="54" xfId="35" applyFont="1" applyBorder="1" applyAlignment="1" applyProtection="1">
      <alignment wrapText="1"/>
      <protection/>
    </xf>
    <xf numFmtId="3" fontId="15" fillId="0" borderId="0" xfId="35" applyNumberFormat="1" applyFont="1" applyFill="1" applyBorder="1" applyAlignment="1" applyProtection="1">
      <alignment horizontal="right"/>
      <protection/>
    </xf>
    <xf numFmtId="171" fontId="18" fillId="0" borderId="0" xfId="15" applyNumberFormat="1" applyFont="1" applyBorder="1" applyAlignment="1" applyProtection="1">
      <alignment/>
      <protection/>
    </xf>
    <xf numFmtId="0" fontId="5" fillId="0" borderId="0" xfId="316" applyFont="1">
      <alignment/>
      <protection/>
    </xf>
    <xf numFmtId="0" fontId="5" fillId="0" borderId="0" xfId="316" applyFont="1" applyAlignment="1">
      <alignment horizontal="center"/>
      <protection/>
    </xf>
    <xf numFmtId="164" fontId="5" fillId="0" borderId="0" xfId="316" applyNumberFormat="1" applyFont="1">
      <alignment/>
      <protection/>
    </xf>
    <xf numFmtId="0" fontId="4" fillId="0" borderId="0" xfId="0" applyFont="1" applyBorder="1" applyAlignment="1">
      <alignment horizontal="left"/>
    </xf>
    <xf numFmtId="0" fontId="4" fillId="0" borderId="61" xfId="0" applyFont="1" applyFill="1" applyBorder="1"/>
    <xf numFmtId="0" fontId="5" fillId="0" borderId="62" xfId="0" applyFont="1" applyFill="1" applyBorder="1" applyAlignment="1">
      <alignment wrapText="1"/>
    </xf>
    <xf numFmtId="0" fontId="5" fillId="0" borderId="0" xfId="316" applyFont="1" applyAlignment="1">
      <alignment horizontal="left"/>
      <protection/>
    </xf>
    <xf numFmtId="0" fontId="5" fillId="0" borderId="25" xfId="316" applyFont="1" applyBorder="1" applyAlignment="1">
      <alignment horizontal="center" vertical="top" wrapText="1"/>
      <protection/>
    </xf>
    <xf numFmtId="0" fontId="5" fillId="64" borderId="0" xfId="18" applyNumberFormat="1" applyFont="1" applyFill="1" applyAlignment="1">
      <alignment horizontal="center"/>
    </xf>
    <xf numFmtId="0" fontId="31" fillId="0" borderId="0" xfId="0" applyFont="1"/>
    <xf numFmtId="0" fontId="0" fillId="0" borderId="0" xfId="0" applyAlignment="1">
      <alignment horizontal="center"/>
    </xf>
    <xf numFmtId="0" fontId="4" fillId="0" borderId="0" xfId="0" applyFont="1" applyFill="1" applyBorder="1" applyAlignment="1">
      <alignment wrapText="1"/>
    </xf>
    <xf numFmtId="0" fontId="4" fillId="0" borderId="0" xfId="316" applyFont="1" applyAlignment="1">
      <alignment horizontal="center"/>
      <protection/>
    </xf>
    <xf numFmtId="0" fontId="0" fillId="0" borderId="0" xfId="0"/>
    <xf numFmtId="3" fontId="5" fillId="0" borderId="0" xfId="35" applyNumberFormat="1" applyFont="1" applyFill="1" applyBorder="1" applyAlignment="1" applyProtection="1">
      <alignment/>
      <protection/>
    </xf>
    <xf numFmtId="0" fontId="5" fillId="0" borderId="0" xfId="0" applyFont="1" applyAlignment="1">
      <alignment horizontal="center"/>
    </xf>
    <xf numFmtId="0" fontId="5" fillId="0" borderId="0" xfId="316" applyFont="1" applyAlignment="1">
      <alignment horizontal="left" wrapText="1"/>
      <protection/>
    </xf>
    <xf numFmtId="0" fontId="5" fillId="0" borderId="0" xfId="0" applyFont="1" applyBorder="1" applyAlignment="1">
      <alignment horizontal="center"/>
    </xf>
    <xf numFmtId="1" fontId="4" fillId="0" borderId="0" xfId="35" applyNumberFormat="1" applyFont="1" applyFill="1" applyBorder="1">
      <alignment/>
      <protection/>
    </xf>
    <xf numFmtId="37" fontId="4" fillId="0" borderId="0" xfId="35" applyNumberFormat="1" applyFont="1" applyFill="1" applyBorder="1">
      <alignment/>
      <protection/>
    </xf>
    <xf numFmtId="0" fontId="9" fillId="0" borderId="0" xfId="0" applyFont="1" applyAlignment="1">
      <alignment horizontal="center"/>
    </xf>
    <xf numFmtId="164" fontId="5" fillId="0" borderId="48" xfId="18" applyNumberFormat="1" applyFont="1" applyFill="1" applyBorder="1" applyAlignment="1">
      <alignment wrapText="1"/>
    </xf>
    <xf numFmtId="164" fontId="5" fillId="0" borderId="48" xfId="19" applyNumberFormat="1" applyFont="1" applyFill="1" applyBorder="1" applyAlignment="1">
      <alignment wrapText="1"/>
    </xf>
    <xf numFmtId="0" fontId="5" fillId="0" borderId="50" xfId="35" applyFont="1" applyFill="1" applyBorder="1" applyAlignment="1">
      <alignment wrapText="1"/>
      <protection/>
    </xf>
    <xf numFmtId="164" fontId="5" fillId="64" borderId="48" xfId="19" applyNumberFormat="1" applyFont="1" applyFill="1" applyBorder="1" applyAlignment="1">
      <alignment wrapText="1"/>
    </xf>
    <xf numFmtId="164" fontId="5" fillId="64" borderId="48" xfId="18" applyNumberFormat="1" applyFont="1" applyFill="1" applyBorder="1" applyAlignment="1">
      <alignment wrapText="1"/>
    </xf>
    <xf numFmtId="164" fontId="89" fillId="0" borderId="0" xfId="49" applyNumberFormat="1" applyFont="1" applyAlignment="1">
      <alignment vertical="center" wrapText="1"/>
    </xf>
    <xf numFmtId="164" fontId="89" fillId="0" borderId="0" xfId="49" applyNumberFormat="1" applyFont="1" applyAlignment="1">
      <alignment horizontal="right" vertical="center" wrapText="1"/>
    </xf>
    <xf numFmtId="164" fontId="89" fillId="64" borderId="0" xfId="49" applyNumberFormat="1" applyFont="1" applyFill="1" applyAlignment="1">
      <alignment vertical="center" wrapText="1"/>
    </xf>
    <xf numFmtId="0" fontId="89" fillId="0" borderId="0" xfId="361" applyFont="1">
      <alignment/>
      <protection/>
    </xf>
    <xf numFmtId="0" fontId="90" fillId="0" borderId="0" xfId="361" applyFont="1">
      <alignment/>
      <protection/>
    </xf>
    <xf numFmtId="0" fontId="90" fillId="0" borderId="0" xfId="361" applyFont="1" applyAlignment="1">
      <alignment horizontal="center" vertical="center" wrapText="1"/>
      <protection/>
    </xf>
    <xf numFmtId="0" fontId="90" fillId="0" borderId="0" xfId="361" applyFont="1" applyAlignment="1">
      <alignment vertical="center"/>
      <protection/>
    </xf>
    <xf numFmtId="0" fontId="90" fillId="0" borderId="63" xfId="361" applyFont="1" applyBorder="1" applyAlignment="1">
      <alignment horizontal="center" vertical="center"/>
      <protection/>
    </xf>
    <xf numFmtId="0" fontId="90" fillId="0" borderId="0" xfId="361" applyFont="1" applyAlignment="1">
      <alignment horizontal="center" vertical="center"/>
      <protection/>
    </xf>
    <xf numFmtId="0" fontId="91" fillId="0" borderId="63" xfId="361" applyFont="1" applyBorder="1" applyAlignment="1">
      <alignment horizontal="center" vertical="center"/>
      <protection/>
    </xf>
    <xf numFmtId="0" fontId="89" fillId="0" borderId="64" xfId="361" applyFont="1" applyBorder="1" applyAlignment="1">
      <alignment horizontal="center" vertical="center" wrapText="1"/>
      <protection/>
    </xf>
    <xf numFmtId="0" fontId="89" fillId="0" borderId="0" xfId="361" applyFont="1" applyAlignment="1">
      <alignment horizontal="center" vertical="center" wrapText="1"/>
      <protection/>
    </xf>
    <xf numFmtId="0" fontId="92" fillId="0" borderId="64" xfId="361" applyFont="1" applyBorder="1" applyAlignment="1">
      <alignment horizontal="center" vertical="center" wrapText="1"/>
      <protection/>
    </xf>
    <xf numFmtId="0" fontId="92" fillId="0" borderId="0" xfId="361" applyFont="1">
      <alignment/>
      <protection/>
    </xf>
    <xf numFmtId="0" fontId="89" fillId="0" borderId="0" xfId="361" applyFont="1" applyAlignment="1">
      <alignment horizontal="left" vertical="center"/>
      <protection/>
    </xf>
    <xf numFmtId="15" fontId="89" fillId="0" borderId="0" xfId="361" applyNumberFormat="1" applyFont="1" applyAlignment="1">
      <alignment vertical="center" wrapText="1"/>
      <protection/>
    </xf>
    <xf numFmtId="0" fontId="89" fillId="0" borderId="27" xfId="361" applyFont="1" applyBorder="1" applyAlignment="1">
      <alignment vertical="center" wrapText="1"/>
      <protection/>
    </xf>
    <xf numFmtId="164" fontId="89" fillId="0" borderId="27" xfId="361" applyNumberFormat="1" applyFont="1" applyBorder="1" applyAlignment="1">
      <alignment vertical="center" wrapText="1"/>
      <protection/>
    </xf>
    <xf numFmtId="0" fontId="89" fillId="0" borderId="27" xfId="361" applyFont="1" applyBorder="1" applyAlignment="1">
      <alignment horizontal="right" vertical="center" wrapText="1"/>
      <protection/>
    </xf>
    <xf numFmtId="0" fontId="89" fillId="0" borderId="0" xfId="361" applyFont="1" applyAlignment="1">
      <alignment vertical="center" wrapText="1"/>
      <protection/>
    </xf>
    <xf numFmtId="0" fontId="89" fillId="0" borderId="0" xfId="361" applyFont="1" applyAlignment="1">
      <alignment horizontal="right" vertical="center" wrapText="1"/>
      <protection/>
    </xf>
    <xf numFmtId="0" fontId="89" fillId="0" borderId="0" xfId="361" applyFont="1" applyAlignment="1">
      <alignment horizontal="justify" vertical="center" wrapText="1"/>
      <protection/>
    </xf>
    <xf numFmtId="0" fontId="31" fillId="0" borderId="0" xfId="0" applyFont="1" applyAlignment="1">
      <alignment horizontal="center"/>
    </xf>
    <xf numFmtId="0" fontId="5" fillId="0" borderId="0" xfId="0" applyNumberFormat="1" applyFont="1"/>
    <xf numFmtId="0" fontId="9" fillId="0" borderId="0" xfId="316" applyFont="1" applyAlignment="1">
      <alignment horizontal="center"/>
      <protection/>
    </xf>
    <xf numFmtId="0" fontId="5" fillId="0" borderId="0" xfId="20" applyFont="1" applyFill="1" applyAlignment="1">
      <alignment horizontal="center" vertical="top"/>
      <protection/>
    </xf>
    <xf numFmtId="0" fontId="4" fillId="0" borderId="0" xfId="20" applyFont="1">
      <alignment/>
      <protection/>
    </xf>
    <xf numFmtId="3" fontId="5" fillId="0" borderId="0" xfId="20" applyNumberFormat="1" applyFont="1" applyFill="1" applyBorder="1" applyProtection="1">
      <alignment/>
      <protection locked="0"/>
    </xf>
    <xf numFmtId="0" fontId="4" fillId="0" borderId="0" xfId="20" applyFont="1" applyAlignment="1">
      <alignment horizontal="left"/>
      <protection/>
    </xf>
    <xf numFmtId="3" fontId="5" fillId="0" borderId="0" xfId="20" applyNumberFormat="1" applyFont="1" applyFill="1" applyBorder="1">
      <alignment/>
      <protection/>
    </xf>
    <xf numFmtId="0" fontId="4" fillId="0" borderId="0" xfId="20" applyFont="1" applyFill="1" applyAlignment="1">
      <alignment/>
      <protection/>
    </xf>
    <xf numFmtId="0" fontId="5" fillId="0" borderId="0" xfId="35" applyFont="1" applyFill="1" applyAlignment="1" applyProtection="1">
      <alignment horizontal="center" wrapText="1"/>
      <protection/>
    </xf>
    <xf numFmtId="0" fontId="15" fillId="0" borderId="0" xfId="0" applyFont="1" applyAlignment="1">
      <alignment horizontal="center"/>
    </xf>
    <xf numFmtId="0" fontId="15" fillId="0" borderId="0" xfId="0" applyFont="1"/>
    <xf numFmtId="0" fontId="5" fillId="0" borderId="0" xfId="35" applyFont="1" applyAlignment="1">
      <alignment/>
      <protection/>
    </xf>
    <xf numFmtId="0" fontId="31" fillId="0" borderId="0" xfId="35" applyFont="1" applyFill="1" applyAlignment="1">
      <alignment horizontal="center"/>
      <protection/>
    </xf>
    <xf numFmtId="3" fontId="5" fillId="0" borderId="0" xfId="18" applyNumberFormat="1" applyFont="1" applyFill="1" applyProtection="1">
      <protection locked="0"/>
    </xf>
    <xf numFmtId="0" fontId="31" fillId="0" borderId="0" xfId="35" applyFont="1" applyFill="1">
      <alignment/>
      <protection/>
    </xf>
    <xf numFmtId="0" fontId="5" fillId="0" borderId="25" xfId="0" applyFont="1" applyBorder="1" applyAlignment="1">
      <alignment horizontal="center" wrapText="1"/>
    </xf>
    <xf numFmtId="0" fontId="92" fillId="0" borderId="0" xfId="0" applyFont="1" applyAlignment="1">
      <alignment wrapText="1"/>
    </xf>
    <xf numFmtId="41" fontId="5" fillId="0" borderId="0" xfId="19" applyFont="1"/>
    <xf numFmtId="0" fontId="91" fillId="0" borderId="0" xfId="0" applyFont="1" applyAlignment="1">
      <alignment wrapText="1"/>
    </xf>
    <xf numFmtId="0" fontId="5" fillId="0" borderId="0" xfId="0" applyFont="1" applyAlignment="1">
      <alignment wrapText="1"/>
    </xf>
    <xf numFmtId="0" fontId="4" fillId="0" borderId="0" xfId="0" applyFont="1"/>
    <xf numFmtId="0" fontId="11" fillId="0" borderId="2" xfId="0" applyFont="1" applyFill="1" applyBorder="1" applyAlignment="1">
      <alignment horizontal="center"/>
    </xf>
    <xf numFmtId="0" fontId="11" fillId="0" borderId="0" xfId="0" applyFont="1" applyAlignment="1">
      <alignment horizontal="center"/>
    </xf>
    <xf numFmtId="0" fontId="4" fillId="0" borderId="0" xfId="35" applyFont="1" applyBorder="1" applyAlignment="1">
      <alignment horizontal="left" indent="1"/>
      <protection/>
    </xf>
    <xf numFmtId="0" fontId="4" fillId="0" borderId="0" xfId="35" applyNumberFormat="1" applyFont="1" applyFill="1" applyBorder="1" applyAlignment="1">
      <alignment horizontal="center"/>
      <protection/>
    </xf>
    <xf numFmtId="0" fontId="4" fillId="66" borderId="29" xfId="35" applyFont="1" applyFill="1" applyBorder="1" applyAlignment="1">
      <alignment horizontal="center"/>
      <protection/>
    </xf>
    <xf numFmtId="3" fontId="5" fillId="0" borderId="0" xfId="35" applyNumberFormat="1" applyFont="1" applyFill="1" applyBorder="1" applyAlignment="1">
      <alignment horizontal="left" wrapText="1"/>
      <protection/>
    </xf>
    <xf numFmtId="0" fontId="5" fillId="0" borderId="0" xfId="20" applyFont="1" applyBorder="1" applyAlignment="1">
      <alignment horizontal="left"/>
      <protection/>
    </xf>
    <xf numFmtId="0" fontId="5" fillId="0" borderId="0" xfId="20" applyFont="1" applyBorder="1" applyAlignment="1">
      <alignment horizontal="center"/>
      <protection/>
    </xf>
    <xf numFmtId="0" fontId="5" fillId="0" borderId="45" xfId="35" applyFont="1" applyBorder="1" applyAlignment="1">
      <alignment horizontal="center"/>
      <protection/>
    </xf>
    <xf numFmtId="168" fontId="18" fillId="0" borderId="25" xfId="35" applyNumberFormat="1" applyFont="1" applyFill="1" applyBorder="1" applyAlignment="1" applyProtection="1">
      <alignment horizontal="center"/>
      <protection/>
    </xf>
    <xf numFmtId="10" fontId="18" fillId="0" borderId="25" xfId="35" applyNumberFormat="1" applyFont="1" applyFill="1" applyBorder="1" applyProtection="1">
      <alignment/>
      <protection/>
    </xf>
    <xf numFmtId="0" fontId="0" fillId="0" borderId="0" xfId="0"/>
    <xf numFmtId="0" fontId="4" fillId="0" borderId="0" xfId="20" applyFont="1" applyFill="1">
      <alignment/>
      <protection/>
    </xf>
    <xf numFmtId="0" fontId="4" fillId="0" borderId="0" xfId="0" applyFont="1" applyBorder="1" applyAlignment="1">
      <alignment wrapText="1"/>
    </xf>
    <xf numFmtId="0" fontId="4" fillId="0" borderId="0" xfId="0" applyFont="1" applyBorder="1" applyAlignment="1">
      <alignment horizontal="center"/>
    </xf>
    <xf numFmtId="0" fontId="0" fillId="0" borderId="0" xfId="0"/>
    <xf numFmtId="0" fontId="4" fillId="0" borderId="2" xfId="0" applyFont="1" applyFill="1" applyBorder="1" applyAlignment="1">
      <alignment horizontal="center"/>
    </xf>
    <xf numFmtId="37" fontId="5" fillId="0" borderId="25" xfId="0" applyNumberFormat="1" applyFont="1" applyFill="1" applyBorder="1"/>
    <xf numFmtId="0" fontId="5" fillId="0" borderId="0" xfId="18" applyNumberFormat="1" applyFont="1" applyFill="1" applyAlignment="1">
      <alignment horizontal="center"/>
    </xf>
    <xf numFmtId="0" fontId="89" fillId="0" borderId="0" xfId="574" applyFont="1" applyFill="1" applyBorder="1" applyAlignment="1">
      <alignment horizontal="left" vertical="center" wrapText="1"/>
      <protection/>
    </xf>
    <xf numFmtId="0" fontId="0" fillId="0" borderId="0" xfId="0"/>
    <xf numFmtId="0" fontId="0" fillId="0" borderId="0" xfId="0"/>
    <xf numFmtId="0" fontId="93" fillId="0" borderId="0" xfId="0" applyFont="1"/>
    <xf numFmtId="0" fontId="0" fillId="0" borderId="25" xfId="0" applyFont="1" applyBorder="1"/>
    <xf numFmtId="1" fontId="0" fillId="0" borderId="0" xfId="0" applyNumberFormat="1" applyFont="1"/>
    <xf numFmtId="170" fontId="18" fillId="0" borderId="25" xfId="15" applyNumberFormat="1" applyFont="1" applyFill="1" applyBorder="1" applyAlignment="1" applyProtection="1">
      <alignment horizontal="right"/>
      <protection/>
    </xf>
    <xf numFmtId="170" fontId="18" fillId="0" borderId="0" xfId="15" applyNumberFormat="1" applyFont="1" applyFill="1" applyAlignment="1" applyProtection="1">
      <alignment horizontal="right"/>
      <protection/>
    </xf>
    <xf numFmtId="0" fontId="26" fillId="0" borderId="25" xfId="35" applyFont="1" applyFill="1" applyBorder="1" applyProtection="1">
      <alignment/>
      <protection/>
    </xf>
    <xf numFmtId="170" fontId="5" fillId="0" borderId="0" xfId="15" applyNumberFormat="1" applyFont="1" applyFill="1"/>
    <xf numFmtId="170" fontId="5" fillId="0" borderId="0" xfId="15" applyNumberFormat="1" applyFont="1"/>
    <xf numFmtId="164" fontId="89" fillId="0" borderId="0" xfId="49" applyNumberFormat="1" applyFont="1" applyFill="1" applyAlignment="1">
      <alignment vertical="center" wrapText="1"/>
    </xf>
    <xf numFmtId="0" fontId="11" fillId="0" borderId="25" xfId="0" applyFont="1" applyFill="1" applyBorder="1"/>
    <xf numFmtId="0" fontId="4" fillId="0" borderId="57" xfId="35" applyFont="1" applyFill="1" applyBorder="1" applyAlignment="1">
      <alignment wrapText="1"/>
      <protection/>
    </xf>
    <xf numFmtId="0" fontId="4" fillId="0" borderId="47" xfId="0" applyFont="1" applyFill="1" applyBorder="1" applyAlignment="1">
      <alignment wrapText="1"/>
    </xf>
    <xf numFmtId="0" fontId="4" fillId="0" borderId="61" xfId="0" applyFont="1" applyFill="1" applyBorder="1" applyAlignment="1">
      <alignment wrapText="1"/>
    </xf>
    <xf numFmtId="37" fontId="5" fillId="0" borderId="0" xfId="0" applyNumberFormat="1" applyFont="1" applyFill="1" applyBorder="1" applyAlignment="1">
      <alignment horizontal="center"/>
    </xf>
    <xf numFmtId="37" fontId="5" fillId="0" borderId="0" xfId="0" applyNumberFormat="1" applyFont="1" applyFill="1" applyBorder="1" applyAlignment="1">
      <alignment wrapText="1"/>
    </xf>
    <xf numFmtId="41" fontId="5" fillId="0" borderId="0" xfId="0" applyNumberFormat="1" applyFont="1" applyBorder="1" applyAlignment="1">
      <alignment horizontal="center"/>
    </xf>
    <xf numFmtId="3" fontId="5" fillId="0" borderId="0" xfId="35" applyNumberFormat="1" applyFont="1" applyBorder="1">
      <alignment/>
      <protection/>
    </xf>
    <xf numFmtId="10" fontId="5" fillId="0" borderId="0" xfId="15" applyNumberFormat="1" applyFont="1" applyAlignment="1">
      <alignment horizontal="center"/>
    </xf>
    <xf numFmtId="0" fontId="15" fillId="0" borderId="0" xfId="35" applyFont="1" applyAlignment="1">
      <alignment horizontal="center"/>
      <protection/>
    </xf>
    <xf numFmtId="170" fontId="93" fillId="0" borderId="0" xfId="15" applyNumberFormat="1" applyFont="1"/>
    <xf numFmtId="0" fontId="25" fillId="0" borderId="25" xfId="35" applyFont="1" applyFill="1" applyBorder="1" applyAlignment="1" applyProtection="1">
      <alignment/>
      <protection/>
    </xf>
    <xf numFmtId="170" fontId="18" fillId="0" borderId="54" xfId="15" applyNumberFormat="1" applyFont="1" applyBorder="1" applyAlignment="1" applyProtection="1">
      <alignment horizontal="right"/>
      <protection/>
    </xf>
    <xf numFmtId="3" fontId="18" fillId="0" borderId="0" xfId="35" applyNumberFormat="1" applyFont="1" applyAlignment="1" applyProtection="1">
      <alignment horizontal="right"/>
      <protection/>
    </xf>
    <xf numFmtId="3" fontId="18" fillId="0" borderId="27" xfId="35" applyNumberFormat="1" applyFont="1" applyFill="1" applyBorder="1" applyAlignment="1" applyProtection="1">
      <alignment horizontal="right"/>
      <protection/>
    </xf>
    <xf numFmtId="3" fontId="15" fillId="0" borderId="54" xfId="35" applyNumberFormat="1" applyFont="1" applyBorder="1" applyAlignment="1" applyProtection="1">
      <alignment horizontal="right"/>
      <protection/>
    </xf>
    <xf numFmtId="170" fontId="18" fillId="0" borderId="0" xfId="15" applyNumberFormat="1" applyFont="1" applyFill="1" applyBorder="1" applyAlignment="1" applyProtection="1">
      <alignment horizontal="right"/>
      <protection/>
    </xf>
    <xf numFmtId="3" fontId="15" fillId="0" borderId="53" xfId="35" applyNumberFormat="1" applyFont="1" applyBorder="1" applyAlignment="1" applyProtection="1">
      <alignment horizontal="right"/>
      <protection/>
    </xf>
    <xf numFmtId="3" fontId="15" fillId="0" borderId="53" xfId="35" applyNumberFormat="1" applyFont="1" applyFill="1" applyBorder="1" applyAlignment="1" applyProtection="1">
      <alignment horizontal="right"/>
      <protection/>
    </xf>
    <xf numFmtId="0" fontId="18" fillId="65" borderId="0" xfId="35" applyFont="1" applyFill="1" applyBorder="1" applyAlignment="1" applyProtection="1">
      <alignment horizontal="right" wrapText="1"/>
      <protection/>
    </xf>
    <xf numFmtId="171" fontId="15" fillId="0" borderId="0" xfId="15" applyNumberFormat="1" applyFont="1" applyAlignment="1" applyProtection="1">
      <alignment horizontal="right"/>
      <protection/>
    </xf>
    <xf numFmtId="10" fontId="18" fillId="0" borderId="0" xfId="15" applyNumberFormat="1" applyFont="1" applyFill="1" applyAlignment="1" applyProtection="1">
      <alignment horizontal="right"/>
      <protection/>
    </xf>
    <xf numFmtId="10" fontId="18" fillId="0" borderId="0" xfId="15" applyNumberFormat="1" applyFont="1" applyAlignment="1" applyProtection="1">
      <alignment horizontal="right"/>
      <protection/>
    </xf>
    <xf numFmtId="10" fontId="18" fillId="0" borderId="25" xfId="15" applyNumberFormat="1" applyFont="1" applyBorder="1" applyAlignment="1" applyProtection="1">
      <alignment horizontal="right"/>
      <protection/>
    </xf>
    <xf numFmtId="10" fontId="15" fillId="0" borderId="0" xfId="15" applyNumberFormat="1" applyFont="1" applyAlignment="1" applyProtection="1">
      <alignment horizontal="right"/>
      <protection/>
    </xf>
    <xf numFmtId="165" fontId="15" fillId="0" borderId="0" xfId="35" applyNumberFormat="1" applyFont="1" applyAlignment="1" applyProtection="1">
      <alignment horizontal="right"/>
      <protection/>
    </xf>
    <xf numFmtId="3" fontId="15" fillId="0" borderId="30" xfId="35" applyNumberFormat="1" applyFont="1" applyBorder="1" applyAlignment="1" applyProtection="1">
      <alignment horizontal="right"/>
      <protection/>
    </xf>
    <xf numFmtId="3" fontId="15" fillId="0" borderId="29" xfId="35" applyNumberFormat="1" applyFont="1" applyFill="1" applyBorder="1" applyAlignment="1" applyProtection="1">
      <alignment horizontal="right"/>
      <protection/>
    </xf>
    <xf numFmtId="170" fontId="15" fillId="0" borderId="0" xfId="15" applyNumberFormat="1" applyFont="1" applyAlignment="1" applyProtection="1">
      <alignment horizontal="right"/>
      <protection/>
    </xf>
    <xf numFmtId="3" fontId="15" fillId="0" borderId="25" xfId="35" applyNumberFormat="1" applyFont="1" applyFill="1" applyBorder="1" applyAlignment="1" applyProtection="1">
      <alignment horizontal="right"/>
      <protection/>
    </xf>
    <xf numFmtId="164" fontId="15" fillId="0" borderId="0" xfId="18" applyNumberFormat="1" applyFont="1" applyFill="1" applyAlignment="1" applyProtection="1">
      <alignment horizontal="right"/>
      <protection/>
    </xf>
    <xf numFmtId="0" fontId="18" fillId="0" borderId="0" xfId="35" applyFont="1" applyFill="1" applyBorder="1" applyAlignment="1" applyProtection="1">
      <alignment wrapText="1"/>
      <protection/>
    </xf>
    <xf numFmtId="3" fontId="18" fillId="0" borderId="0" xfId="35" applyNumberFormat="1" applyFont="1" applyFill="1" applyBorder="1" applyAlignment="1" applyProtection="1">
      <alignment wrapText="1"/>
      <protection/>
    </xf>
    <xf numFmtId="0" fontId="18" fillId="0" borderId="0" xfId="35" applyFont="1" applyFill="1" applyAlignment="1" applyProtection="1">
      <alignment wrapText="1"/>
      <protection/>
    </xf>
    <xf numFmtId="3" fontId="5" fillId="0" borderId="0" xfId="35" applyNumberFormat="1" applyFont="1" applyFill="1" applyBorder="1" applyAlignment="1">
      <alignment horizontal="right"/>
      <protection/>
    </xf>
    <xf numFmtId="0" fontId="5" fillId="5" borderId="0" xfId="35" applyNumberFormat="1" applyFont="1" applyFill="1" applyBorder="1" applyAlignment="1">
      <alignment horizontal="right"/>
      <protection/>
    </xf>
    <xf numFmtId="0" fontId="5" fillId="0" borderId="2" xfId="35" applyFont="1" applyBorder="1" applyAlignment="1">
      <alignment horizontal="right"/>
      <protection/>
    </xf>
    <xf numFmtId="0" fontId="5" fillId="0" borderId="0" xfId="35" applyFont="1" applyFill="1" applyBorder="1" applyAlignment="1">
      <alignment horizontal="right"/>
      <protection/>
    </xf>
    <xf numFmtId="3" fontId="5" fillId="0" borderId="0" xfId="35" applyNumberFormat="1" applyFont="1" applyBorder="1" applyAlignment="1">
      <alignment horizontal="right"/>
      <protection/>
    </xf>
    <xf numFmtId="0" fontId="5" fillId="0" borderId="0" xfId="35" applyFont="1" applyBorder="1" applyAlignment="1">
      <alignment horizontal="right"/>
      <protection/>
    </xf>
    <xf numFmtId="3" fontId="5" fillId="0" borderId="0" xfId="35" applyNumberFormat="1" applyFont="1" applyFill="1" applyAlignment="1" applyProtection="1">
      <alignment horizontal="right"/>
      <protection/>
    </xf>
    <xf numFmtId="3" fontId="5" fillId="0" borderId="2" xfId="35" applyNumberFormat="1" applyFont="1" applyFill="1" applyBorder="1" applyAlignment="1">
      <alignment horizontal="right"/>
      <protection/>
    </xf>
    <xf numFmtId="0" fontId="0" fillId="0" borderId="0" xfId="0"/>
    <xf numFmtId="0" fontId="93" fillId="0" borderId="0" xfId="0" applyFont="1" applyAlignment="1">
      <alignment horizontal="center"/>
    </xf>
    <xf numFmtId="0" fontId="93" fillId="64" borderId="0" xfId="0" applyFont="1" applyFill="1" applyAlignment="1">
      <alignment horizontal="center"/>
    </xf>
    <xf numFmtId="0" fontId="0" fillId="0" borderId="0" xfId="0" applyFont="1" applyAlignment="1">
      <alignment wrapText="1"/>
    </xf>
    <xf numFmtId="0" fontId="5" fillId="0" borderId="25" xfId="0" applyFont="1" applyBorder="1" applyAlignment="1">
      <alignment horizontal="center"/>
    </xf>
    <xf numFmtId="1" fontId="0" fillId="0" borderId="25" xfId="0" applyNumberFormat="1" applyFont="1" applyBorder="1"/>
    <xf numFmtId="0" fontId="4" fillId="61" borderId="1" xfId="35" applyFont="1" applyFill="1" applyBorder="1" applyAlignment="1">
      <alignment horizontal="center"/>
      <protection/>
    </xf>
    <xf numFmtId="10" fontId="0" fillId="64" borderId="0" xfId="15" applyNumberFormat="1" applyFont="1" applyFill="1"/>
    <xf numFmtId="164" fontId="0" fillId="0" borderId="0" xfId="18" applyNumberFormat="1" applyFont="1" applyFill="1" applyBorder="1"/>
    <xf numFmtId="0" fontId="0" fillId="0" borderId="0" xfId="0" applyFont="1" applyFill="1" applyBorder="1" applyAlignment="1">
      <alignment/>
    </xf>
    <xf numFmtId="0" fontId="0" fillId="0" borderId="0" xfId="35" applyFont="1" applyFill="1" applyBorder="1" applyAlignment="1">
      <alignment horizontal="center"/>
      <protection/>
    </xf>
    <xf numFmtId="0" fontId="96" fillId="0" borderId="0" xfId="35" applyFont="1" applyFill="1" applyBorder="1">
      <alignment/>
      <protection/>
    </xf>
    <xf numFmtId="3" fontId="15" fillId="0" borderId="0" xfId="35" applyNumberFormat="1" applyFont="1" applyFill="1" applyBorder="1" applyProtection="1">
      <alignment/>
      <protection/>
    </xf>
    <xf numFmtId="4" fontId="15" fillId="0" borderId="0" xfId="16" applyNumberFormat="1" applyFont="1" applyBorder="1" applyAlignment="1" applyProtection="1">
      <alignment horizontal="right"/>
      <protection/>
    </xf>
    <xf numFmtId="0" fontId="5" fillId="0" borderId="57" xfId="35" applyFont="1" applyFill="1" applyBorder="1" applyAlignment="1">
      <alignment wrapText="1"/>
      <protection/>
    </xf>
    <xf numFmtId="0" fontId="5" fillId="0" borderId="58" xfId="35" applyFont="1" applyFill="1" applyBorder="1">
      <alignment/>
      <protection/>
    </xf>
    <xf numFmtId="0" fontId="5" fillId="0" borderId="48" xfId="19" applyNumberFormat="1" applyFont="1" applyFill="1" applyBorder="1" applyAlignment="1">
      <alignment wrapText="1"/>
    </xf>
    <xf numFmtId="0" fontId="0" fillId="64" borderId="25" xfId="0" applyFont="1" applyFill="1" applyBorder="1" applyAlignment="1">
      <alignment horizontal="center" wrapText="1"/>
    </xf>
    <xf numFmtId="0" fontId="0" fillId="0" borderId="25" xfId="0" applyFont="1" applyBorder="1" applyAlignment="1">
      <alignment wrapText="1"/>
    </xf>
    <xf numFmtId="0" fontId="0" fillId="0" borderId="25" xfId="0" applyBorder="1"/>
    <xf numFmtId="10" fontId="0" fillId="0" borderId="25" xfId="15" applyNumberFormat="1" applyFont="1" applyBorder="1"/>
    <xf numFmtId="10" fontId="0" fillId="0" borderId="0" xfId="15" applyNumberFormat="1" applyFont="1" applyFill="1"/>
    <xf numFmtId="0" fontId="0" fillId="0" borderId="0" xfId="0" applyFont="1" applyFill="1"/>
    <xf numFmtId="10" fontId="0" fillId="0" borderId="25" xfId="15" applyNumberFormat="1" applyFont="1" applyFill="1" applyBorder="1"/>
    <xf numFmtId="0" fontId="5" fillId="0" borderId="0" xfId="0" applyFont="1" applyAlignment="1">
      <alignment horizontal="center" vertical="top"/>
    </xf>
    <xf numFmtId="10" fontId="5" fillId="64" borderId="0" xfId="0" applyNumberFormat="1" applyFont="1" applyFill="1"/>
    <xf numFmtId="164" fontId="167" fillId="64" borderId="0" xfId="18" applyNumberFormat="1" applyFont="1" applyFill="1"/>
    <xf numFmtId="0" fontId="5" fillId="0" borderId="0" xfId="0" applyFont="1" quotePrefix="1"/>
    <xf numFmtId="0" fontId="113" fillId="0" borderId="0" xfId="0" applyFont="1" applyAlignment="1">
      <alignment horizontal="centerContinuous"/>
    </xf>
    <xf numFmtId="0" fontId="113" fillId="0" borderId="0" xfId="0" applyFont="1"/>
    <xf numFmtId="37" fontId="5" fillId="0" borderId="0" xfId="0" applyNumberFormat="1" applyFont="1" applyAlignment="1">
      <alignment horizontal="center" vertical="top"/>
    </xf>
    <xf numFmtId="0" fontId="5" fillId="64" borderId="0" xfId="0" applyFont="1" applyFill="1" applyAlignment="1" quotePrefix="1">
      <alignment horizontal="center"/>
    </xf>
    <xf numFmtId="0" fontId="4" fillId="0" borderId="0" xfId="1080" applyFont="1" applyAlignment="1">
      <alignment horizontal="center"/>
      <protection/>
    </xf>
    <xf numFmtId="0" fontId="5" fillId="0" borderId="0" xfId="0" applyFont="1" applyAlignment="1">
      <alignment horizontal="centerContinuous"/>
    </xf>
    <xf numFmtId="0" fontId="4" fillId="0" borderId="0" xfId="1080" applyFont="1" applyAlignment="1">
      <alignment horizontal="centerContinuous"/>
      <protection/>
    </xf>
    <xf numFmtId="0" fontId="12" fillId="0" borderId="0" xfId="1079" applyFont="1" applyAlignment="1">
      <alignment horizontal="right"/>
      <protection/>
    </xf>
    <xf numFmtId="0" fontId="113" fillId="0" borderId="0" xfId="0" applyFont="1" applyAlignment="1">
      <alignment vertical="top" wrapText="1"/>
    </xf>
    <xf numFmtId="0" fontId="161" fillId="0" borderId="0" xfId="1080" applyFont="1" applyAlignment="1">
      <alignment horizontal="centerContinuous"/>
      <protection/>
    </xf>
    <xf numFmtId="0" fontId="5" fillId="64" borderId="0" xfId="0" applyFont="1" applyFill="1" applyAlignment="1">
      <alignment vertical="center"/>
    </xf>
    <xf numFmtId="0" fontId="15" fillId="64" borderId="60" xfId="35" applyFont="1" applyFill="1" applyBorder="1" applyAlignment="1" applyProtection="1">
      <alignment horizontal="center" wrapText="1"/>
      <protection/>
    </xf>
    <xf numFmtId="0" fontId="15" fillId="64" borderId="51" xfId="35" applyFont="1" applyFill="1" applyBorder="1" applyAlignment="1" applyProtection="1">
      <alignment horizontal="center"/>
      <protection/>
    </xf>
    <xf numFmtId="3" fontId="0" fillId="0" borderId="0" xfId="35" applyNumberFormat="1" applyFont="1" applyFill="1" applyAlignment="1" applyProtection="1">
      <alignment/>
      <protection/>
    </xf>
    <xf numFmtId="3" fontId="0" fillId="0" borderId="25" xfId="35" applyNumberFormat="1" applyFont="1" applyFill="1" applyBorder="1" applyAlignment="1" applyProtection="1">
      <alignment/>
      <protection/>
    </xf>
    <xf numFmtId="0" fontId="0" fillId="0" borderId="0" xfId="0"/>
    <xf numFmtId="0" fontId="5" fillId="64" borderId="0" xfId="0" applyFont="1" applyFill="1"/>
    <xf numFmtId="0" fontId="0" fillId="64" borderId="0" xfId="0" applyFont="1" applyFill="1"/>
    <xf numFmtId="0" fontId="15" fillId="0" borderId="0" xfId="35" applyFont="1" applyFill="1" applyBorder="1" applyAlignment="1" applyProtection="1">
      <alignment horizontal="right" wrapText="1"/>
      <protection/>
    </xf>
    <xf numFmtId="0" fontId="4" fillId="0" borderId="0" xfId="35" applyFont="1" applyAlignment="1">
      <alignment horizontal="right"/>
      <protection/>
    </xf>
    <xf numFmtId="37" fontId="4" fillId="0" borderId="0" xfId="35" applyNumberFormat="1" applyFont="1" applyFill="1" applyBorder="1" applyAlignment="1">
      <alignment horizontal="center"/>
      <protection/>
    </xf>
    <xf numFmtId="3" fontId="5" fillId="0" borderId="37" xfId="18" applyNumberFormat="1" applyFont="1" applyFill="1" applyBorder="1"/>
    <xf numFmtId="0" fontId="5" fillId="0" borderId="65" xfId="35" applyFont="1" applyBorder="1">
      <alignment/>
      <protection/>
    </xf>
    <xf numFmtId="0" fontId="9" fillId="0" borderId="0" xfId="35" applyFont="1" applyAlignment="1">
      <alignment horizontal="left"/>
      <protection/>
    </xf>
    <xf numFmtId="0" fontId="4" fillId="0" borderId="0" xfId="35" applyFont="1" applyAlignment="1">
      <alignment horizontal="left"/>
      <protection/>
    </xf>
    <xf numFmtId="164" fontId="41" fillId="0" borderId="0" xfId="35" applyNumberFormat="1" applyFont="1" applyAlignment="1">
      <alignment horizontal="center"/>
      <protection/>
    </xf>
    <xf numFmtId="0" fontId="5" fillId="0" borderId="0" xfId="35" applyFont="1" applyFill="1" applyAlignment="1">
      <alignment horizontal="left"/>
      <protection/>
    </xf>
    <xf numFmtId="0" fontId="0" fillId="0" borderId="0" xfId="35" applyFont="1" applyAlignment="1">
      <alignment horizontal="left"/>
      <protection/>
    </xf>
    <xf numFmtId="0" fontId="93" fillId="0" borderId="0" xfId="35" applyFont="1">
      <alignment/>
      <protection/>
    </xf>
    <xf numFmtId="0" fontId="5" fillId="64" borderId="0" xfId="316" applyFont="1" applyFill="1" applyAlignment="1">
      <alignment horizontal="left"/>
      <protection/>
    </xf>
    <xf numFmtId="3" fontId="5" fillId="0" borderId="39" xfId="18" applyNumberFormat="1" applyFont="1" applyFill="1" applyBorder="1"/>
    <xf numFmtId="170" fontId="5" fillId="0" borderId="0" xfId="15" applyNumberFormat="1" applyFont="1" applyAlignment="1">
      <alignment horizontal="center"/>
    </xf>
    <xf numFmtId="37" fontId="4" fillId="0" borderId="0" xfId="0" applyNumberFormat="1" applyFont="1"/>
    <xf numFmtId="37" fontId="5" fillId="0" borderId="25" xfId="0" applyNumberFormat="1" applyFont="1" applyBorder="1"/>
    <xf numFmtId="0" fontId="11" fillId="0" borderId="0" xfId="0" applyFont="1"/>
    <xf numFmtId="167" fontId="0" fillId="0" borderId="25" xfId="0" applyNumberFormat="1" applyFont="1" applyBorder="1"/>
    <xf numFmtId="3" fontId="18" fillId="0" borderId="0" xfId="15" applyNumberFormat="1" applyFont="1" applyAlignment="1" applyProtection="1">
      <alignment horizontal="right"/>
      <protection/>
    </xf>
    <xf numFmtId="3" fontId="15" fillId="0" borderId="54" xfId="18" applyNumberFormat="1" applyFont="1" applyBorder="1" applyAlignment="1" applyProtection="1">
      <alignment horizontal="right"/>
      <protection/>
    </xf>
    <xf numFmtId="3" fontId="15" fillId="0" borderId="54" xfId="18" applyNumberFormat="1" applyFont="1" applyFill="1" applyBorder="1" applyAlignment="1" applyProtection="1">
      <alignment horizontal="right"/>
      <protection/>
    </xf>
    <xf numFmtId="3" fontId="5" fillId="24" borderId="66" xfId="35" applyNumberFormat="1" applyFont="1" applyFill="1" applyBorder="1">
      <alignment/>
      <protection/>
    </xf>
    <xf numFmtId="3" fontId="5" fillId="24" borderId="67" xfId="18" applyNumberFormat="1" applyFont="1" applyFill="1" applyBorder="1"/>
    <xf numFmtId="3" fontId="5" fillId="24" borderId="68" xfId="35" applyNumberFormat="1" applyFont="1" applyFill="1" applyBorder="1">
      <alignment/>
      <protection/>
    </xf>
    <xf numFmtId="3" fontId="5" fillId="24" borderId="7" xfId="18" applyNumberFormat="1" applyFont="1" applyFill="1" applyBorder="1"/>
    <xf numFmtId="3" fontId="5" fillId="64" borderId="68" xfId="35" applyNumberFormat="1" applyFont="1" applyFill="1" applyBorder="1">
      <alignment/>
      <protection/>
    </xf>
    <xf numFmtId="3" fontId="4" fillId="0" borderId="64" xfId="35" applyNumberFormat="1" applyFont="1" applyFill="1" applyBorder="1">
      <alignment/>
      <protection/>
    </xf>
    <xf numFmtId="3" fontId="5" fillId="0" borderId="7" xfId="35" applyNumberFormat="1" applyFont="1" applyFill="1" applyBorder="1">
      <alignment/>
      <protection/>
    </xf>
    <xf numFmtId="3" fontId="5" fillId="0" borderId="64" xfId="35" applyNumberFormat="1" applyFont="1" applyFill="1" applyBorder="1">
      <alignment/>
      <protection/>
    </xf>
    <xf numFmtId="3" fontId="5" fillId="0" borderId="7" xfId="35" applyNumberFormat="1" applyFont="1" applyFill="1" applyBorder="1" applyAlignment="1">
      <alignment horizontal="right"/>
      <protection/>
    </xf>
    <xf numFmtId="3" fontId="4" fillId="0" borderId="69" xfId="35" applyNumberFormat="1" applyFont="1" applyFill="1" applyBorder="1">
      <alignment/>
      <protection/>
    </xf>
    <xf numFmtId="3" fontId="5" fillId="24" borderId="67" xfId="19" applyNumberFormat="1" applyFont="1" applyFill="1" applyBorder="1"/>
    <xf numFmtId="3" fontId="5" fillId="64" borderId="67" xfId="19" applyNumberFormat="1" applyFont="1" applyFill="1" applyBorder="1"/>
    <xf numFmtId="3" fontId="5" fillId="64" borderId="67" xfId="18" applyNumberFormat="1" applyFont="1" applyFill="1" applyBorder="1"/>
    <xf numFmtId="3" fontId="5" fillId="64" borderId="7" xfId="18" applyNumberFormat="1" applyFont="1" applyFill="1" applyBorder="1"/>
    <xf numFmtId="3" fontId="4" fillId="0" borderId="67" xfId="35" applyNumberFormat="1" applyFont="1" applyBorder="1">
      <alignment/>
      <protection/>
    </xf>
    <xf numFmtId="3" fontId="5" fillId="0" borderId="63" xfId="35" applyNumberFormat="1" applyFont="1" applyFill="1" applyBorder="1">
      <alignment/>
      <protection/>
    </xf>
    <xf numFmtId="3" fontId="5" fillId="0" borderId="0" xfId="18" applyNumberFormat="1" applyFont="1"/>
    <xf numFmtId="3" fontId="5" fillId="64" borderId="0" xfId="18" applyNumberFormat="1" applyFont="1" applyFill="1"/>
    <xf numFmtId="3" fontId="5" fillId="0" borderId="0" xfId="316" applyNumberFormat="1" applyFont="1">
      <alignment/>
      <protection/>
    </xf>
    <xf numFmtId="3" fontId="5" fillId="0" borderId="70" xfId="35" applyNumberFormat="1" applyFont="1" applyFill="1" applyBorder="1">
      <alignment/>
      <protection/>
    </xf>
    <xf numFmtId="3" fontId="5" fillId="0" borderId="71" xfId="35" applyNumberFormat="1" applyFont="1" applyFill="1" applyBorder="1">
      <alignment/>
      <protection/>
    </xf>
    <xf numFmtId="3" fontId="5" fillId="0" borderId="0" xfId="0" applyNumberFormat="1" applyFont="1" applyFill="1"/>
    <xf numFmtId="3" fontId="4" fillId="0" borderId="0" xfId="0" applyNumberFormat="1" applyFont="1" applyFill="1"/>
    <xf numFmtId="3" fontId="89" fillId="0" borderId="0" xfId="49" applyNumberFormat="1" applyFont="1" applyAlignment="1">
      <alignment vertical="center" wrapText="1"/>
    </xf>
    <xf numFmtId="3" fontId="89" fillId="64" borderId="0" xfId="49" applyNumberFormat="1" applyFont="1" applyFill="1" applyAlignment="1">
      <alignment vertical="center" wrapText="1"/>
    </xf>
    <xf numFmtId="3" fontId="89" fillId="0" borderId="0" xfId="49" applyNumberFormat="1" applyFont="1" applyAlignment="1">
      <alignment horizontal="left" vertical="center" wrapText="1"/>
    </xf>
    <xf numFmtId="3" fontId="89" fillId="0" borderId="0" xfId="361" applyNumberFormat="1" applyFont="1" applyAlignment="1">
      <alignment horizontal="left" vertical="center"/>
      <protection/>
    </xf>
    <xf numFmtId="3" fontId="92" fillId="0" borderId="0" xfId="49" applyNumberFormat="1" applyFont="1" applyAlignment="1">
      <alignment vertical="center" wrapText="1"/>
    </xf>
    <xf numFmtId="3" fontId="92" fillId="0" borderId="0" xfId="49" applyNumberFormat="1" applyFont="1" applyFill="1" applyAlignment="1">
      <alignment vertical="center" wrapText="1"/>
    </xf>
    <xf numFmtId="3" fontId="92" fillId="0" borderId="0" xfId="215" applyNumberFormat="1" applyFont="1" applyFill="1" applyAlignment="1">
      <alignment vertical="center" wrapText="1"/>
    </xf>
    <xf numFmtId="3" fontId="89" fillId="0" borderId="27" xfId="49" applyNumberFormat="1" applyFont="1" applyBorder="1" applyAlignment="1">
      <alignment vertical="center" wrapText="1"/>
    </xf>
    <xf numFmtId="3" fontId="89" fillId="0" borderId="27" xfId="361" applyNumberFormat="1" applyFont="1" applyBorder="1" applyAlignment="1">
      <alignment horizontal="right" vertical="center" wrapText="1"/>
      <protection/>
    </xf>
    <xf numFmtId="3" fontId="89" fillId="0" borderId="27" xfId="49" applyNumberFormat="1" applyFont="1" applyFill="1" applyBorder="1" applyAlignment="1">
      <alignment vertical="center" wrapText="1"/>
    </xf>
    <xf numFmtId="3" fontId="92" fillId="0" borderId="27" xfId="361" applyNumberFormat="1" applyFont="1" applyFill="1" applyBorder="1">
      <alignment/>
      <protection/>
    </xf>
    <xf numFmtId="3" fontId="5" fillId="64" borderId="0" xfId="0" applyNumberFormat="1" applyFont="1" applyFill="1"/>
    <xf numFmtId="3" fontId="5" fillId="0" borderId="0" xfId="20" applyNumberFormat="1" applyFont="1" applyFill="1" applyBorder="1" applyAlignment="1">
      <alignment horizontal="right" wrapText="1"/>
      <protection/>
    </xf>
    <xf numFmtId="3" fontId="5" fillId="0" borderId="0" xfId="15" applyNumberFormat="1" applyFont="1" applyFill="1" applyBorder="1" applyAlignment="1">
      <alignment horizontal="center" wrapText="1"/>
    </xf>
    <xf numFmtId="3" fontId="5" fillId="24" borderId="0" xfId="20" applyNumberFormat="1" applyFont="1" applyFill="1" applyAlignment="1">
      <alignment horizontal="right"/>
      <protection/>
    </xf>
    <xf numFmtId="3" fontId="5" fillId="0" borderId="0" xfId="20" applyNumberFormat="1" applyFont="1" applyBorder="1" applyAlignment="1">
      <alignment horizontal="center"/>
      <protection/>
    </xf>
    <xf numFmtId="3" fontId="5" fillId="0" borderId="0" xfId="20" applyNumberFormat="1" applyFont="1" applyFill="1" applyBorder="1" applyAlignment="1">
      <alignment horizontal="right"/>
      <protection/>
    </xf>
    <xf numFmtId="3" fontId="5" fillId="24" borderId="25" xfId="20" applyNumberFormat="1" applyFont="1" applyFill="1" applyBorder="1" applyAlignment="1">
      <alignment horizontal="right" wrapText="1"/>
      <protection/>
    </xf>
    <xf numFmtId="3" fontId="5" fillId="0" borderId="25" xfId="20" applyNumberFormat="1" applyFont="1" applyBorder="1" applyAlignment="1">
      <alignment horizontal="center"/>
      <protection/>
    </xf>
    <xf numFmtId="3" fontId="5" fillId="0" borderId="25" xfId="20" applyNumberFormat="1" applyFont="1" applyFill="1" applyBorder="1" applyAlignment="1">
      <alignment horizontal="right"/>
      <protection/>
    </xf>
    <xf numFmtId="3" fontId="5" fillId="0" borderId="0" xfId="20" applyNumberFormat="1" applyFont="1" applyAlignment="1">
      <alignment horizontal="center"/>
      <protection/>
    </xf>
    <xf numFmtId="3" fontId="35" fillId="0" borderId="0" xfId="20" applyNumberFormat="1" applyFont="1" applyFill="1" applyAlignment="1">
      <alignment horizontal="center"/>
      <protection/>
    </xf>
    <xf numFmtId="3" fontId="5" fillId="0" borderId="0" xfId="20" applyNumberFormat="1" applyFont="1">
      <alignment/>
      <protection/>
    </xf>
    <xf numFmtId="3" fontId="11" fillId="0" borderId="0" xfId="20" applyNumberFormat="1" applyFont="1" applyFill="1" applyAlignment="1">
      <alignment horizontal="center"/>
      <protection/>
    </xf>
    <xf numFmtId="3" fontId="11" fillId="0" borderId="0" xfId="20" applyNumberFormat="1" applyFont="1" applyFill="1" applyAlignment="1">
      <alignment horizontal="right"/>
      <protection/>
    </xf>
    <xf numFmtId="3" fontId="11" fillId="0" borderId="0" xfId="20" applyNumberFormat="1" applyFont="1" applyFill="1" applyBorder="1" applyAlignment="1">
      <alignment horizontal="center"/>
      <protection/>
    </xf>
    <xf numFmtId="3" fontId="5" fillId="64" borderId="25" xfId="20" applyNumberFormat="1" applyFont="1" applyFill="1" applyBorder="1" applyAlignment="1">
      <alignment horizontal="right" wrapText="1"/>
      <protection/>
    </xf>
    <xf numFmtId="3" fontId="5" fillId="0" borderId="25" xfId="15" applyNumberFormat="1" applyFont="1" applyFill="1" applyBorder="1" applyAlignment="1">
      <alignment horizontal="center" wrapText="1"/>
    </xf>
    <xf numFmtId="3" fontId="5" fillId="0" borderId="25" xfId="20" applyNumberFormat="1" applyFont="1" applyFill="1" applyBorder="1">
      <alignment/>
      <protection/>
    </xf>
    <xf numFmtId="3" fontId="5" fillId="24" borderId="0" xfId="20" applyNumberFormat="1" applyFont="1" applyFill="1" applyAlignment="1">
      <alignment horizontal="right" wrapText="1"/>
      <protection/>
    </xf>
    <xf numFmtId="3" fontId="5" fillId="5" borderId="0" xfId="20" applyNumberFormat="1" applyFont="1" applyFill="1" applyAlignment="1">
      <alignment horizontal="right"/>
      <protection/>
    </xf>
    <xf numFmtId="3" fontId="5" fillId="0" borderId="0" xfId="18" applyNumberFormat="1" applyFont="1" applyAlignment="1" applyProtection="1">
      <alignment/>
      <protection locked="0"/>
    </xf>
    <xf numFmtId="3" fontId="5" fillId="0" borderId="0" xfId="18" applyNumberFormat="1" applyFont="1" applyFill="1" applyBorder="1" applyAlignment="1">
      <alignment/>
    </xf>
    <xf numFmtId="3" fontId="5" fillId="0" borderId="0" xfId="18" applyNumberFormat="1" applyFont="1" applyFill="1" applyAlignment="1">
      <alignment/>
    </xf>
    <xf numFmtId="3" fontId="5" fillId="0" borderId="0" xfId="18" applyNumberFormat="1" applyFont="1" applyFill="1" applyAlignment="1">
      <alignment vertical="center" wrapText="1"/>
    </xf>
    <xf numFmtId="3" fontId="5" fillId="24" borderId="0" xfId="18" applyNumberFormat="1" applyFont="1" applyFill="1" applyBorder="1"/>
    <xf numFmtId="3" fontId="5" fillId="24" borderId="0" xfId="16" applyNumberFormat="1" applyFont="1" applyFill="1" applyBorder="1" applyAlignment="1">
      <alignment horizontal="left"/>
    </xf>
    <xf numFmtId="3" fontId="5" fillId="0" borderId="0" xfId="0" applyNumberFormat="1" applyFont="1" applyFill="1" applyBorder="1" applyAlignment="1">
      <alignment horizontal="center"/>
    </xf>
    <xf numFmtId="3" fontId="5" fillId="0" borderId="0" xfId="16" applyNumberFormat="1" applyFont="1" applyFill="1" applyBorder="1" applyAlignment="1">
      <alignment horizontal="left"/>
    </xf>
    <xf numFmtId="3" fontId="5" fillId="0" borderId="0" xfId="0" applyNumberFormat="1" applyFont="1" applyFill="1" applyBorder="1" applyAlignment="1">
      <alignment horizontal="left"/>
    </xf>
    <xf numFmtId="3" fontId="5" fillId="64" borderId="0" xfId="0" applyNumberFormat="1" applyFont="1" applyFill="1" applyBorder="1" applyAlignment="1">
      <alignment horizontal="left"/>
    </xf>
    <xf numFmtId="3" fontId="5" fillId="64" borderId="0" xfId="16" applyNumberFormat="1" applyFont="1" applyFill="1" applyBorder="1" applyAlignment="1">
      <alignment horizontal="left"/>
    </xf>
    <xf numFmtId="3" fontId="5" fillId="64" borderId="0" xfId="16" applyNumberFormat="1" applyFont="1" applyFill="1" applyBorder="1"/>
    <xf numFmtId="3" fontId="5" fillId="64" borderId="0" xfId="35" applyNumberFormat="1" applyFont="1" applyFill="1" applyBorder="1" applyAlignment="1">
      <alignment horizontal="center"/>
      <protection/>
    </xf>
    <xf numFmtId="3" fontId="5" fillId="64" borderId="0" xfId="35" applyNumberFormat="1" applyFont="1" applyFill="1" applyBorder="1">
      <alignment/>
      <protection/>
    </xf>
    <xf numFmtId="3" fontId="5" fillId="0" borderId="33" xfId="16" applyNumberFormat="1" applyFont="1" applyFill="1" applyBorder="1"/>
    <xf numFmtId="3" fontId="5" fillId="0" borderId="33" xfId="35" applyNumberFormat="1" applyFont="1" applyBorder="1">
      <alignment/>
      <protection/>
    </xf>
    <xf numFmtId="3" fontId="5" fillId="64" borderId="33" xfId="16" applyNumberFormat="1" applyFont="1" applyFill="1" applyBorder="1"/>
    <xf numFmtId="3" fontId="31" fillId="24" borderId="0" xfId="18" applyNumberFormat="1" applyFont="1" applyFill="1" applyProtection="1">
      <protection locked="0"/>
    </xf>
    <xf numFmtId="165" fontId="31" fillId="0" borderId="0" xfId="18" applyNumberFormat="1" applyFont="1" applyFill="1"/>
    <xf numFmtId="3" fontId="0" fillId="0" borderId="0" xfId="0" applyNumberFormat="1" applyFont="1"/>
    <xf numFmtId="3" fontId="0" fillId="0" borderId="25" xfId="0" applyNumberFormat="1" applyFont="1" applyBorder="1"/>
    <xf numFmtId="3" fontId="0" fillId="0" borderId="0" xfId="15" applyNumberFormat="1" applyFont="1" applyFill="1"/>
    <xf numFmtId="3" fontId="0" fillId="0" borderId="0" xfId="15" applyNumberFormat="1" applyFont="1"/>
    <xf numFmtId="3" fontId="0" fillId="0" borderId="0" xfId="0" applyNumberFormat="1"/>
    <xf numFmtId="3" fontId="0" fillId="0" borderId="25" xfId="0" applyNumberFormat="1" applyBorder="1"/>
    <xf numFmtId="3" fontId="0" fillId="64" borderId="25" xfId="0" applyNumberFormat="1" applyFill="1" applyBorder="1"/>
    <xf numFmtId="3" fontId="3" fillId="0" borderId="0" xfId="0" applyNumberFormat="1" applyFont="1"/>
    <xf numFmtId="3" fontId="5" fillId="0" borderId="0" xfId="19" applyNumberFormat="1" applyFont="1"/>
    <xf numFmtId="3" fontId="41" fillId="0" borderId="0" xfId="19" applyNumberFormat="1" applyFont="1"/>
    <xf numFmtId="3" fontId="41" fillId="0" borderId="0" xfId="19" applyNumberFormat="1" applyFont="1" applyFill="1"/>
    <xf numFmtId="3" fontId="93" fillId="0" borderId="0" xfId="0" applyNumberFormat="1" applyFont="1"/>
    <xf numFmtId="3" fontId="167" fillId="64" borderId="0" xfId="18" applyNumberFormat="1" applyFont="1" applyFill="1"/>
    <xf numFmtId="3" fontId="5" fillId="0" borderId="27" xfId="18" applyNumberFormat="1" applyFont="1" applyBorder="1"/>
    <xf numFmtId="3" fontId="0" fillId="0" borderId="0" xfId="35" applyNumberFormat="1" applyFont="1" applyFill="1">
      <alignment/>
      <protection/>
    </xf>
    <xf numFmtId="0" fontId="10" fillId="0" borderId="0" xfId="35" applyFont="1" applyFill="1" applyBorder="1" applyAlignment="1" applyProtection="1">
      <alignment horizontal="right" wrapText="1"/>
      <protection/>
    </xf>
    <xf numFmtId="0" fontId="10" fillId="0" borderId="0" xfId="0" applyFont="1" applyFill="1" applyAlignment="1">
      <alignment horizontal="right"/>
    </xf>
    <xf numFmtId="0" fontId="0" fillId="0" borderId="0" xfId="0"/>
    <xf numFmtId="3" fontId="5" fillId="0" borderId="0" xfId="15" applyNumberFormat="1" applyFont="1" applyFill="1"/>
    <xf numFmtId="3" fontId="5" fillId="0" borderId="0" xfId="35" applyNumberFormat="1" applyFont="1" applyAlignment="1">
      <alignment horizontal="right"/>
      <protection/>
    </xf>
    <xf numFmtId="10" fontId="18" fillId="0" borderId="0" xfId="15" applyNumberFormat="1" applyFont="1"/>
    <xf numFmtId="10" fontId="18" fillId="0" borderId="0" xfId="20" applyNumberFormat="1" applyFont="1">
      <alignment/>
      <protection/>
    </xf>
    <xf numFmtId="3" fontId="15" fillId="0" borderId="0" xfId="20" applyNumberFormat="1" applyFont="1" applyFill="1">
      <alignment/>
      <protection/>
    </xf>
    <xf numFmtId="0" fontId="5" fillId="0" borderId="42" xfId="35" applyFont="1" applyFill="1" applyBorder="1" applyAlignment="1">
      <alignment wrapText="1"/>
      <protection/>
    </xf>
    <xf numFmtId="10" fontId="18" fillId="64" borderId="0" xfId="15" applyNumberFormat="1" applyFont="1" applyFill="1" applyAlignment="1" applyProtection="1">
      <alignment horizontal="right"/>
      <protection/>
    </xf>
    <xf numFmtId="0" fontId="5" fillId="0" borderId="0" xfId="35" applyFont="1" applyFill="1" applyBorder="1" applyAlignment="1" applyProtection="1">
      <alignment horizontal="right" wrapText="1"/>
      <protection/>
    </xf>
    <xf numFmtId="176" fontId="15" fillId="0" borderId="0" xfId="35" applyNumberFormat="1" applyFont="1" applyFill="1" applyBorder="1" applyAlignment="1" applyProtection="1">
      <alignment horizontal="right"/>
      <protection/>
    </xf>
    <xf numFmtId="37" fontId="5" fillId="0" borderId="54" xfId="20" applyNumberFormat="1" applyFont="1" applyFill="1" applyBorder="1" applyAlignment="1" applyProtection="1">
      <alignment horizontal="right" wrapText="1"/>
      <protection locked="0"/>
    </xf>
    <xf numFmtId="0" fontId="0" fillId="0" borderId="0" xfId="0"/>
    <xf numFmtId="3" fontId="5" fillId="67" borderId="52" xfId="18" applyNumberFormat="1" applyFont="1" applyFill="1" applyBorder="1"/>
    <xf numFmtId="3" fontId="5" fillId="0" borderId="0" xfId="16" applyNumberFormat="1" applyFont="1" applyFill="1"/>
    <xf numFmtId="3" fontId="5" fillId="0" borderId="0" xfId="19" applyNumberFormat="1" applyFont="1" applyFill="1"/>
    <xf numFmtId="0" fontId="5" fillId="0" borderId="0" xfId="20" applyFont="1" applyFill="1" applyAlignment="1">
      <alignment horizontal="left"/>
      <protection/>
    </xf>
    <xf numFmtId="164" fontId="0" fillId="0" borderId="0" xfId="18" applyNumberFormat="1" applyFont="1"/>
    <xf numFmtId="0" fontId="15" fillId="0" borderId="41" xfId="35" applyNumberFormat="1" applyFont="1" applyBorder="1" applyAlignment="1" applyProtection="1">
      <alignment horizontal="center"/>
      <protection/>
    </xf>
    <xf numFmtId="0" fontId="15" fillId="0" borderId="42" xfId="35" applyNumberFormat="1" applyFont="1" applyBorder="1" applyAlignment="1" applyProtection="1">
      <alignment horizontal="center"/>
      <protection/>
    </xf>
    <xf numFmtId="0" fontId="15" fillId="0" borderId="42" xfId="35" applyNumberFormat="1" applyFont="1" applyBorder="1" applyAlignment="1" applyProtection="1">
      <alignment horizontal="left"/>
      <protection/>
    </xf>
    <xf numFmtId="0" fontId="18" fillId="0" borderId="42" xfId="35" applyNumberFormat="1" applyFont="1" applyBorder="1" applyAlignment="1" applyProtection="1">
      <alignment horizontal="left"/>
      <protection/>
    </xf>
    <xf numFmtId="4" fontId="15" fillId="0" borderId="43" xfId="16" applyNumberFormat="1" applyFont="1" applyBorder="1" applyAlignment="1" applyProtection="1">
      <alignment horizontal="right"/>
      <protection/>
    </xf>
    <xf numFmtId="0" fontId="15" fillId="0" borderId="38" xfId="35" applyNumberFormat="1" applyFont="1" applyBorder="1" applyAlignment="1" applyProtection="1">
      <alignment horizontal="center"/>
      <protection/>
    </xf>
    <xf numFmtId="4" fontId="15" fillId="0" borderId="37" xfId="16" applyNumberFormat="1" applyFont="1" applyBorder="1" applyAlignment="1" applyProtection="1">
      <alignment horizontal="right"/>
      <protection/>
    </xf>
    <xf numFmtId="0" fontId="15" fillId="0" borderId="45" xfId="35" applyNumberFormat="1" applyFont="1" applyBorder="1" applyAlignment="1" applyProtection="1">
      <alignment horizontal="center"/>
      <protection/>
    </xf>
    <xf numFmtId="0" fontId="15" fillId="0" borderId="2" xfId="35" applyNumberFormat="1" applyFont="1" applyBorder="1" applyAlignment="1" applyProtection="1">
      <alignment horizontal="center"/>
      <protection/>
    </xf>
    <xf numFmtId="0" fontId="15" fillId="0" borderId="2" xfId="35" applyNumberFormat="1" applyFont="1" applyBorder="1" applyAlignment="1" applyProtection="1">
      <alignment horizontal="left"/>
      <protection/>
    </xf>
    <xf numFmtId="4" fontId="15" fillId="0" borderId="39" xfId="16" applyNumberFormat="1" applyFont="1" applyBorder="1" applyAlignment="1" applyProtection="1">
      <alignment horizontal="right"/>
      <protection/>
    </xf>
    <xf numFmtId="0" fontId="18" fillId="0" borderId="2" xfId="35" applyNumberFormat="1" applyFont="1" applyBorder="1" applyAlignment="1" applyProtection="1">
      <alignment horizontal="left"/>
      <protection/>
    </xf>
    <xf numFmtId="0" fontId="5" fillId="64" borderId="0" xfId="35" applyFont="1" applyFill="1" applyBorder="1">
      <alignment/>
      <protection/>
    </xf>
    <xf numFmtId="10" fontId="0" fillId="64" borderId="25" xfId="15" applyNumberFormat="1" applyFont="1" applyFill="1" applyBorder="1"/>
    <xf numFmtId="10" fontId="0" fillId="0" borderId="0" xfId="15" applyNumberFormat="1" applyFont="1"/>
    <xf numFmtId="164" fontId="5" fillId="64" borderId="50" xfId="18" applyNumberFormat="1" applyFont="1" applyFill="1" applyBorder="1" applyAlignment="1">
      <alignment wrapText="1"/>
    </xf>
    <xf numFmtId="0" fontId="5" fillId="64" borderId="48" xfId="19" applyNumberFormat="1" applyFont="1" applyFill="1" applyBorder="1" applyAlignment="1">
      <alignment wrapText="1"/>
    </xf>
    <xf numFmtId="0" fontId="5" fillId="64" borderId="0" xfId="0" applyFont="1" applyFill="1" applyAlignment="1">
      <alignment horizontal="center"/>
    </xf>
    <xf numFmtId="0" fontId="5" fillId="64" borderId="57" xfId="35" applyFont="1" applyFill="1" applyBorder="1" applyAlignment="1">
      <alignment wrapText="1"/>
      <protection/>
    </xf>
    <xf numFmtId="0" fontId="18" fillId="0" borderId="0" xfId="35" applyFont="1" applyFill="1" applyAlignment="1">
      <alignment horizontal="left"/>
      <protection/>
    </xf>
    <xf numFmtId="0" fontId="0" fillId="64" borderId="0" xfId="0" applyFont="1" applyFill="1" applyAlignment="1">
      <alignment horizontal="center"/>
    </xf>
    <xf numFmtId="0" fontId="0" fillId="0" borderId="0" xfId="0" applyFill="1"/>
    <xf numFmtId="3" fontId="31" fillId="0" borderId="0" xfId="19" applyNumberFormat="1" applyFont="1" applyFill="1"/>
    <xf numFmtId="3" fontId="31" fillId="0" borderId="0" xfId="16" applyNumberFormat="1" applyFont="1" applyFill="1"/>
    <xf numFmtId="3" fontId="31" fillId="0" borderId="0" xfId="19" applyNumberFormat="1" applyFont="1" applyFill="1" applyBorder="1"/>
    <xf numFmtId="3" fontId="31" fillId="0" borderId="0" xfId="19" applyNumberFormat="1" applyFont="1"/>
    <xf numFmtId="0" fontId="4" fillId="61" borderId="1" xfId="35" applyFont="1" applyFill="1" applyBorder="1" applyAlignment="1">
      <alignment horizontal="center" wrapText="1"/>
      <protection/>
    </xf>
    <xf numFmtId="3" fontId="5" fillId="0" borderId="51" xfId="35" applyNumberFormat="1" applyFont="1" applyBorder="1">
      <alignment/>
      <protection/>
    </xf>
    <xf numFmtId="0" fontId="5" fillId="66" borderId="29" xfId="35" applyFont="1" applyFill="1" applyBorder="1">
      <alignment/>
      <protection/>
    </xf>
    <xf numFmtId="1" fontId="5" fillId="0" borderId="0" xfId="18" applyNumberFormat="1" applyFont="1" applyFill="1" applyBorder="1"/>
    <xf numFmtId="280" fontId="9" fillId="0" borderId="0" xfId="0" applyNumberFormat="1" applyFont="1" applyAlignment="1">
      <alignment horizontal="center"/>
    </xf>
    <xf numFmtId="0" fontId="0" fillId="0" borderId="0" xfId="0"/>
    <xf numFmtId="3" fontId="5" fillId="0" borderId="0" xfId="20" applyNumberFormat="1" applyFont="1" applyAlignment="1">
      <alignment horizontal="right" wrapText="1"/>
      <protection/>
    </xf>
    <xf numFmtId="3" fontId="5" fillId="0" borderId="0" xfId="20" applyNumberFormat="1" applyFont="1" applyAlignment="1">
      <alignment horizontal="right"/>
      <protection/>
    </xf>
    <xf numFmtId="3" fontId="11" fillId="0" borderId="0" xfId="20" applyNumberFormat="1" applyFont="1" applyFill="1" applyBorder="1" applyAlignment="1">
      <alignment horizontal="right"/>
      <protection/>
    </xf>
    <xf numFmtId="0" fontId="11" fillId="0" borderId="0" xfId="20" applyFont="1" applyFill="1" applyBorder="1" applyAlignment="1">
      <alignment horizontal="center"/>
      <protection/>
    </xf>
    <xf numFmtId="0" fontId="11" fillId="0" borderId="0" xfId="20" applyNumberFormat="1" applyFont="1" applyFill="1" applyBorder="1" applyAlignment="1">
      <alignment horizontal="center"/>
      <protection/>
    </xf>
    <xf numFmtId="170" fontId="5" fillId="0" borderId="0" xfId="15" applyNumberFormat="1" applyFont="1" applyFill="1" applyAlignment="1">
      <alignment horizontal="center" wrapText="1"/>
    </xf>
    <xf numFmtId="171" fontId="5" fillId="0" borderId="0" xfId="20" applyNumberFormat="1" applyFont="1" applyFill="1" applyAlignment="1">
      <alignment horizontal="center" wrapText="1"/>
      <protection/>
    </xf>
    <xf numFmtId="0" fontId="5" fillId="0" borderId="54" xfId="20" applyFont="1" applyBorder="1">
      <alignment/>
      <protection/>
    </xf>
    <xf numFmtId="0" fontId="11" fillId="0" borderId="0" xfId="20" applyFont="1" applyFill="1">
      <alignment/>
      <protection/>
    </xf>
    <xf numFmtId="3" fontId="5" fillId="0" borderId="30" xfId="20" applyNumberFormat="1" applyFont="1" applyBorder="1" applyAlignment="1">
      <alignment horizontal="right" wrapText="1"/>
      <protection/>
    </xf>
    <xf numFmtId="0" fontId="4" fillId="0" borderId="0" xfId="20" applyFont="1" applyFill="1" applyBorder="1">
      <alignment/>
      <protection/>
    </xf>
    <xf numFmtId="3" fontId="5" fillId="0" borderId="0" xfId="18" applyNumberFormat="1" applyFont="1" applyFill="1" applyAlignment="1">
      <alignment horizontal="right" wrapText="1"/>
    </xf>
    <xf numFmtId="0" fontId="5" fillId="0" borderId="0" xfId="20" applyFont="1" applyFill="1" applyBorder="1">
      <alignment/>
      <protection/>
    </xf>
    <xf numFmtId="37" fontId="11" fillId="0" borderId="0" xfId="20" applyNumberFormat="1" applyFont="1" applyFill="1">
      <alignment/>
      <protection/>
    </xf>
    <xf numFmtId="37" fontId="5" fillId="0" borderId="0" xfId="20" applyNumberFormat="1" applyFont="1" applyFill="1">
      <alignment/>
      <protection/>
    </xf>
    <xf numFmtId="3" fontId="5" fillId="0" borderId="0" xfId="20" applyNumberFormat="1" applyFont="1" applyFill="1" applyAlignment="1">
      <alignment horizontal="right"/>
      <protection/>
    </xf>
    <xf numFmtId="3" fontId="5" fillId="0" borderId="0" xfId="18" applyNumberFormat="1" applyFont="1" applyFill="1" applyAlignment="1">
      <alignment horizontal="right"/>
    </xf>
    <xf numFmtId="164" fontId="5" fillId="0" borderId="0" xfId="18" applyNumberFormat="1" applyFont="1" applyFill="1" applyAlignment="1">
      <alignment horizontal="right"/>
    </xf>
    <xf numFmtId="0" fontId="5" fillId="0" borderId="0" xfId="20" applyFont="1" applyFill="1" applyAlignment="1">
      <alignment horizontal="right"/>
      <protection/>
    </xf>
    <xf numFmtId="0" fontId="4" fillId="0" borderId="0" xfId="20" applyFont="1" applyAlignment="1">
      <alignment/>
      <protection/>
    </xf>
    <xf numFmtId="3" fontId="168" fillId="0" borderId="37" xfId="35" applyNumberFormat="1" applyFont="1" applyFill="1" applyBorder="1" applyAlignment="1">
      <alignment horizontal="center" wrapText="1"/>
      <protection/>
    </xf>
    <xf numFmtId="3" fontId="168" fillId="0" borderId="0" xfId="18" applyNumberFormat="1" applyFont="1" applyFill="1" applyBorder="1"/>
    <xf numFmtId="3" fontId="169" fillId="0" borderId="52" xfId="18" applyNumberFormat="1" applyFont="1" applyFill="1" applyBorder="1"/>
    <xf numFmtId="10" fontId="0" fillId="0" borderId="0" xfId="0" applyNumberFormat="1"/>
    <xf numFmtId="10" fontId="0" fillId="0" borderId="0" xfId="0" applyNumberFormat="1" applyFont="1"/>
    <xf numFmtId="10" fontId="5" fillId="0" borderId="0" xfId="0" applyNumberFormat="1" applyFont="1"/>
    <xf numFmtId="10" fontId="5" fillId="0" borderId="0" xfId="538" applyNumberFormat="1" applyFont="1"/>
    <xf numFmtId="10" fontId="0" fillId="0" borderId="0" xfId="538" applyNumberFormat="1" applyFont="1" applyAlignment="1">
      <alignment horizontal="center"/>
    </xf>
    <xf numFmtId="10" fontId="0" fillId="0" borderId="0" xfId="306" applyNumberFormat="1" applyFont="1">
      <alignment/>
      <protection/>
    </xf>
    <xf numFmtId="37" fontId="5" fillId="24" borderId="0" xfId="18" applyNumberFormat="1" applyFont="1" applyFill="1"/>
    <xf numFmtId="3" fontId="5" fillId="64" borderId="0" xfId="20" applyNumberFormat="1" applyFont="1" applyFill="1" applyBorder="1">
      <alignment/>
      <protection/>
    </xf>
    <xf numFmtId="3" fontId="0" fillId="0" borderId="0" xfId="0" applyNumberFormat="1" applyFont="1" applyFill="1"/>
    <xf numFmtId="3" fontId="93" fillId="0" borderId="0" xfId="0" applyNumberFormat="1" applyFont="1" applyFill="1"/>
    <xf numFmtId="3" fontId="5" fillId="64" borderId="52" xfId="18" applyNumberFormat="1" applyFont="1" applyFill="1" applyBorder="1"/>
    <xf numFmtId="37" fontId="5" fillId="64" borderId="25" xfId="20" applyNumberFormat="1" applyFont="1" applyFill="1" applyBorder="1" applyAlignment="1">
      <alignment horizontal="right" wrapText="1"/>
      <protection/>
    </xf>
    <xf numFmtId="10" fontId="5" fillId="64" borderId="0" xfId="15" applyNumberFormat="1" applyFont="1" applyFill="1" applyBorder="1"/>
    <xf numFmtId="10" fontId="5" fillId="64" borderId="2" xfId="15" applyNumberFormat="1" applyFont="1" applyFill="1" applyBorder="1"/>
    <xf numFmtId="3" fontId="5" fillId="64" borderId="0" xfId="16" applyNumberFormat="1" applyFont="1" applyFill="1"/>
    <xf numFmtId="3" fontId="5" fillId="64" borderId="0" xfId="19" applyNumberFormat="1" applyFont="1" applyFill="1"/>
    <xf numFmtId="3" fontId="31" fillId="64" borderId="0" xfId="19" applyNumberFormat="1" applyFont="1" applyFill="1"/>
    <xf numFmtId="0" fontId="18" fillId="0" borderId="0" xfId="35" applyFont="1" applyFill="1" applyBorder="1" applyAlignment="1" applyProtection="1">
      <alignment horizontal="center"/>
      <protection/>
    </xf>
    <xf numFmtId="0" fontId="4" fillId="0" borderId="0" xfId="0" applyFont="1" applyFill="1" applyBorder="1" applyAlignment="1">
      <alignment horizontal="center"/>
    </xf>
    <xf numFmtId="0" fontId="5" fillId="0" borderId="0" xfId="0" applyFont="1" applyFill="1" applyBorder="1" applyAlignment="1">
      <alignment wrapText="1"/>
    </xf>
    <xf numFmtId="0" fontId="9" fillId="0" borderId="0" xfId="35" applyFont="1" applyAlignment="1">
      <alignment horizontal="center"/>
      <protection/>
    </xf>
    <xf numFmtId="0" fontId="9" fillId="0" borderId="0" xfId="35" applyFont="1" applyFill="1" applyBorder="1" applyAlignment="1">
      <alignment horizontal="center"/>
      <protection/>
    </xf>
    <xf numFmtId="0" fontId="5" fillId="0" borderId="0" xfId="20" applyFont="1" applyFill="1" applyAlignment="1">
      <alignment vertical="center" wrapText="1"/>
      <protection/>
    </xf>
    <xf numFmtId="0" fontId="4" fillId="0" borderId="2" xfId="35" applyFont="1" applyFill="1" applyBorder="1" applyAlignment="1">
      <alignment horizontal="center" wrapText="1"/>
      <protection/>
    </xf>
    <xf numFmtId="0" fontId="4" fillId="0" borderId="39" xfId="35" applyFont="1" applyFill="1" applyBorder="1" applyAlignment="1">
      <alignment horizontal="center" wrapText="1"/>
      <protection/>
    </xf>
    <xf numFmtId="0" fontId="4" fillId="0" borderId="0" xfId="35" applyFont="1" applyFill="1" applyBorder="1" applyAlignment="1">
      <alignment horizontal="center" wrapText="1"/>
      <protection/>
    </xf>
    <xf numFmtId="0" fontId="4" fillId="0" borderId="37" xfId="35" applyFont="1" applyFill="1" applyBorder="1" applyAlignment="1">
      <alignment horizontal="center" wrapText="1"/>
      <protection/>
    </xf>
    <xf numFmtId="0" fontId="4" fillId="61" borderId="29" xfId="35" applyFont="1" applyFill="1" applyBorder="1" applyAlignment="1">
      <alignment horizontal="center" wrapText="1"/>
      <protection/>
    </xf>
    <xf numFmtId="0" fontId="4" fillId="61" borderId="44" xfId="35" applyFont="1" applyFill="1" applyBorder="1" applyAlignment="1">
      <alignment horizontal="center" wrapText="1"/>
      <protection/>
    </xf>
    <xf numFmtId="0" fontId="4" fillId="61" borderId="42" xfId="35" applyFont="1" applyFill="1" applyBorder="1" applyAlignment="1">
      <alignment horizontal="center" wrapText="1"/>
      <protection/>
    </xf>
    <xf numFmtId="0" fontId="0" fillId="0" borderId="0" xfId="0" applyFont="1" applyAlignment="1">
      <alignment horizontal="center"/>
    </xf>
    <xf numFmtId="0" fontId="12" fillId="0" borderId="0" xfId="0" applyFont="1" applyAlignment="1">
      <alignment horizontal="left"/>
    </xf>
    <xf numFmtId="3" fontId="15" fillId="68" borderId="0" xfId="35" applyNumberFormat="1" applyFont="1" applyFill="1" applyBorder="1" applyAlignment="1" applyProtection="1">
      <alignment horizontal="right"/>
      <protection/>
    </xf>
    <xf numFmtId="0" fontId="10" fillId="0" borderId="0" xfId="0" applyFont="1" applyAlignment="1">
      <alignment horizontal="center"/>
    </xf>
    <xf numFmtId="0" fontId="5" fillId="0" borderId="0" xfId="0" applyFont="1"/>
    <xf numFmtId="0" fontId="5" fillId="0" borderId="0" xfId="0" applyFont="1" applyAlignment="1">
      <alignment horizontal="center"/>
    </xf>
    <xf numFmtId="166" fontId="5" fillId="64" borderId="0" xfId="16" applyNumberFormat="1" applyFont="1" applyFill="1"/>
    <xf numFmtId="3" fontId="5" fillId="0" borderId="0" xfId="0" applyNumberFormat="1" applyFont="1"/>
    <xf numFmtId="3" fontId="5" fillId="64" borderId="0" xfId="0" applyNumberFormat="1" applyFont="1" applyFill="1"/>
    <xf numFmtId="3" fontId="5" fillId="64" borderId="0" xfId="0" applyNumberFormat="1" applyFont="1" applyFill="1" applyBorder="1"/>
    <xf numFmtId="3" fontId="5" fillId="67" borderId="0" xfId="0" applyNumberFormat="1" applyFont="1" applyFill="1" applyBorder="1"/>
    <xf numFmtId="164" fontId="5" fillId="64" borderId="25" xfId="18" applyNumberFormat="1" applyFont="1" applyFill="1" applyBorder="1"/>
    <xf numFmtId="0" fontId="5" fillId="0" borderId="0" xfId="0" applyFont="1" applyAlignment="1">
      <alignment horizontal="center" wrapText="1"/>
    </xf>
    <xf numFmtId="0" fontId="5" fillId="0" borderId="0" xfId="0" applyFont="1" applyAlignment="1">
      <alignment horizontal="center" wrapText="1"/>
    </xf>
    <xf numFmtId="279" fontId="5" fillId="0" borderId="0" xfId="16" applyNumberFormat="1" applyFont="1"/>
    <xf numFmtId="0" fontId="5" fillId="0" borderId="72" xfId="35" applyFont="1" applyBorder="1">
      <alignment/>
      <protection/>
    </xf>
    <xf numFmtId="0" fontId="18" fillId="0" borderId="0" xfId="35" applyFont="1" applyFill="1" applyBorder="1" applyAlignment="1" applyProtection="1">
      <alignment horizontal="center"/>
      <protection/>
    </xf>
    <xf numFmtId="0" fontId="9" fillId="0" borderId="0" xfId="35" applyFont="1" applyAlignment="1">
      <alignment horizontal="center"/>
      <protection/>
    </xf>
    <xf numFmtId="0" fontId="4" fillId="0" borderId="0" xfId="0" applyFont="1" applyFill="1" applyBorder="1" applyAlignment="1">
      <alignment horizontal="center"/>
    </xf>
    <xf numFmtId="3" fontId="5" fillId="0" borderId="73" xfId="18" applyNumberFormat="1" applyFont="1" applyFill="1" applyBorder="1"/>
    <xf numFmtId="3" fontId="5" fillId="0" borderId="70" xfId="18" applyNumberFormat="1" applyFont="1" applyFill="1" applyBorder="1"/>
    <xf numFmtId="3" fontId="5" fillId="0" borderId="74" xfId="18" applyNumberFormat="1" applyFont="1" applyFill="1" applyBorder="1"/>
    <xf numFmtId="3" fontId="5" fillId="0" borderId="67" xfId="18" applyNumberFormat="1" applyFont="1" applyFill="1" applyBorder="1"/>
    <xf numFmtId="3" fontId="5" fillId="0" borderId="7" xfId="18" applyNumberFormat="1" applyFont="1" applyFill="1" applyBorder="1"/>
    <xf numFmtId="3" fontId="4" fillId="0" borderId="67" xfId="35" applyNumberFormat="1" applyFont="1" applyFill="1" applyBorder="1">
      <alignment/>
      <protection/>
    </xf>
    <xf numFmtId="3" fontId="31" fillId="64" borderId="0" xfId="20" applyNumberFormat="1" applyFont="1" applyFill="1" applyBorder="1">
      <alignment/>
      <protection/>
    </xf>
    <xf numFmtId="3" fontId="31" fillId="0" borderId="0" xfId="20" applyNumberFormat="1" applyFont="1" applyFill="1" applyBorder="1">
      <alignment/>
      <protection/>
    </xf>
    <xf numFmtId="3" fontId="5" fillId="0" borderId="0" xfId="18" applyNumberFormat="1" applyFont="1" applyAlignment="1" applyProtection="1">
      <alignment/>
      <protection/>
    </xf>
    <xf numFmtId="3" fontId="31" fillId="0" borderId="0" xfId="18" applyNumberFormat="1" applyFont="1"/>
    <xf numFmtId="3" fontId="31" fillId="64" borderId="0" xfId="18" applyNumberFormat="1" applyFont="1" applyFill="1"/>
    <xf numFmtId="3" fontId="31" fillId="0" borderId="0" xfId="316" applyNumberFormat="1" applyFont="1">
      <alignment/>
      <protection/>
    </xf>
    <xf numFmtId="1" fontId="5" fillId="0" borderId="0" xfId="18" applyNumberFormat="1" applyFont="1"/>
    <xf numFmtId="1" fontId="41" fillId="0" borderId="0" xfId="18" applyNumberFormat="1" applyFont="1"/>
    <xf numFmtId="37" fontId="27" fillId="0" borderId="0" xfId="0" applyNumberFormat="1" applyFont="1"/>
    <xf numFmtId="0" fontId="34" fillId="0" borderId="0" xfId="0" applyFont="1" applyFill="1" applyBorder="1"/>
    <xf numFmtId="0" fontId="5" fillId="0" borderId="0" xfId="0" applyFont="1" applyFill="1" applyAlignment="1">
      <alignment horizontal="center"/>
    </xf>
    <xf numFmtId="0" fontId="31" fillId="0" borderId="0" xfId="0" applyFont="1" applyFill="1" applyAlignment="1">
      <alignment horizontal="center"/>
    </xf>
    <xf numFmtId="3" fontId="31" fillId="64" borderId="0" xfId="19" applyNumberFormat="1" applyFont="1" applyFill="1" applyBorder="1"/>
    <xf numFmtId="3" fontId="5" fillId="0" borderId="0" xfId="15" applyNumberFormat="1" applyFont="1" applyFill="1" applyBorder="1"/>
    <xf numFmtId="0" fontId="18" fillId="0" borderId="0" xfId="35" applyFont="1" applyFill="1" applyBorder="1" applyAlignment="1" applyProtection="1">
      <alignment horizontal="center"/>
      <protection/>
    </xf>
    <xf numFmtId="0" fontId="4" fillId="61" borderId="29" xfId="35" applyFont="1" applyFill="1" applyBorder="1" applyAlignment="1">
      <alignment horizontal="center" wrapText="1"/>
      <protection/>
    </xf>
    <xf numFmtId="0" fontId="4" fillId="61" borderId="44" xfId="35" applyFont="1" applyFill="1" applyBorder="1" applyAlignment="1">
      <alignment horizontal="center" wrapText="1"/>
      <protection/>
    </xf>
    <xf numFmtId="0" fontId="4" fillId="61" borderId="42" xfId="35" applyFont="1" applyFill="1" applyBorder="1" applyAlignment="1">
      <alignment horizontal="center" wrapText="1"/>
      <protection/>
    </xf>
    <xf numFmtId="0" fontId="4" fillId="0" borderId="0" xfId="0" applyFont="1" applyAlignment="1">
      <alignment horizontal="center"/>
    </xf>
    <xf numFmtId="0" fontId="21" fillId="0" borderId="30" xfId="35" applyFont="1" applyFill="1" applyBorder="1" applyAlignment="1" applyProtection="1">
      <alignment horizontal="center"/>
      <protection/>
    </xf>
    <xf numFmtId="0" fontId="18" fillId="0" borderId="0" xfId="35" applyNumberFormat="1" applyFont="1" applyFill="1" applyBorder="1" applyAlignment="1" applyProtection="1">
      <alignment horizontal="center" vertical="center"/>
      <protection/>
    </xf>
    <xf numFmtId="0" fontId="18" fillId="0" borderId="0" xfId="35" applyFont="1" applyFill="1" applyAlignment="1" applyProtection="1">
      <alignment vertical="center"/>
      <protection/>
    </xf>
    <xf numFmtId="0" fontId="18" fillId="0" borderId="0" xfId="35" applyNumberFormat="1" applyFont="1" applyFill="1" applyAlignment="1" applyProtection="1">
      <alignment horizontal="center" vertical="center"/>
      <protection/>
    </xf>
    <xf numFmtId="0" fontId="18" fillId="0" borderId="0" xfId="35" applyFont="1" applyFill="1" applyAlignment="1" applyProtection="1">
      <alignment horizontal="center" vertical="center"/>
      <protection/>
    </xf>
    <xf numFmtId="238" fontId="5" fillId="0" borderId="0" xfId="18" applyNumberFormat="1" applyFont="1" applyAlignment="1">
      <alignment horizontal="left"/>
    </xf>
    <xf numFmtId="3" fontId="18" fillId="0" borderId="25" xfId="35" applyNumberFormat="1" applyFont="1" applyFill="1" applyBorder="1" applyAlignment="1" applyProtection="1">
      <alignment wrapText="1"/>
      <protection/>
    </xf>
    <xf numFmtId="0" fontId="5" fillId="64" borderId="0" xfId="35" applyFont="1" applyFill="1" applyBorder="1" applyAlignment="1">
      <alignment horizontal="center"/>
      <protection/>
    </xf>
    <xf numFmtId="0" fontId="3" fillId="61" borderId="29" xfId="35" applyFont="1" applyFill="1" applyBorder="1" applyAlignment="1">
      <alignment horizontal="center"/>
      <protection/>
    </xf>
    <xf numFmtId="0" fontId="3" fillId="61" borderId="44" xfId="35" applyFont="1" applyFill="1" applyBorder="1" applyAlignment="1">
      <alignment horizontal="center" wrapText="1"/>
      <protection/>
    </xf>
    <xf numFmtId="0" fontId="3" fillId="0" borderId="0" xfId="35" applyFont="1" applyFill="1" applyBorder="1" applyAlignment="1">
      <alignment horizontal="center" wrapText="1"/>
      <protection/>
    </xf>
    <xf numFmtId="0" fontId="3" fillId="61" borderId="40" xfId="35" applyFont="1" applyFill="1" applyBorder="1" applyAlignment="1">
      <alignment horizontal="center"/>
      <protection/>
    </xf>
    <xf numFmtId="0" fontId="0" fillId="66" borderId="41" xfId="0" applyFill="1" applyBorder="1"/>
    <xf numFmtId="0" fontId="3" fillId="66" borderId="45" xfId="35" applyFont="1" applyFill="1" applyBorder="1" applyAlignment="1">
      <alignment horizontal="center"/>
      <protection/>
    </xf>
    <xf numFmtId="0" fontId="3" fillId="66" borderId="2" xfId="35" applyFont="1" applyFill="1" applyBorder="1" applyAlignment="1">
      <alignment horizontal="center"/>
      <protection/>
    </xf>
    <xf numFmtId="0" fontId="3" fillId="66" borderId="39" xfId="35" applyFont="1" applyFill="1" applyBorder="1" applyAlignment="1">
      <alignment horizontal="center"/>
      <protection/>
    </xf>
    <xf numFmtId="0" fontId="3" fillId="66" borderId="42" xfId="0" applyFont="1" applyFill="1" applyBorder="1" applyAlignment="1">
      <alignment horizontal="center"/>
    </xf>
    <xf numFmtId="0" fontId="3" fillId="66" borderId="43" xfId="0" applyFont="1" applyFill="1" applyBorder="1" applyAlignment="1">
      <alignment horizontal="center"/>
    </xf>
    <xf numFmtId="3" fontId="0" fillId="0" borderId="0" xfId="35" applyNumberFormat="1" applyFont="1" applyFill="1" applyBorder="1" applyAlignment="1" applyProtection="1">
      <alignment wrapText="1"/>
      <protection/>
    </xf>
    <xf numFmtId="0" fontId="0" fillId="0" borderId="0" xfId="0" applyFont="1" applyBorder="1" applyAlignment="1">
      <alignment wrapText="1"/>
    </xf>
    <xf numFmtId="37" fontId="5" fillId="64" borderId="0" xfId="18" applyNumberFormat="1" applyFont="1" applyFill="1" applyBorder="1" applyAlignment="1">
      <alignment horizontal="right"/>
    </xf>
    <xf numFmtId="1" fontId="89" fillId="64" borderId="0" xfId="10349" applyNumberFormat="1" applyFont="1" applyFill="1"/>
    <xf numFmtId="1" fontId="168" fillId="0" borderId="0" xfId="18" applyNumberFormat="1" applyFont="1" applyFill="1" applyBorder="1"/>
    <xf numFmtId="1" fontId="89" fillId="0" borderId="0" xfId="18" applyNumberFormat="1" applyFont="1" applyFill="1" applyBorder="1"/>
    <xf numFmtId="1" fontId="5" fillId="0" borderId="0" xfId="35" applyNumberFormat="1" applyFont="1" applyBorder="1">
      <alignment/>
      <protection/>
    </xf>
    <xf numFmtId="1" fontId="89" fillId="64" borderId="2" xfId="10349" applyNumberFormat="1" applyFont="1" applyFill="1" applyBorder="1"/>
    <xf numFmtId="0" fontId="93" fillId="0" borderId="0" xfId="0" applyFont="1" applyAlignment="1">
      <alignment horizontal="center" wrapText="1"/>
    </xf>
    <xf numFmtId="1" fontId="0" fillId="64" borderId="0" xfId="0" applyNumberFormat="1" applyFill="1"/>
    <xf numFmtId="1" fontId="0" fillId="0" borderId="0" xfId="0" applyNumberFormat="1"/>
    <xf numFmtId="3" fontId="5" fillId="24" borderId="0" xfId="35" applyNumberFormat="1" applyFont="1" applyFill="1" applyProtection="1">
      <alignment/>
      <protection locked="0"/>
    </xf>
    <xf numFmtId="164" fontId="5" fillId="64" borderId="0" xfId="10349" applyNumberFormat="1" applyFont="1" applyFill="1"/>
    <xf numFmtId="3" fontId="5" fillId="64" borderId="2" xfId="18" applyNumberFormat="1" applyFont="1" applyFill="1" applyBorder="1"/>
    <xf numFmtId="3" fontId="89" fillId="64" borderId="0" xfId="10349" applyNumberFormat="1" applyFont="1" applyFill="1"/>
    <xf numFmtId="3" fontId="89" fillId="0" borderId="0" xfId="18" applyNumberFormat="1" applyFont="1" applyFill="1" applyBorder="1"/>
    <xf numFmtId="3" fontId="5" fillId="0" borderId="2" xfId="18" applyNumberFormat="1" applyFont="1" applyBorder="1"/>
    <xf numFmtId="3" fontId="5" fillId="24" borderId="2" xfId="18" applyNumberFormat="1" applyFont="1" applyFill="1" applyBorder="1"/>
    <xf numFmtId="176" fontId="5" fillId="24" borderId="0" xfId="18" applyNumberFormat="1" applyFont="1" applyFill="1" applyBorder="1"/>
    <xf numFmtId="3" fontId="5" fillId="64" borderId="0" xfId="35" applyNumberFormat="1" applyFont="1" applyFill="1" applyAlignment="1">
      <alignment horizontal="center"/>
      <protection/>
    </xf>
    <xf numFmtId="0" fontId="5" fillId="64" borderId="0" xfId="35" applyFont="1" applyFill="1">
      <alignment/>
      <protection/>
    </xf>
    <xf numFmtId="0" fontId="5" fillId="64" borderId="0" xfId="35" applyFont="1" applyFill="1" applyAlignment="1">
      <alignment horizontal="left"/>
      <protection/>
    </xf>
    <xf numFmtId="3" fontId="31" fillId="0" borderId="0" xfId="16" applyNumberFormat="1" applyFont="1" applyFill="1" applyBorder="1"/>
    <xf numFmtId="3" fontId="5" fillId="0" borderId="0" xfId="16" applyNumberFormat="1" applyFont="1" applyBorder="1"/>
    <xf numFmtId="3" fontId="0" fillId="64" borderId="0" xfId="0" applyNumberFormat="1" applyFill="1"/>
    <xf numFmtId="0" fontId="0" fillId="0" borderId="25" xfId="0" applyFont="1" applyBorder="1" applyAlignment="1">
      <alignment horizontal="center" wrapText="1"/>
    </xf>
    <xf numFmtId="0" fontId="0" fillId="0" borderId="0" xfId="0" applyFont="1" applyAlignment="1">
      <alignment horizontal="center"/>
    </xf>
    <xf numFmtId="37" fontId="5" fillId="0" borderId="0" xfId="18" applyNumberFormat="1" applyFont="1" applyFill="1"/>
    <xf numFmtId="0" fontId="4" fillId="0" borderId="0" xfId="0" applyFont="1" applyAlignment="1">
      <alignment wrapText="1"/>
    </xf>
    <xf numFmtId="0" fontId="89" fillId="64" borderId="0" xfId="0" applyFont="1" applyFill="1"/>
    <xf numFmtId="3" fontId="5" fillId="0" borderId="0" xfId="16" applyNumberFormat="1" applyFont="1" applyFill="1" applyAlignment="1">
      <alignment horizontal="center"/>
    </xf>
    <xf numFmtId="3" fontId="5" fillId="0" borderId="0" xfId="19" applyNumberFormat="1" applyFont="1" applyFill="1" applyAlignment="1">
      <alignment horizontal="center"/>
    </xf>
    <xf numFmtId="3" fontId="31" fillId="0" borderId="0" xfId="0" applyNumberFormat="1" applyFont="1"/>
    <xf numFmtId="0" fontId="5" fillId="64" borderId="0" xfId="0" applyFont="1" applyFill="1" applyAlignment="1">
      <alignment wrapText="1"/>
    </xf>
    <xf numFmtId="167" fontId="5" fillId="64" borderId="0" xfId="15" applyNumberFormat="1" applyFont="1" applyFill="1"/>
    <xf numFmtId="167" fontId="5" fillId="0" borderId="0" xfId="15" applyNumberFormat="1" applyFont="1" applyFill="1"/>
    <xf numFmtId="3" fontId="31" fillId="64" borderId="0" xfId="0" applyNumberFormat="1" applyFont="1" applyFill="1"/>
    <xf numFmtId="3" fontId="31" fillId="64" borderId="0" xfId="16" applyNumberFormat="1" applyFont="1" applyFill="1"/>
    <xf numFmtId="0" fontId="92" fillId="64" borderId="0" xfId="0" applyFont="1" applyFill="1" applyAlignment="1">
      <alignment wrapText="1"/>
    </xf>
    <xf numFmtId="3" fontId="5" fillId="0" borderId="0" xfId="19" applyNumberFormat="1" applyFont="1" applyFill="1" applyBorder="1" applyAlignment="1">
      <alignment horizontal="center"/>
    </xf>
    <xf numFmtId="3" fontId="5" fillId="0" borderId="0" xfId="19" applyNumberFormat="1" applyFont="1" applyBorder="1"/>
    <xf numFmtId="3" fontId="5" fillId="0" borderId="0" xfId="19" applyNumberFormat="1" applyFont="1" applyFill="1" applyBorder="1"/>
    <xf numFmtId="3" fontId="31" fillId="0" borderId="0" xfId="16" applyNumberFormat="1" applyFont="1" applyBorder="1"/>
    <xf numFmtId="41" fontId="5" fillId="0" borderId="0" xfId="19" applyFont="1" applyBorder="1"/>
    <xf numFmtId="170" fontId="0" fillId="0" borderId="0" xfId="15" applyNumberFormat="1" applyFont="1"/>
    <xf numFmtId="3" fontId="5" fillId="64" borderId="0" xfId="35" applyNumberFormat="1" applyFont="1" applyFill="1" applyBorder="1" applyAlignment="1">
      <alignment horizontal="right"/>
      <protection/>
    </xf>
    <xf numFmtId="1" fontId="0" fillId="0" borderId="0" xfId="0" applyNumberFormat="1" applyFill="1"/>
    <xf numFmtId="0" fontId="18" fillId="0" borderId="0" xfId="35" applyFont="1" applyFill="1" applyBorder="1" applyAlignment="1" applyProtection="1">
      <alignment horizontal="center"/>
      <protection/>
    </xf>
    <xf numFmtId="0" fontId="18" fillId="16" borderId="42" xfId="35" applyFont="1" applyFill="1" applyBorder="1" applyAlignment="1" applyProtection="1">
      <alignment horizontal="center"/>
      <protection/>
    </xf>
    <xf numFmtId="0" fontId="18" fillId="16" borderId="43" xfId="35" applyFont="1" applyFill="1" applyBorder="1" applyAlignment="1" applyProtection="1">
      <alignment horizontal="center"/>
      <protection/>
    </xf>
    <xf numFmtId="0" fontId="18" fillId="0" borderId="0" xfId="35" applyFont="1" applyFill="1" applyAlignment="1" applyProtection="1">
      <alignment horizontal="left" wrapText="1"/>
      <protection/>
    </xf>
    <xf numFmtId="0" fontId="18" fillId="0" borderId="0" xfId="35" applyFont="1" applyFill="1" applyBorder="1" applyAlignment="1" applyProtection="1">
      <alignment horizontal="left" wrapText="1"/>
      <protection/>
    </xf>
    <xf numFmtId="0" fontId="18" fillId="0" borderId="0" xfId="0" applyFont="1" applyAlignment="1">
      <alignment horizontal="left" wrapText="1"/>
    </xf>
    <xf numFmtId="0" fontId="18" fillId="0" borderId="0" xfId="35" applyNumberFormat="1" applyFont="1" applyFill="1" applyAlignment="1" applyProtection="1">
      <alignment horizontal="left" wrapText="1"/>
      <protection/>
    </xf>
    <xf numFmtId="0" fontId="18" fillId="0" borderId="0" xfId="35" applyFont="1" applyAlignment="1">
      <alignment horizontal="left" wrapText="1"/>
      <protection/>
    </xf>
    <xf numFmtId="0" fontId="4" fillId="0" borderId="0" xfId="0" applyFont="1" applyFill="1" applyBorder="1" applyAlignment="1">
      <alignment horizontal="center"/>
    </xf>
    <xf numFmtId="0" fontId="5" fillId="0" borderId="0" xfId="0" applyFont="1" applyFill="1" applyBorder="1" applyAlignment="1">
      <alignment wrapText="1"/>
    </xf>
    <xf numFmtId="0" fontId="5" fillId="0" borderId="0" xfId="0" applyFont="1" applyBorder="1" applyAlignment="1">
      <alignment wrapText="1"/>
    </xf>
    <xf numFmtId="0" fontId="9" fillId="0" borderId="0" xfId="0" applyFont="1" applyBorder="1" applyAlignment="1">
      <alignment horizontal="center"/>
    </xf>
    <xf numFmtId="0" fontId="10" fillId="0" borderId="0" xfId="0" applyFont="1" applyBorder="1" applyAlignment="1">
      <alignment/>
    </xf>
    <xf numFmtId="0" fontId="9" fillId="0" borderId="0" xfId="0" applyFont="1" applyFill="1" applyBorder="1" applyAlignment="1">
      <alignment horizontal="center"/>
    </xf>
    <xf numFmtId="0" fontId="9" fillId="0" borderId="0" xfId="35" applyFont="1" applyAlignment="1">
      <alignment horizontal="center"/>
      <protection/>
    </xf>
    <xf numFmtId="0" fontId="9" fillId="0" borderId="0" xfId="35" applyFont="1" applyFill="1" applyBorder="1" applyAlignment="1">
      <alignment horizontal="center"/>
      <protection/>
    </xf>
    <xf numFmtId="0" fontId="10" fillId="0" borderId="0" xfId="35" applyFont="1" applyAlignment="1">
      <alignment/>
      <protection/>
    </xf>
    <xf numFmtId="0" fontId="4" fillId="0" borderId="0" xfId="0" applyFont="1" applyBorder="1" applyAlignment="1">
      <alignment horizontal="right"/>
    </xf>
    <xf numFmtId="0" fontId="90" fillId="0" borderId="71" xfId="361" applyFont="1" applyBorder="1" applyAlignment="1">
      <alignment horizontal="center" vertical="center"/>
      <protection/>
    </xf>
    <xf numFmtId="0" fontId="90" fillId="0" borderId="27" xfId="361" applyFont="1" applyBorder="1" applyAlignment="1">
      <alignment horizontal="center" vertical="center"/>
      <protection/>
    </xf>
    <xf numFmtId="0" fontId="90" fillId="0" borderId="75" xfId="361" applyFont="1" applyBorder="1" applyAlignment="1">
      <alignment horizontal="center" vertical="center"/>
      <protection/>
    </xf>
    <xf numFmtId="0" fontId="90" fillId="0" borderId="70" xfId="361" applyFont="1" applyBorder="1" applyAlignment="1">
      <alignment horizontal="center" vertical="center" wrapText="1"/>
      <protection/>
    </xf>
    <xf numFmtId="0" fontId="90" fillId="0" borderId="30" xfId="361" applyFont="1" applyBorder="1" applyAlignment="1">
      <alignment horizontal="center" vertical="center" wrapText="1"/>
      <protection/>
    </xf>
    <xf numFmtId="0" fontId="90" fillId="0" borderId="68" xfId="361" applyFont="1" applyBorder="1" applyAlignment="1">
      <alignment horizontal="center" vertical="center" wrapText="1"/>
      <protection/>
    </xf>
    <xf numFmtId="0" fontId="91" fillId="0" borderId="70" xfId="361" applyFont="1" applyBorder="1" applyAlignment="1">
      <alignment horizontal="center" vertical="center"/>
      <protection/>
    </xf>
    <xf numFmtId="0" fontId="91" fillId="0" borderId="30" xfId="361" applyFont="1" applyBorder="1" applyAlignment="1">
      <alignment horizontal="center" vertical="center"/>
      <protection/>
    </xf>
    <xf numFmtId="0" fontId="9" fillId="0" borderId="0" xfId="20" applyFont="1" applyAlignment="1">
      <alignment horizontal="center"/>
      <protection/>
    </xf>
    <xf numFmtId="0" fontId="9" fillId="0" borderId="0" xfId="20" applyFont="1" applyAlignment="1">
      <alignment/>
      <protection/>
    </xf>
    <xf numFmtId="0" fontId="5" fillId="0" borderId="0" xfId="20" applyFont="1" applyFill="1" applyAlignment="1">
      <alignment vertical="top" wrapText="1"/>
      <protection/>
    </xf>
    <xf numFmtId="0" fontId="5" fillId="0" borderId="0" xfId="20" applyFont="1" applyFill="1" applyAlignment="1">
      <alignment vertical="center" wrapText="1"/>
      <protection/>
    </xf>
    <xf numFmtId="0" fontId="0" fillId="0" borderId="0" xfId="0" applyAlignment="1">
      <alignment/>
    </xf>
    <xf numFmtId="0" fontId="4" fillId="0" borderId="2" xfId="35" applyFont="1" applyFill="1" applyBorder="1" applyAlignment="1">
      <alignment horizontal="center" wrapText="1"/>
      <protection/>
    </xf>
    <xf numFmtId="0" fontId="4" fillId="0" borderId="39" xfId="35" applyFont="1" applyFill="1" applyBorder="1" applyAlignment="1">
      <alignment horizontal="center" wrapText="1"/>
      <protection/>
    </xf>
    <xf numFmtId="0" fontId="4" fillId="0" borderId="0" xfId="35" applyFont="1" applyFill="1" applyBorder="1" applyAlignment="1">
      <alignment horizontal="center" wrapText="1"/>
      <protection/>
    </xf>
    <xf numFmtId="0" fontId="4" fillId="0" borderId="37" xfId="35" applyFont="1" applyFill="1" applyBorder="1" applyAlignment="1">
      <alignment horizontal="center" wrapText="1"/>
      <protection/>
    </xf>
    <xf numFmtId="0" fontId="4" fillId="61" borderId="29" xfId="35" applyFont="1" applyFill="1" applyBorder="1" applyAlignment="1">
      <alignment horizontal="center" wrapText="1"/>
      <protection/>
    </xf>
    <xf numFmtId="0" fontId="4" fillId="61" borderId="44" xfId="35" applyFont="1" applyFill="1" applyBorder="1" applyAlignment="1">
      <alignment horizontal="center" wrapText="1"/>
      <protection/>
    </xf>
    <xf numFmtId="0" fontId="9" fillId="0" borderId="0" xfId="35" applyNumberFormat="1" applyFont="1" applyFill="1" applyBorder="1" applyAlignment="1">
      <alignment horizontal="center"/>
      <protection/>
    </xf>
    <xf numFmtId="0" fontId="4" fillId="61" borderId="42" xfId="35" applyFont="1" applyFill="1" applyBorder="1" applyAlignment="1">
      <alignment horizontal="center" wrapText="1"/>
      <protection/>
    </xf>
    <xf numFmtId="0" fontId="4" fillId="61" borderId="43" xfId="35" applyFont="1" applyFill="1" applyBorder="1" applyAlignment="1">
      <alignment horizontal="center" wrapText="1"/>
      <protection/>
    </xf>
    <xf numFmtId="37" fontId="4" fillId="64" borderId="27" xfId="35" applyNumberFormat="1" applyFont="1" applyFill="1" applyBorder="1" applyAlignment="1">
      <alignment horizontal="center"/>
      <protection/>
    </xf>
    <xf numFmtId="37" fontId="4" fillId="64" borderId="76" xfId="35" applyNumberFormat="1" applyFont="1" applyFill="1" applyBorder="1" applyAlignment="1">
      <alignment horizontal="center"/>
      <protection/>
    </xf>
    <xf numFmtId="37" fontId="4" fillId="0" borderId="0" xfId="35" applyNumberFormat="1" applyFont="1" applyBorder="1" applyAlignment="1">
      <alignment horizontal="center"/>
      <protection/>
    </xf>
    <xf numFmtId="37" fontId="4" fillId="64" borderId="56" xfId="35" applyNumberFormat="1" applyFont="1" applyFill="1" applyBorder="1" applyAlignment="1">
      <alignment horizontal="center"/>
      <protection/>
    </xf>
    <xf numFmtId="37" fontId="4" fillId="64" borderId="53" xfId="35" applyNumberFormat="1" applyFont="1" applyFill="1" applyBorder="1" applyAlignment="1">
      <alignment horizontal="center"/>
      <protection/>
    </xf>
    <xf numFmtId="37" fontId="4" fillId="64" borderId="77" xfId="35" applyNumberFormat="1" applyFont="1" applyFill="1" applyBorder="1" applyAlignment="1">
      <alignment horizontal="center"/>
      <protection/>
    </xf>
    <xf numFmtId="37" fontId="4" fillId="0" borderId="29" xfId="35" applyNumberFormat="1" applyFont="1" applyFill="1" applyBorder="1" applyAlignment="1">
      <alignment horizontal="center"/>
      <protection/>
    </xf>
    <xf numFmtId="37" fontId="4" fillId="0" borderId="44" xfId="35" applyNumberFormat="1" applyFont="1" applyFill="1" applyBorder="1" applyAlignment="1">
      <alignment horizontal="center"/>
      <protection/>
    </xf>
    <xf numFmtId="0" fontId="0" fillId="0" borderId="0" xfId="0" applyFont="1" applyAlignment="1">
      <alignment horizontal="center"/>
    </xf>
    <xf numFmtId="10" fontId="0" fillId="0" borderId="0" xfId="15" applyNumberFormat="1" applyFont="1" applyAlignment="1">
      <alignment horizontal="center"/>
    </xf>
    <xf numFmtId="2" fontId="12" fillId="0" borderId="0" xfId="0" applyNumberFormat="1" applyFont="1" applyAlignment="1">
      <alignment horizontal="left" wrapText="1"/>
    </xf>
    <xf numFmtId="0" fontId="12" fillId="0" borderId="0" xfId="0" applyFont="1" applyAlignment="1">
      <alignment horizontal="left"/>
    </xf>
    <xf numFmtId="0" fontId="5" fillId="0" borderId="0" xfId="0" applyFont="1" applyAlignment="1">
      <alignment horizontal="left" wrapText="1"/>
    </xf>
    <xf numFmtId="0" fontId="3"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left" vertical="top" wrapText="1"/>
    </xf>
    <xf numFmtId="0" fontId="9" fillId="0" borderId="0" xfId="758" applyNumberFormat="1" applyFont="1" applyAlignment="1" applyProtection="1">
      <alignment horizontal="center"/>
      <protection locked="0"/>
    </xf>
    <xf numFmtId="0" fontId="9" fillId="0" borderId="0" xfId="0" applyFont="1" applyAlignment="1">
      <alignment horizontal="center"/>
    </xf>
    <xf numFmtId="10" fontId="9" fillId="0" borderId="0" xfId="15" applyNumberFormat="1" applyFont="1" applyAlignment="1">
      <alignment horizontal="center"/>
    </xf>
    <xf numFmtId="10" fontId="9" fillId="0" borderId="0" xfId="15" applyNumberFormat="1" applyFont="1" applyAlignment="1">
      <alignment horizontal="center"/>
    </xf>
  </cellXfs>
  <cellStyles count="10338">
    <cellStyle name="Normal" xfId="0" builtinId="0"/>
    <cellStyle name="Percent" xfId="15" builtinId="5"/>
    <cellStyle name="Currency" xfId="16" builtinId="4"/>
    <cellStyle name="Currency [0]" xfId="17" builtinId="7"/>
    <cellStyle name="Comma" xfId="18" builtinId="3"/>
    <cellStyle name="Comma [0]" xfId="19" builtinId="6"/>
    <cellStyle name="A3 297 x 420 mm" xfId="20"/>
    <cellStyle name="Comma 2" xfId="21"/>
    <cellStyle name="Config Data" xfId="22"/>
    <cellStyle name="Currency 3" xfId="23"/>
    <cellStyle name="Euro" xfId="24"/>
    <cellStyle name="Percent 4" xfId="25"/>
    <cellStyle name="PSChar" xfId="26"/>
    <cellStyle name="PSDate" xfId="27"/>
    <cellStyle name="PSDec" xfId="28"/>
    <cellStyle name="PSHeading" xfId="29"/>
    <cellStyle name="PSInt" xfId="30"/>
    <cellStyle name="PSSpacer" xfId="31"/>
    <cellStyle name="SECTION" xfId="32"/>
    <cellStyle name="System Defined" xfId="33"/>
    <cellStyle name="Currency 2" xfId="34"/>
    <cellStyle name="A3 297 x 420 mm 2" xfId="35"/>
    <cellStyle name="Comma 3" xfId="36"/>
    <cellStyle name="Normal 2" xfId="37"/>
    <cellStyle name="Comma 4" xfId="38"/>
    <cellStyle name="_x0013_" xfId="39"/>
    <cellStyle name="Comma 2 3 2" xfId="40"/>
    <cellStyle name="Comma 2 3" xfId="41"/>
    <cellStyle name="Comma 3 3" xfId="42"/>
    <cellStyle name="Currency 4" xfId="43"/>
    <cellStyle name="Comma 10 2" xfId="44"/>
    <cellStyle name="Normal 40" xfId="45"/>
    <cellStyle name="Percent 2" xfId="46"/>
    <cellStyle name="Comma 5" xfId="47"/>
    <cellStyle name="Normal 3" xfId="48"/>
    <cellStyle name="Comma 6" xfId="49"/>
    <cellStyle name="A3 297 x 420 mm 2 2" xfId="50"/>
    <cellStyle name="Comma [0] 2" xfId="51"/>
    <cellStyle name="Comma 11" xfId="52"/>
    <cellStyle name="Normal 4" xfId="53"/>
    <cellStyle name="Normal 68" xfId="54"/>
    <cellStyle name="Normal 10" xfId="55"/>
    <cellStyle name="Normal 5" xfId="56"/>
    <cellStyle name="Comma 2 3 3" xfId="57"/>
    <cellStyle name="Comma 7" xfId="58"/>
    <cellStyle name="_x0013_ 2" xfId="59"/>
    <cellStyle name="_x0013_ 2 2" xfId="60"/>
    <cellStyle name="_x0013_ 3" xfId="61"/>
    <cellStyle name="_x0013_ 4" xfId="62"/>
    <cellStyle name="_x0013__2012-ETn-CS-MDS-16-Northeast Grid-PEEM CWIP in RB 10-7-2011 CRC" xfId="63"/>
    <cellStyle name="_x0013__2013 ED Capital Projects By Month" xfId="64"/>
    <cellStyle name="_x0013__Input" xfId="65"/>
    <cellStyle name="_x0013__TPIS Report_April_2013" xfId="66"/>
    <cellStyle name="_x0013__TPIS Report_February_2013Ver2" xfId="67"/>
    <cellStyle name="_x0013__TPIS Report_May_2013-v2 (2)" xfId="68"/>
    <cellStyle name="_x0013__TPIS TLC_Gloria File" xfId="69"/>
    <cellStyle name="_x0013__TPIS TLC_Gloria File rev2" xfId="70"/>
    <cellStyle name="_x0013__TPIS TLC_Gloria File rev2 (3)" xfId="71"/>
    <cellStyle name="20% - Accent1 2" xfId="72"/>
    <cellStyle name="20% - Accent1 2 2" xfId="73"/>
    <cellStyle name="20% - Accent1 2 2 2" xfId="74"/>
    <cellStyle name="20% - Accent1 2 2 3" xfId="75"/>
    <cellStyle name="20% - Accent1 2 2 4" xfId="76"/>
    <cellStyle name="20% - Accent1 2 3" xfId="77"/>
    <cellStyle name="20% - Accent1 2 4" xfId="78"/>
    <cellStyle name="20% - Accent1 2 5" xfId="79"/>
    <cellStyle name="20% - Accent2 2" xfId="80"/>
    <cellStyle name="20% - Accent2 2 2" xfId="81"/>
    <cellStyle name="20% - Accent2 2 2 2" xfId="82"/>
    <cellStyle name="20% - Accent2 2 2 3" xfId="83"/>
    <cellStyle name="20% - Accent2 2 2 4" xfId="84"/>
    <cellStyle name="20% - Accent2 2 3" xfId="85"/>
    <cellStyle name="20% - Accent2 2 4" xfId="86"/>
    <cellStyle name="20% - Accent2 2 5" xfId="87"/>
    <cellStyle name="20% - Accent3 2" xfId="88"/>
    <cellStyle name="20% - Accent3 2 2" xfId="89"/>
    <cellStyle name="20% - Accent3 2 2 2" xfId="90"/>
    <cellStyle name="20% - Accent3 2 2 3" xfId="91"/>
    <cellStyle name="20% - Accent3 2 2 4" xfId="92"/>
    <cellStyle name="20% - Accent3 2 3" xfId="93"/>
    <cellStyle name="20% - Accent3 2 4" xfId="94"/>
    <cellStyle name="20% - Accent3 2 5" xfId="95"/>
    <cellStyle name="20% - Accent4 2" xfId="96"/>
    <cellStyle name="20% - Accent4 2 2" xfId="97"/>
    <cellStyle name="20% - Accent4 2 2 2" xfId="98"/>
    <cellStyle name="20% - Accent4 2 2 3" xfId="99"/>
    <cellStyle name="20% - Accent4 2 2 4" xfId="100"/>
    <cellStyle name="20% - Accent4 2 3" xfId="101"/>
    <cellStyle name="20% - Accent4 2 4" xfId="102"/>
    <cellStyle name="20% - Accent4 2 5" xfId="103"/>
    <cellStyle name="20% - Accent5 2" xfId="104"/>
    <cellStyle name="20% - Accent5 2 2" xfId="105"/>
    <cellStyle name="20% - Accent5 2 2 2" xfId="106"/>
    <cellStyle name="20% - Accent5 2 2 3" xfId="107"/>
    <cellStyle name="20% - Accent5 2 2 4" xfId="108"/>
    <cellStyle name="20% - Accent5 2 3" xfId="109"/>
    <cellStyle name="20% - Accent5 2 4" xfId="110"/>
    <cellStyle name="20% - Accent5 2 5" xfId="111"/>
    <cellStyle name="20% - Accent6 2" xfId="112"/>
    <cellStyle name="20% - Accent6 2 2" xfId="113"/>
    <cellStyle name="20% - Accent6 2 2 2" xfId="114"/>
    <cellStyle name="20% - Accent6 2 3" xfId="115"/>
    <cellStyle name="20% - Accent6 2 4" xfId="116"/>
    <cellStyle name="40% - Accent1 2" xfId="117"/>
    <cellStyle name="40% - Accent1 2 2" xfId="118"/>
    <cellStyle name="40% - Accent1 2 2 2" xfId="119"/>
    <cellStyle name="40% - Accent1 2 2 3" xfId="120"/>
    <cellStyle name="40% - Accent1 2 2 4" xfId="121"/>
    <cellStyle name="40% - Accent1 2 3" xfId="122"/>
    <cellStyle name="40% - Accent1 2 4" xfId="123"/>
    <cellStyle name="40% - Accent1 2 5" xfId="124"/>
    <cellStyle name="40% - Accent2 2" xfId="125"/>
    <cellStyle name="40% - Accent2 2 2" xfId="126"/>
    <cellStyle name="40% - Accent2 2 2 2" xfId="127"/>
    <cellStyle name="40% - Accent2 2 3" xfId="128"/>
    <cellStyle name="40% - Accent2 2 4" xfId="129"/>
    <cellStyle name="40% - Accent3 2" xfId="130"/>
    <cellStyle name="40% - Accent3 2 2" xfId="131"/>
    <cellStyle name="40% - Accent3 2 2 2" xfId="132"/>
    <cellStyle name="40% - Accent3 2 2 3" xfId="133"/>
    <cellStyle name="40% - Accent3 2 2 4" xfId="134"/>
    <cellStyle name="40% - Accent3 2 3" xfId="135"/>
    <cellStyle name="40% - Accent3 2 4" xfId="136"/>
    <cellStyle name="40% - Accent3 2 5" xfId="137"/>
    <cellStyle name="40% - Accent4 2" xfId="138"/>
    <cellStyle name="40% - Accent4 2 2" xfId="139"/>
    <cellStyle name="40% - Accent4 2 2 2" xfId="140"/>
    <cellStyle name="40% - Accent4 2 2 3" xfId="141"/>
    <cellStyle name="40% - Accent4 2 2 4" xfId="142"/>
    <cellStyle name="40% - Accent4 2 3" xfId="143"/>
    <cellStyle name="40% - Accent4 2 4" xfId="144"/>
    <cellStyle name="40% - Accent4 2 5" xfId="145"/>
    <cellStyle name="40% - Accent5 2" xfId="146"/>
    <cellStyle name="40% - Accent5 2 2" xfId="147"/>
    <cellStyle name="40% - Accent5 2 2 2" xfId="148"/>
    <cellStyle name="40% - Accent5 2 3" xfId="149"/>
    <cellStyle name="40% - Accent5 2 4" xfId="150"/>
    <cellStyle name="40% - Accent6 2" xfId="151"/>
    <cellStyle name="40% - Accent6 2 2" xfId="152"/>
    <cellStyle name="40% - Accent6 2 2 2" xfId="153"/>
    <cellStyle name="40% - Accent6 2 2 3" xfId="154"/>
    <cellStyle name="40% - Accent6 2 2 4" xfId="155"/>
    <cellStyle name="40% - Accent6 2 3" xfId="156"/>
    <cellStyle name="40% - Accent6 2 4" xfId="157"/>
    <cellStyle name="40% - Accent6 2 5" xfId="158"/>
    <cellStyle name="60% - Accent1 2" xfId="159"/>
    <cellStyle name="60% - Accent1 2 2" xfId="160"/>
    <cellStyle name="60% - Accent1 2 3" xfId="161"/>
    <cellStyle name="60% - Accent1 2 4" xfId="162"/>
    <cellStyle name="60% - Accent2 2" xfId="163"/>
    <cellStyle name="60% - Accent2 2 2" xfId="164"/>
    <cellStyle name="60% - Accent2 2 3" xfId="165"/>
    <cellStyle name="60% - Accent3 2" xfId="166"/>
    <cellStyle name="60% - Accent3 2 2" xfId="167"/>
    <cellStyle name="60% - Accent3 2 3" xfId="168"/>
    <cellStyle name="60% - Accent3 2 4" xfId="169"/>
    <cellStyle name="60% - Accent4 2" xfId="170"/>
    <cellStyle name="60% - Accent4 2 2" xfId="171"/>
    <cellStyle name="60% - Accent4 2 3" xfId="172"/>
    <cellStyle name="60% - Accent4 2 4" xfId="173"/>
    <cellStyle name="60% - Accent5 2" xfId="174"/>
    <cellStyle name="60% - Accent5 2 2" xfId="175"/>
    <cellStyle name="60% - Accent5 2 3" xfId="176"/>
    <cellStyle name="60% - Accent6 2" xfId="177"/>
    <cellStyle name="60% - Accent6 2 2" xfId="178"/>
    <cellStyle name="60% - Accent6 2 3" xfId="179"/>
    <cellStyle name="60% - Accent6 2 4" xfId="180"/>
    <cellStyle name="Accent1 2" xfId="181"/>
    <cellStyle name="Accent1 2 2" xfId="182"/>
    <cellStyle name="Accent1 2 3" xfId="183"/>
    <cellStyle name="Accent1 2 4" xfId="184"/>
    <cellStyle name="Accent2 2" xfId="185"/>
    <cellStyle name="Accent2 2 2" xfId="186"/>
    <cellStyle name="Accent2 2 3" xfId="187"/>
    <cellStyle name="Accent3 2" xfId="188"/>
    <cellStyle name="Accent3 2 2" xfId="189"/>
    <cellStyle name="Accent3 2 3" xfId="190"/>
    <cellStyle name="Accent4 2" xfId="191"/>
    <cellStyle name="Accent4 2 2" xfId="192"/>
    <cellStyle name="Accent4 2 3" xfId="193"/>
    <cellStyle name="Accent4 2 4" xfId="194"/>
    <cellStyle name="Accent5 2" xfId="195"/>
    <cellStyle name="Accent5 2 2" xfId="196"/>
    <cellStyle name="Accent5 2 3" xfId="197"/>
    <cellStyle name="Accent6 2" xfId="198"/>
    <cellStyle name="Accent6 2 2" xfId="199"/>
    <cellStyle name="Accent6 2 3" xfId="200"/>
    <cellStyle name="Bad 2" xfId="201"/>
    <cellStyle name="Bad 2 2" xfId="202"/>
    <cellStyle name="Bad 2 3" xfId="203"/>
    <cellStyle name="Calculation 2" xfId="204"/>
    <cellStyle name="Calculation 2 2" xfId="205"/>
    <cellStyle name="Calculation 2 3" xfId="206"/>
    <cellStyle name="Calculation 2 4" xfId="207"/>
    <cellStyle name="Check Cell 2" xfId="208"/>
    <cellStyle name="Check Cell 2 2" xfId="209"/>
    <cellStyle name="Check Cell 2 3" xfId="210"/>
    <cellStyle name="Comma 10" xfId="211"/>
    <cellStyle name="Comma 11 2" xfId="212"/>
    <cellStyle name="Comma 12" xfId="213"/>
    <cellStyle name="Comma 12 2" xfId="214"/>
    <cellStyle name="Comma 13" xfId="215"/>
    <cellStyle name="Comma 13 2" xfId="216"/>
    <cellStyle name="Comma 2 2" xfId="217"/>
    <cellStyle name="Comma 2 2 2" xfId="218"/>
    <cellStyle name="Comma 2 2 2 2" xfId="219"/>
    <cellStyle name="Comma 2 2 3" xfId="220"/>
    <cellStyle name="Comma 2 2 4" xfId="221"/>
    <cellStyle name="Comma 2 4" xfId="222"/>
    <cellStyle name="Comma 2 5" xfId="223"/>
    <cellStyle name="Comma 2 5 2" xfId="224"/>
    <cellStyle name="Comma 2 6" xfId="225"/>
    <cellStyle name="Comma 2 7" xfId="226"/>
    <cellStyle name="Comma 2_TPIS Report_April_2013" xfId="227"/>
    <cellStyle name="Comma 3 2" xfId="228"/>
    <cellStyle name="Comma 3 2 2" xfId="229"/>
    <cellStyle name="Comma 3 2 3" xfId="230"/>
    <cellStyle name="Comma 3 4" xfId="231"/>
    <cellStyle name="Comma 4 2" xfId="232"/>
    <cellStyle name="Comma 4 2 2" xfId="233"/>
    <cellStyle name="Comma 4 3" xfId="234"/>
    <cellStyle name="Comma 4 4" xfId="235"/>
    <cellStyle name="Comma 5 2" xfId="236"/>
    <cellStyle name="Comma 5 2 2" xfId="237"/>
    <cellStyle name="Comma 5 2 3" xfId="238"/>
    <cellStyle name="Comma 5 2 3 2" xfId="239"/>
    <cellStyle name="Comma 5 2 4" xfId="240"/>
    <cellStyle name="Comma 5 2 5" xfId="241"/>
    <cellStyle name="Comma 5 3" xfId="242"/>
    <cellStyle name="Comma 5 3 2" xfId="243"/>
    <cellStyle name="Comma 5 3 2 2" xfId="244"/>
    <cellStyle name="Comma 5 3 3" xfId="245"/>
    <cellStyle name="Comma 5 3 4" xfId="246"/>
    <cellStyle name="Comma 5 4" xfId="247"/>
    <cellStyle name="Comma 5 5" xfId="248"/>
    <cellStyle name="Comma 5 5 2" xfId="249"/>
    <cellStyle name="Comma 5 6" xfId="250"/>
    <cellStyle name="Comma 5 7" xfId="251"/>
    <cellStyle name="Comma 6 2" xfId="252"/>
    <cellStyle name="Comma 7 2" xfId="253"/>
    <cellStyle name="Comma 7 3" xfId="254"/>
    <cellStyle name="Comma 7 3 2" xfId="255"/>
    <cellStyle name="Comma 8" xfId="256"/>
    <cellStyle name="Comma 9" xfId="257"/>
    <cellStyle name="Comma 9 2" xfId="258"/>
    <cellStyle name="Comma0" xfId="259"/>
    <cellStyle name="Currency 2 2" xfId="260"/>
    <cellStyle name="Currency 2 3" xfId="261"/>
    <cellStyle name="Currency 2 3 2" xfId="262"/>
    <cellStyle name="Currency 2 4" xfId="263"/>
    <cellStyle name="Currency 3 2" xfId="264"/>
    <cellStyle name="Currency 4 2" xfId="265"/>
    <cellStyle name="Currency 4 3" xfId="266"/>
    <cellStyle name="Currency 4 3 2" xfId="267"/>
    <cellStyle name="Currency 5" xfId="268"/>
    <cellStyle name="Currency 5 2" xfId="269"/>
    <cellStyle name="Currency 6" xfId="270"/>
    <cellStyle name="Currency 6 2" xfId="271"/>
    <cellStyle name="Currency 7" xfId="272"/>
    <cellStyle name="Currency 8" xfId="273"/>
    <cellStyle name="Currency 9" xfId="274"/>
    <cellStyle name="Currency0" xfId="275"/>
    <cellStyle name="Date" xfId="276"/>
    <cellStyle name="date1" xfId="277"/>
    <cellStyle name="Explanatory Text 2" xfId="278"/>
    <cellStyle name="Explanatory Text 2 2" xfId="279"/>
    <cellStyle name="Explanatory Text 2 3" xfId="280"/>
    <cellStyle name="Fixed" xfId="281"/>
    <cellStyle name="Good 2" xfId="282"/>
    <cellStyle name="Good 2 2" xfId="283"/>
    <cellStyle name="Good 2 3" xfId="284"/>
    <cellStyle name="head1" xfId="285"/>
    <cellStyle name="Heading 1 2" xfId="286"/>
    <cellStyle name="Heading 1 2 2" xfId="287"/>
    <cellStyle name="Heading 2 2" xfId="288"/>
    <cellStyle name="Heading 2 2 2" xfId="289"/>
    <cellStyle name="Heading 2 2 3" xfId="290"/>
    <cellStyle name="Heading 2 2 4" xfId="291"/>
    <cellStyle name="Heading 3 2" xfId="292"/>
    <cellStyle name="Heading 3 2 2" xfId="293"/>
    <cellStyle name="Heading 3 2 3" xfId="294"/>
    <cellStyle name="Heading 3 2 4" xfId="295"/>
    <cellStyle name="Heading 4 2" xfId="296"/>
    <cellStyle name="Heading 4 2 2" xfId="297"/>
    <cellStyle name="Hyperlink 2" xfId="298"/>
    <cellStyle name="Input 2" xfId="299"/>
    <cellStyle name="Input 2 2" xfId="300"/>
    <cellStyle name="Input 2 3" xfId="301"/>
    <cellStyle name="Linked Cell 2" xfId="302"/>
    <cellStyle name="Millares_repenerconsomarzobis" xfId="303"/>
    <cellStyle name="Neutral 2" xfId="304"/>
    <cellStyle name="Normal - Style1" xfId="305"/>
    <cellStyle name="Normal 11" xfId="306"/>
    <cellStyle name="Normal 12" xfId="307"/>
    <cellStyle name="Normal 13" xfId="308"/>
    <cellStyle name="Normal 14" xfId="309"/>
    <cellStyle name="Normal 15" xfId="310"/>
    <cellStyle name="Normal 16" xfId="311"/>
    <cellStyle name="Normal 17" xfId="312"/>
    <cellStyle name="Normal 18" xfId="313"/>
    <cellStyle name="Normal 19" xfId="314"/>
    <cellStyle name="Normal 19 2" xfId="315"/>
    <cellStyle name="Normal 2 2" xfId="316"/>
    <cellStyle name="Normal 2 3" xfId="317"/>
    <cellStyle name="Normal 2 3 2" xfId="318"/>
    <cellStyle name="Normal 2 3 3" xfId="319"/>
    <cellStyle name="Normal 2 4" xfId="320"/>
    <cellStyle name="Normal 2 4 2" xfId="321"/>
    <cellStyle name="Normal 2 5" xfId="322"/>
    <cellStyle name="Normal 20" xfId="323"/>
    <cellStyle name="Normal 20 2" xfId="324"/>
    <cellStyle name="Normal 21" xfId="325"/>
    <cellStyle name="Normal 21 2" xfId="326"/>
    <cellStyle name="Normal 22" xfId="327"/>
    <cellStyle name="Normal 22 2" xfId="328"/>
    <cellStyle name="Normal 23" xfId="329"/>
    <cellStyle name="Normal 23 2" xfId="330"/>
    <cellStyle name="Normal 24" xfId="331"/>
    <cellStyle name="Normal 24 2" xfId="332"/>
    <cellStyle name="Normal 25" xfId="333"/>
    <cellStyle name="Normal 25 2" xfId="334"/>
    <cellStyle name="Normal 26" xfId="335"/>
    <cellStyle name="Normal 26 2" xfId="336"/>
    <cellStyle name="Normal 27" xfId="337"/>
    <cellStyle name="Normal 27 2" xfId="338"/>
    <cellStyle name="Normal 28" xfId="339"/>
    <cellStyle name="Normal 28 2" xfId="340"/>
    <cellStyle name="Normal 29" xfId="341"/>
    <cellStyle name="Normal 29 2" xfId="342"/>
    <cellStyle name="Normal 3 2" xfId="343"/>
    <cellStyle name="Normal 3 2 2" xfId="344"/>
    <cellStyle name="Normal 3 2 2 2" xfId="345"/>
    <cellStyle name="Normal 3 2 3" xfId="346"/>
    <cellStyle name="Normal 3 3" xfId="347"/>
    <cellStyle name="Normal 3 3 2" xfId="348"/>
    <cellStyle name="Normal 3 4" xfId="349"/>
    <cellStyle name="Normal 3 5" xfId="350"/>
    <cellStyle name="Normal 3 6" xfId="351"/>
    <cellStyle name="Normal 30" xfId="352"/>
    <cellStyle name="Normal 31" xfId="353"/>
    <cellStyle name="Normal 32" xfId="354"/>
    <cellStyle name="Normal 33" xfId="355"/>
    <cellStyle name="Normal 4 2" xfId="356"/>
    <cellStyle name="Normal 5 2" xfId="357"/>
    <cellStyle name="Normal 5 3" xfId="358"/>
    <cellStyle name="Normal 6" xfId="359"/>
    <cellStyle name="Normal 7" xfId="360"/>
    <cellStyle name="Normal 8" xfId="361"/>
    <cellStyle name="Normal 9" xfId="362"/>
    <cellStyle name="Normal$" xfId="363"/>
    <cellStyle name="Normal1" xfId="364"/>
    <cellStyle name="Normal9" xfId="365"/>
    <cellStyle name="Note 2" xfId="366"/>
    <cellStyle name="Note 2 2" xfId="367"/>
    <cellStyle name="Note 2 2 2" xfId="368"/>
    <cellStyle name="Note 2 2 3" xfId="369"/>
    <cellStyle name="Note 2 2 4" xfId="370"/>
    <cellStyle name="Note 2 3" xfId="371"/>
    <cellStyle name="Note 2 4" xfId="372"/>
    <cellStyle name="Note 3" xfId="373"/>
    <cellStyle name="Note 4" xfId="374"/>
    <cellStyle name="Output 2" xfId="375"/>
    <cellStyle name="Output 2 2" xfId="376"/>
    <cellStyle name="Output 2 3" xfId="377"/>
    <cellStyle name="Output 2 4" xfId="378"/>
    <cellStyle name="Percent 2 2" xfId="379"/>
    <cellStyle name="Percent 3" xfId="380"/>
    <cellStyle name="Percent 3 2" xfId="381"/>
    <cellStyle name="Percent 4 2" xfId="382"/>
    <cellStyle name="Percent 5" xfId="383"/>
    <cellStyle name="Percent 5 2" xfId="384"/>
    <cellStyle name="Percent 5 2 2" xfId="385"/>
    <cellStyle name="Percent 5 3" xfId="386"/>
    <cellStyle name="Percent 6" xfId="387"/>
    <cellStyle name="Percent 6 2" xfId="388"/>
    <cellStyle name="Percent 6 3" xfId="389"/>
    <cellStyle name="Percent 6 4" xfId="390"/>
    <cellStyle name="Percent 7" xfId="391"/>
    <cellStyle name="QUESTION" xfId="392"/>
    <cellStyle name="SAPBEXaggData" xfId="393"/>
    <cellStyle name="SAPBEXaggItem" xfId="394"/>
    <cellStyle name="SAPBEXaggItemX" xfId="395"/>
    <cellStyle name="SAPBEXchaText" xfId="396"/>
    <cellStyle name="SAPBEXchaText 2" xfId="397"/>
    <cellStyle name="SAPBEXchaText 2 2" xfId="398"/>
    <cellStyle name="SAPBEXchaText 3" xfId="399"/>
    <cellStyle name="SAPBEXHLevel2 11 2" xfId="400"/>
    <cellStyle name="SAPBEXHLevel2 12 2" xfId="401"/>
    <cellStyle name="SAPBEXstdData" xfId="402"/>
    <cellStyle name="SAPBEXstdItem" xfId="403"/>
    <cellStyle name="SAPBEXstdItem 2" xfId="404"/>
    <cellStyle name="SAPBEXstdItem 2 2" xfId="405"/>
    <cellStyle name="SAPBEXstdItem 3" xfId="406"/>
    <cellStyle name="SAPBEXstdItemX" xfId="407"/>
    <cellStyle name="SAPBEXstdItemX 2" xfId="408"/>
    <cellStyle name="SAPBEXstdItemX 2 2" xfId="409"/>
    <cellStyle name="SAPBEXstdItemX 3" xfId="410"/>
    <cellStyle name="Style 1" xfId="411"/>
    <cellStyle name="TemplateStyle" xfId="412"/>
    <cellStyle name="Title 2" xfId="413"/>
    <cellStyle name="Title 2 2" xfId="414"/>
    <cellStyle name="Total 2" xfId="415"/>
    <cellStyle name="Total 2 2" xfId="416"/>
    <cellStyle name="Total 2 3" xfId="417"/>
    <cellStyle name="Total 2 4" xfId="418"/>
    <cellStyle name="Warning Text 2" xfId="419"/>
    <cellStyle name="Warning Text 2 2" xfId="420"/>
    <cellStyle name="Warning Text 2 3" xfId="421"/>
    <cellStyle name="Normal 34" xfId="422"/>
    <cellStyle name="Normal 35" xfId="423"/>
    <cellStyle name="Normal 2 6" xfId="424"/>
    <cellStyle name="Percent 2 3" xfId="425"/>
    <cellStyle name="Comma 5 8" xfId="426"/>
    <cellStyle name="Normal 3 7" xfId="427"/>
    <cellStyle name="Comma 6 3" xfId="428"/>
    <cellStyle name="Normal 36" xfId="429"/>
    <cellStyle name="Comma 14" xfId="430"/>
    <cellStyle name="Normal 37" xfId="431"/>
    <cellStyle name="Comma 15" xfId="432"/>
    <cellStyle name="Normal 38" xfId="433"/>
    <cellStyle name="Comma 16" xfId="434"/>
    <cellStyle name="Percent 2 2 2" xfId="435"/>
    <cellStyle name="Normal 39" xfId="436"/>
    <cellStyle name="Normal 41" xfId="437"/>
    <cellStyle name="Normal 43" xfId="438"/>
    <cellStyle name="Normal 42" xfId="439"/>
    <cellStyle name="Normal 2 7" xfId="440"/>
    <cellStyle name="Percent 2 4" xfId="441"/>
    <cellStyle name="Comma 5 9" xfId="442"/>
    <cellStyle name="Normal 3 8" xfId="443"/>
    <cellStyle name="Comma 6 4" xfId="444"/>
    <cellStyle name="Normal 44" xfId="445"/>
    <cellStyle name="Normal 2 8" xfId="446"/>
    <cellStyle name="Percent 2 5" xfId="447"/>
    <cellStyle name="Comma 5 10" xfId="448"/>
    <cellStyle name="Normal 3 9" xfId="449"/>
    <cellStyle name="Comma 6 5" xfId="450"/>
    <cellStyle name="Comma 10 2 2" xfId="451"/>
    <cellStyle name="Normal 45" xfId="452"/>
    <cellStyle name="Normal 2 9" xfId="453"/>
    <cellStyle name="Percent 2 6" xfId="454"/>
    <cellStyle name="Comma 5 11" xfId="455"/>
    <cellStyle name="Normal 3 10" xfId="456"/>
    <cellStyle name="Comma 6 6" xfId="457"/>
    <cellStyle name="Normal 5 4" xfId="458"/>
    <cellStyle name="Comma 7 4" xfId="459"/>
    <cellStyle name="20% - Accent1 2 2 2 2" xfId="460"/>
    <cellStyle name="20% - Accent1 2 3 2" xfId="461"/>
    <cellStyle name="20% - Accent2 2 2 2 2" xfId="462"/>
    <cellStyle name="20% - Accent2 2 3 2" xfId="463"/>
    <cellStyle name="20% - Accent3 2 2 2 2" xfId="464"/>
    <cellStyle name="20% - Accent3 2 3 2" xfId="465"/>
    <cellStyle name="20% - Accent4 2 2 2 2" xfId="466"/>
    <cellStyle name="20% - Accent4 2 3 2" xfId="467"/>
    <cellStyle name="20% - Accent5 2 2 2 2" xfId="468"/>
    <cellStyle name="20% - Accent5 2 3 2" xfId="469"/>
    <cellStyle name="20% - Accent6 2 2 3" xfId="470"/>
    <cellStyle name="20% - Accent6 2 2 2 2" xfId="471"/>
    <cellStyle name="20% - Accent6 2 3 2" xfId="472"/>
    <cellStyle name="40% - Accent1 2 2 2 2" xfId="473"/>
    <cellStyle name="40% - Accent1 2 3 2" xfId="474"/>
    <cellStyle name="40% - Accent2 2 2 3" xfId="475"/>
    <cellStyle name="40% - Accent2 2 2 2 2" xfId="476"/>
    <cellStyle name="40% - Accent2 2 3 2" xfId="477"/>
    <cellStyle name="40% - Accent3 2 2 2 2" xfId="478"/>
    <cellStyle name="40% - Accent3 2 3 2" xfId="479"/>
    <cellStyle name="40% - Accent4 2 2 2 2" xfId="480"/>
    <cellStyle name="40% - Accent4 2 3 2" xfId="481"/>
    <cellStyle name="40% - Accent5 2 2 3" xfId="482"/>
    <cellStyle name="40% - Accent5 2 2 2 2" xfId="483"/>
    <cellStyle name="40% - Accent5 2 3 2" xfId="484"/>
    <cellStyle name="40% - Accent6 2 2 2 2" xfId="485"/>
    <cellStyle name="40% - Accent6 2 3 2" xfId="486"/>
    <cellStyle name="Comma 10 3" xfId="487"/>
    <cellStyle name="Comma 2 2 2 3" xfId="488"/>
    <cellStyle name="Comma 2 2 3 2" xfId="489"/>
    <cellStyle name="Comma 2 6 2" xfId="490"/>
    <cellStyle name="Comma 5 2 4 2" xfId="491"/>
    <cellStyle name="Comma 5 3 2 3" xfId="492"/>
    <cellStyle name="Comma 5 3 3 2" xfId="493"/>
    <cellStyle name="Comma 5 5 3" xfId="494"/>
    <cellStyle name="Comma 5 6 2" xfId="495"/>
    <cellStyle name="Currency 4 3 3" xfId="496"/>
    <cellStyle name="Currency 6 3" xfId="497"/>
    <cellStyle name="Normal 11 2" xfId="498"/>
    <cellStyle name="Normal 12 2" xfId="499"/>
    <cellStyle name="Normal 13 2" xfId="500"/>
    <cellStyle name="Normal 14 2" xfId="501"/>
    <cellStyle name="Normal 15 2" xfId="502"/>
    <cellStyle name="Normal 2 3 4" xfId="503"/>
    <cellStyle name="Normal 2 3 3 2" xfId="504"/>
    <cellStyle name="Normal 3 2 3 2" xfId="505"/>
    <cellStyle name="Normal 3 3 3" xfId="506"/>
    <cellStyle name="Normal 3 3 2 2" xfId="507"/>
    <cellStyle name="Normal 3 5 2" xfId="508"/>
    <cellStyle name="Note 2 2 5" xfId="509"/>
    <cellStyle name="Note 2 2 2 2" xfId="510"/>
    <cellStyle name="Note 2 2 3 2" xfId="511"/>
    <cellStyle name="Note 2 3 2" xfId="512"/>
    <cellStyle name="Normal 46" xfId="513"/>
    <cellStyle name="Normal 2 6 2" xfId="514"/>
    <cellStyle name="Percent 2 3 2" xfId="515"/>
    <cellStyle name="Comma 5 8 2" xfId="516"/>
    <cellStyle name="Normal 3 7 2" xfId="517"/>
    <cellStyle name="Comma 6 3 2" xfId="518"/>
    <cellStyle name="Normal 36 2" xfId="519"/>
    <cellStyle name="Comma 14 2" xfId="520"/>
    <cellStyle name="Normal 37 2" xfId="521"/>
    <cellStyle name="Comma 15 2" xfId="522"/>
    <cellStyle name="Normal 38 2" xfId="523"/>
    <cellStyle name="Comma 16 2" xfId="524"/>
    <cellStyle name="Percent 2 2 2 2" xfId="525"/>
    <cellStyle name="Normal 2 7 2" xfId="526"/>
    <cellStyle name="Percent 2 4 2" xfId="527"/>
    <cellStyle name="Comma 5 9 2" xfId="528"/>
    <cellStyle name="Normal 3 8 2" xfId="529"/>
    <cellStyle name="Comma 6 4 2" xfId="530"/>
    <cellStyle name="Normal 2 8 2" xfId="531"/>
    <cellStyle name="Percent 2 5 2" xfId="532"/>
    <cellStyle name="Comma 5 10 2" xfId="533"/>
    <cellStyle name="Normal 3 9 2" xfId="534"/>
    <cellStyle name="Comma 6 5 2" xfId="535"/>
    <cellStyle name="Normal 76" xfId="536"/>
    <cellStyle name="Normal 10 2 2 2" xfId="537"/>
    <cellStyle name="Percent 7 2" xfId="538"/>
    <cellStyle name="Normal 4 3" xfId="539"/>
    <cellStyle name="Normal 47" xfId="540"/>
    <cellStyle name="Comma 17" xfId="541"/>
    <cellStyle name="Currency 10" xfId="542"/>
    <cellStyle name="Percent 8" xfId="543"/>
    <cellStyle name="Comma 2 2 5" xfId="544"/>
    <cellStyle name="Normal 2 2 3" xfId="545"/>
    <cellStyle name="Currency 3 4" xfId="546"/>
    <cellStyle name="Comma 3 5" xfId="547"/>
    <cellStyle name="Percent 3 3" xfId="548"/>
    <cellStyle name="Percent 2 2 3" xfId="549"/>
    <cellStyle name="Currency 10 2" xfId="550"/>
    <cellStyle name="Comma 2 2 2 4" xfId="551"/>
    <cellStyle name="Normal 4 15 2 3" xfId="552"/>
    <cellStyle name="Currency 2 2 2" xfId="553"/>
    <cellStyle name="Normal 29 2 2" xfId="554"/>
    <cellStyle name="Normal 7 2" xfId="555"/>
    <cellStyle name="Normal 2 2 2" xfId="556"/>
    <cellStyle name="Comma [0] 2 2" xfId="557"/>
    <cellStyle name="Normal 2 3 5" xfId="558"/>
    <cellStyle name="Currency 3 3" xfId="559"/>
    <cellStyle name="Comma 2 10" xfId="560"/>
    <cellStyle name="Normal 304 3" xfId="561"/>
    <cellStyle name="Normal 3 11" xfId="562"/>
    <cellStyle name="Comma 4 5" xfId="563"/>
    <cellStyle name="Comma [0] 3 2" xfId="564"/>
    <cellStyle name="Normal 5 5" xfId="565"/>
    <cellStyle name="Normal 4 4" xfId="566"/>
    <cellStyle name="Normal 6 3" xfId="567"/>
    <cellStyle name="Comma 4 2 3" xfId="568"/>
    <cellStyle name="Comma 2 3 4" xfId="569"/>
    <cellStyle name="Percent 3 2 2" xfId="570"/>
    <cellStyle name="Normal 2 4 3" xfId="571"/>
    <cellStyle name="Normal 115 2" xfId="572"/>
    <cellStyle name="Currency 3 2 2" xfId="573"/>
    <cellStyle name="Normal 6 2" xfId="574"/>
    <cellStyle name="Normal 48" xfId="575"/>
    <cellStyle name="Comma 19" xfId="576"/>
    <cellStyle name="Comma 18" xfId="577"/>
    <cellStyle name="Normal 49" xfId="578"/>
    <cellStyle name="Comma 20" xfId="579"/>
    <cellStyle name="Normal 50" xfId="580"/>
    <cellStyle name="Normal 51" xfId="581"/>
    <cellStyle name="=C:\WINNT35\SYSTEM32\COMMAND.COM" xfId="582"/>
    <cellStyle name="¢ Currency [1]" xfId="583"/>
    <cellStyle name="¢ Currency [2]" xfId="584"/>
    <cellStyle name="¢ Currency [3]" xfId="585"/>
    <cellStyle name="£ Currency [0]" xfId="586"/>
    <cellStyle name="£ Currency [1]" xfId="587"/>
    <cellStyle name="£ Currency [2]" xfId="588"/>
    <cellStyle name="Basic" xfId="589"/>
    <cellStyle name="black" xfId="590"/>
    <cellStyle name="blu" xfId="591"/>
    <cellStyle name="bot" xfId="592"/>
    <cellStyle name="Bullet" xfId="593"/>
    <cellStyle name="Bullet [0]" xfId="594"/>
    <cellStyle name="Bullet [2]" xfId="595"/>
    <cellStyle name="Bullet [4]" xfId="596"/>
    <cellStyle name="c" xfId="597"/>
    <cellStyle name="c," xfId="598"/>
    <cellStyle name="c_HardInc " xfId="599"/>
    <cellStyle name="c_HardInc _ITC Great Plains Formula 1-12-09a" xfId="600"/>
    <cellStyle name="C00A" xfId="601"/>
    <cellStyle name="C00B" xfId="602"/>
    <cellStyle name="C00L" xfId="603"/>
    <cellStyle name="C01A" xfId="604"/>
    <cellStyle name="C01B" xfId="605"/>
    <cellStyle name="C01H" xfId="606"/>
    <cellStyle name="C01L" xfId="607"/>
    <cellStyle name="C02A" xfId="608"/>
    <cellStyle name="C02B" xfId="609"/>
    <cellStyle name="C02H" xfId="610"/>
    <cellStyle name="C02L" xfId="611"/>
    <cellStyle name="C03A" xfId="612"/>
    <cellStyle name="C03B" xfId="613"/>
    <cellStyle name="C03H" xfId="614"/>
    <cellStyle name="C03L" xfId="615"/>
    <cellStyle name="C04A" xfId="616"/>
    <cellStyle name="C04B" xfId="617"/>
    <cellStyle name="C04H" xfId="618"/>
    <cellStyle name="C04L" xfId="619"/>
    <cellStyle name="C05A" xfId="620"/>
    <cellStyle name="C05B" xfId="621"/>
    <cellStyle name="C05H" xfId="622"/>
    <cellStyle name="C05L" xfId="623"/>
    <cellStyle name="C05L 2" xfId="624"/>
    <cellStyle name="C06A" xfId="625"/>
    <cellStyle name="C06B" xfId="626"/>
    <cellStyle name="C06H" xfId="627"/>
    <cellStyle name="C06L" xfId="628"/>
    <cellStyle name="C07A" xfId="629"/>
    <cellStyle name="C07B" xfId="630"/>
    <cellStyle name="C07H" xfId="631"/>
    <cellStyle name="C07L" xfId="632"/>
    <cellStyle name="c1" xfId="633"/>
    <cellStyle name="c1," xfId="634"/>
    <cellStyle name="c2" xfId="635"/>
    <cellStyle name="c2," xfId="636"/>
    <cellStyle name="c3" xfId="637"/>
    <cellStyle name="cas" xfId="638"/>
    <cellStyle name="Centered Heading" xfId="639"/>
    <cellStyle name="Comma  - Style1" xfId="640"/>
    <cellStyle name="Comma  - Style2" xfId="641"/>
    <cellStyle name="Comma  - Style3" xfId="642"/>
    <cellStyle name="Comma  - Style4" xfId="643"/>
    <cellStyle name="Comma  - Style5" xfId="644"/>
    <cellStyle name="Comma  - Style6" xfId="645"/>
    <cellStyle name="Comma  - Style7" xfId="646"/>
    <cellStyle name="Comma  - Style8" xfId="647"/>
    <cellStyle name="Comma [1]" xfId="648"/>
    <cellStyle name="Comma [2]" xfId="649"/>
    <cellStyle name="Comma [3]" xfId="650"/>
    <cellStyle name="Comma 0.0" xfId="651"/>
    <cellStyle name="Comma 0.00" xfId="652"/>
    <cellStyle name="Comma 0.000" xfId="653"/>
    <cellStyle name="Comma 0.0000" xfId="654"/>
    <cellStyle name="Comma 11 3" xfId="655"/>
    <cellStyle name="Comma 2 2 6" xfId="656"/>
    <cellStyle name="Comma 8 4" xfId="657"/>
    <cellStyle name="Comma 8 2" xfId="658"/>
    <cellStyle name="Comma 9 4" xfId="659"/>
    <cellStyle name="Comma Input" xfId="660"/>
    <cellStyle name="Comma0 3" xfId="661"/>
    <cellStyle name="Company Name" xfId="662"/>
    <cellStyle name="Currency [1]" xfId="663"/>
    <cellStyle name="Currency [2]" xfId="664"/>
    <cellStyle name="Currency [3]" xfId="665"/>
    <cellStyle name="Currency 0.0" xfId="666"/>
    <cellStyle name="Currency 0.00" xfId="667"/>
    <cellStyle name="Currency 0.000" xfId="668"/>
    <cellStyle name="Currency 0.0000" xfId="669"/>
    <cellStyle name="Currency Input" xfId="670"/>
    <cellStyle name="Currency0 3" xfId="671"/>
    <cellStyle name="d" xfId="672"/>
    <cellStyle name="d," xfId="673"/>
    <cellStyle name="d1" xfId="674"/>
    <cellStyle name="d1," xfId="675"/>
    <cellStyle name="d2" xfId="676"/>
    <cellStyle name="d2," xfId="677"/>
    <cellStyle name="d3" xfId="678"/>
    <cellStyle name="Dash" xfId="679"/>
    <cellStyle name="Date 3" xfId="680"/>
    <cellStyle name="Date [Abbreviated]" xfId="681"/>
    <cellStyle name="Date [Long Europe]" xfId="682"/>
    <cellStyle name="Date [Long U.S.]" xfId="683"/>
    <cellStyle name="Date [Short Europe]" xfId="684"/>
    <cellStyle name="Date [Short U.S.]" xfId="685"/>
    <cellStyle name="Date_ITCM 2010 Template" xfId="686"/>
    <cellStyle name="Define$0" xfId="687"/>
    <cellStyle name="Define$1" xfId="688"/>
    <cellStyle name="Define$2" xfId="689"/>
    <cellStyle name="Define0" xfId="690"/>
    <cellStyle name="Define1" xfId="691"/>
    <cellStyle name="Define1x" xfId="692"/>
    <cellStyle name="Define2" xfId="693"/>
    <cellStyle name="Define2x" xfId="694"/>
    <cellStyle name="Dollar" xfId="695"/>
    <cellStyle name="e" xfId="696"/>
    <cellStyle name="e1" xfId="697"/>
    <cellStyle name="e2" xfId="698"/>
    <cellStyle name="Euro 2" xfId="699"/>
    <cellStyle name="Fixed 3" xfId="700"/>
    <cellStyle name="FOOTER - Style1" xfId="701"/>
    <cellStyle name="g" xfId="702"/>
    <cellStyle name="general" xfId="703"/>
    <cellStyle name="General [C]" xfId="704"/>
    <cellStyle name="General [R]" xfId="705"/>
    <cellStyle name="Green" xfId="706"/>
    <cellStyle name="grey" xfId="707"/>
    <cellStyle name="Header1" xfId="708"/>
    <cellStyle name="Header2" xfId="709"/>
    <cellStyle name="Heading" xfId="710"/>
    <cellStyle name="Heading 1 9" xfId="711"/>
    <cellStyle name="Heading 2 9" xfId="712"/>
    <cellStyle name="Heading 2 2 5" xfId="713"/>
    <cellStyle name="Heading No Underline" xfId="714"/>
    <cellStyle name="Heading With Underline" xfId="715"/>
    <cellStyle name="Heading1" xfId="716"/>
    <cellStyle name="Heading2" xfId="717"/>
    <cellStyle name="Headline" xfId="718"/>
    <cellStyle name="Highlight" xfId="719"/>
    <cellStyle name="in" xfId="720"/>
    <cellStyle name="Indented [0]" xfId="721"/>
    <cellStyle name="Indented [2]" xfId="722"/>
    <cellStyle name="Indented [4]" xfId="723"/>
    <cellStyle name="Indented [6]" xfId="724"/>
    <cellStyle name="Input [yellow]" xfId="725"/>
    <cellStyle name="Input$0" xfId="726"/>
    <cellStyle name="Input$1" xfId="727"/>
    <cellStyle name="Input$2" xfId="728"/>
    <cellStyle name="Input0" xfId="729"/>
    <cellStyle name="Input1" xfId="730"/>
    <cellStyle name="Input1x" xfId="731"/>
    <cellStyle name="Input2" xfId="732"/>
    <cellStyle name="Input2x" xfId="733"/>
    <cellStyle name="lborder" xfId="734"/>
    <cellStyle name="LeftSubtitle" xfId="735"/>
    <cellStyle name="Lines" xfId="736"/>
    <cellStyle name="m" xfId="737"/>
    <cellStyle name="m1" xfId="738"/>
    <cellStyle name="m2" xfId="739"/>
    <cellStyle name="m3" xfId="740"/>
    <cellStyle name="Multiple" xfId="741"/>
    <cellStyle name="Negative" xfId="742"/>
    <cellStyle name="no dec" xfId="743"/>
    <cellStyle name="Normal - Style1 2" xfId="744"/>
    <cellStyle name="Normal 10 12" xfId="745"/>
    <cellStyle name="Normal 11 5" xfId="746"/>
    <cellStyle name="Normal 2 2 6" xfId="747"/>
    <cellStyle name="Normal 3_Attach O, GG, Support -New Method 2-14-11" xfId="748"/>
    <cellStyle name="Normal 4_Attach O, GG, Support -New Method 2-14-11" xfId="749"/>
    <cellStyle name="Normal 6 13" xfId="750"/>
    <cellStyle name="Normal 6 2 11" xfId="751"/>
    <cellStyle name="Normal 6 2 2" xfId="752"/>
    <cellStyle name="Normal 6 2 2 2" xfId="753"/>
    <cellStyle name="Normal 6 2 3" xfId="754"/>
    <cellStyle name="Normal 6 3 10" xfId="755"/>
    <cellStyle name="Normal 6 3 2" xfId="756"/>
    <cellStyle name="Normal 6 4" xfId="757"/>
    <cellStyle name="Normal 7 5" xfId="758"/>
    <cellStyle name="Normal 8 18" xfId="759"/>
    <cellStyle name="Normal 8 2" xfId="760"/>
    <cellStyle name="Normal 9 13" xfId="761"/>
    <cellStyle name="Normal 9 2" xfId="762"/>
    <cellStyle name="Output1_Back" xfId="763"/>
    <cellStyle name="p" xfId="764"/>
    <cellStyle name="p_2010 Attachment O  GG_082709" xfId="765"/>
    <cellStyle name="p_2010 Attachment O Template Supporting Work Papers_ITC Midwest" xfId="766"/>
    <cellStyle name="p_2010 Attachment O Template Supporting Work Papers_ITCTransmission" xfId="767"/>
    <cellStyle name="p_2010 Attachment O Template Supporting Work Papers_METC" xfId="768"/>
    <cellStyle name="p_2Mod11" xfId="769"/>
    <cellStyle name="p_aavidmod11.xls Chart 1" xfId="770"/>
    <cellStyle name="p_aavidmod11.xls Chart 2" xfId="771"/>
    <cellStyle name="p_Attachment O &amp; GG" xfId="772"/>
    <cellStyle name="p_charts for capm" xfId="773"/>
    <cellStyle name="p_DCF" xfId="774"/>
    <cellStyle name="p_DCF_2Mod11" xfId="775"/>
    <cellStyle name="p_DCF_aavidmod11.xls Chart 1" xfId="776"/>
    <cellStyle name="p_DCF_aavidmod11.xls Chart 2" xfId="777"/>
    <cellStyle name="p_DCF_charts for capm" xfId="778"/>
    <cellStyle name="p_DCF_DCF5" xfId="779"/>
    <cellStyle name="p_DCF_Template2" xfId="780"/>
    <cellStyle name="p_DCF_Template2_1" xfId="781"/>
    <cellStyle name="p_DCF_VERA" xfId="782"/>
    <cellStyle name="p_DCF_VERA_1" xfId="783"/>
    <cellStyle name="p_DCF_VERA_1_Template2" xfId="784"/>
    <cellStyle name="p_DCF_VERA_aavidmod11.xls Chart 2" xfId="785"/>
    <cellStyle name="p_DCF_VERA_Model02" xfId="786"/>
    <cellStyle name="p_DCF_VERA_Template2" xfId="787"/>
    <cellStyle name="p_DCF_VERA_VERA" xfId="788"/>
    <cellStyle name="p_DCF_VERA_VERA_1" xfId="789"/>
    <cellStyle name="p_DCF_VERA_VERA_2" xfId="790"/>
    <cellStyle name="p_DCF_VERA_VERA_Template2" xfId="791"/>
    <cellStyle name="p_DCF5" xfId="792"/>
    <cellStyle name="p_ITC Great Plains Formula 1-12-09a" xfId="793"/>
    <cellStyle name="p_ITCM 2010 Template" xfId="794"/>
    <cellStyle name="p_ITCMW 2009 Rate" xfId="795"/>
    <cellStyle name="p_ITCMW 2010 Rate_083109" xfId="796"/>
    <cellStyle name="p_ITCOP 2010 Rate_083109" xfId="797"/>
    <cellStyle name="p_ITCT 2009 Rate" xfId="798"/>
    <cellStyle name="p_ITCT New 2010 Attachment O &amp; GG_111209NL" xfId="799"/>
    <cellStyle name="p_METC 2010 Rate_083109" xfId="800"/>
    <cellStyle name="p_Template2" xfId="801"/>
    <cellStyle name="p_Template2_1" xfId="802"/>
    <cellStyle name="p_VERA" xfId="803"/>
    <cellStyle name="p_VERA_1" xfId="804"/>
    <cellStyle name="p_VERA_1_Template2" xfId="805"/>
    <cellStyle name="p_VERA_aavidmod11.xls Chart 2" xfId="806"/>
    <cellStyle name="p_VERA_Model02" xfId="807"/>
    <cellStyle name="p_VERA_Template2" xfId="808"/>
    <cellStyle name="p_VERA_VERA" xfId="809"/>
    <cellStyle name="p_VERA_VERA_1" xfId="810"/>
    <cellStyle name="p_VERA_VERA_2" xfId="811"/>
    <cellStyle name="p_VERA_VERA_Template2" xfId="812"/>
    <cellStyle name="p1" xfId="813"/>
    <cellStyle name="p2" xfId="814"/>
    <cellStyle name="p3" xfId="815"/>
    <cellStyle name="Percent %" xfId="816"/>
    <cellStyle name="Percent % Long Underline" xfId="817"/>
    <cellStyle name="Percent (0)" xfId="818"/>
    <cellStyle name="Percent [0]" xfId="819"/>
    <cellStyle name="Percent [1]" xfId="820"/>
    <cellStyle name="Percent [2]" xfId="821"/>
    <cellStyle name="Percent [3]" xfId="822"/>
    <cellStyle name="Percent 0.0%" xfId="823"/>
    <cellStyle name="Percent 0.0% Long Underline" xfId="824"/>
    <cellStyle name="Percent 0.00%" xfId="825"/>
    <cellStyle name="Percent 0.00% Long Underline" xfId="826"/>
    <cellStyle name="Percent 0.000%" xfId="827"/>
    <cellStyle name="Percent 0.000% Long Underline" xfId="828"/>
    <cellStyle name="Percent 0.0000%" xfId="829"/>
    <cellStyle name="Percent 0.0000% Long Underline" xfId="830"/>
    <cellStyle name="Percent 6 5" xfId="831"/>
    <cellStyle name="Percent Input" xfId="832"/>
    <cellStyle name="Percent0" xfId="833"/>
    <cellStyle name="Percent1" xfId="834"/>
    <cellStyle name="Percent2" xfId="835"/>
    <cellStyle name="PSdesc" xfId="836"/>
    <cellStyle name="Normal 52" xfId="837"/>
    <cellStyle name="PStest" xfId="838"/>
    <cellStyle name="R00A" xfId="839"/>
    <cellStyle name="R00B" xfId="840"/>
    <cellStyle name="R00L" xfId="841"/>
    <cellStyle name="R01A" xfId="842"/>
    <cellStyle name="R01B" xfId="843"/>
    <cellStyle name="R01H" xfId="844"/>
    <cellStyle name="R01L" xfId="845"/>
    <cellStyle name="R02A" xfId="846"/>
    <cellStyle name="R02B" xfId="847"/>
    <cellStyle name="R02H" xfId="848"/>
    <cellStyle name="R02L" xfId="849"/>
    <cellStyle name="R03A" xfId="850"/>
    <cellStyle name="R03B" xfId="851"/>
    <cellStyle name="R03H" xfId="852"/>
    <cellStyle name="R03L" xfId="853"/>
    <cellStyle name="R04A" xfId="854"/>
    <cellStyle name="R04B" xfId="855"/>
    <cellStyle name="R04H" xfId="856"/>
    <cellStyle name="R04L" xfId="857"/>
    <cellStyle name="R05A" xfId="858"/>
    <cellStyle name="R05B" xfId="859"/>
    <cellStyle name="R05H" xfId="860"/>
    <cellStyle name="R05L" xfId="861"/>
    <cellStyle name="R05L 2" xfId="862"/>
    <cellStyle name="R06A" xfId="863"/>
    <cellStyle name="R06B" xfId="864"/>
    <cellStyle name="R06H" xfId="865"/>
    <cellStyle name="R06L" xfId="866"/>
    <cellStyle name="R07A" xfId="867"/>
    <cellStyle name="R07B" xfId="868"/>
    <cellStyle name="R07H" xfId="869"/>
    <cellStyle name="R07L" xfId="870"/>
    <cellStyle name="rborder" xfId="871"/>
    <cellStyle name="red" xfId="872"/>
    <cellStyle name="s_HardInc " xfId="873"/>
    <cellStyle name="s_HardInc _ITC Great Plains Formula 1-12-09a" xfId="874"/>
    <cellStyle name="scenario" xfId="875"/>
    <cellStyle name="Sheetmult" xfId="876"/>
    <cellStyle name="Shtmultx" xfId="877"/>
    <cellStyle name="Style 1 2" xfId="878"/>
    <cellStyle name="STYLE1" xfId="879"/>
    <cellStyle name="STYLE2" xfId="880"/>
    <cellStyle name="TableHeading" xfId="881"/>
    <cellStyle name="tb" xfId="882"/>
    <cellStyle name="Tickmark" xfId="883"/>
    <cellStyle name="Title1" xfId="884"/>
    <cellStyle name="top" xfId="885"/>
    <cellStyle name="Total 9" xfId="886"/>
    <cellStyle name="w" xfId="887"/>
    <cellStyle name="XComma" xfId="888"/>
    <cellStyle name="XComma 0.0" xfId="889"/>
    <cellStyle name="XComma 0.00" xfId="890"/>
    <cellStyle name="XComma 0.000" xfId="891"/>
    <cellStyle name="XCurrency" xfId="892"/>
    <cellStyle name="XCurrency 0.0" xfId="893"/>
    <cellStyle name="XCurrency 0.00" xfId="894"/>
    <cellStyle name="XCurrency 0.000" xfId="895"/>
    <cellStyle name="yra" xfId="896"/>
    <cellStyle name="yrActual" xfId="897"/>
    <cellStyle name="yre" xfId="898"/>
    <cellStyle name="yrExpect" xfId="899"/>
    <cellStyle name="Comma 8 2 2" xfId="900"/>
    <cellStyle name="Normal 12 5" xfId="901"/>
    <cellStyle name="Comma 9 2 2" xfId="902"/>
    <cellStyle name="Normal 10 2" xfId="903"/>
    <cellStyle name="Normal 6 5" xfId="904"/>
    <cellStyle name="Normal 6 2 4" xfId="905"/>
    <cellStyle name="Normal 6 2 2 3" xfId="906"/>
    <cellStyle name="Normal 6 2 2 2 2" xfId="907"/>
    <cellStyle name="Normal 6 2 3 2" xfId="908"/>
    <cellStyle name="Normal 6 3 3" xfId="909"/>
    <cellStyle name="Normal 6 3 2 2" xfId="910"/>
    <cellStyle name="Normal 6 4 2" xfId="911"/>
    <cellStyle name="Normal 8 3" xfId="912"/>
    <cellStyle name="Normal 8 2 2" xfId="913"/>
    <cellStyle name="Normal 9 3" xfId="914"/>
    <cellStyle name="Normal 9 2 2" xfId="915"/>
    <cellStyle name="Normal 8 6" xfId="916"/>
    <cellStyle name="Normal 8 9 2" xfId="917"/>
    <cellStyle name="Normal 8 9" xfId="918"/>
    <cellStyle name="Normal 8 8 2" xfId="919"/>
    <cellStyle name="Normal 8 8" xfId="920"/>
    <cellStyle name="Normal 8 7 5" xfId="921"/>
    <cellStyle name="Normal 8 7 4" xfId="922"/>
    <cellStyle name="Normal 8 7 3 2" xfId="923"/>
    <cellStyle name="Normal 8 7 3" xfId="924"/>
    <cellStyle name="Normal 8 7 2 2" xfId="925"/>
    <cellStyle name="Normal 8 7 2" xfId="926"/>
    <cellStyle name="Normal 8 7" xfId="927"/>
    <cellStyle name="Normal 8 6 5" xfId="928"/>
    <cellStyle name="Normal 8 6 4" xfId="929"/>
    <cellStyle name="Normal 8 6 3 2" xfId="930"/>
    <cellStyle name="Normal 8 6 3" xfId="931"/>
    <cellStyle name="Normal 8 6 2 2" xfId="932"/>
    <cellStyle name="Normal 8 6 2" xfId="933"/>
    <cellStyle name="Normal 8 5 5" xfId="934"/>
    <cellStyle name="Normal 10 3" xfId="935"/>
    <cellStyle name="Normal 8 5 4" xfId="936"/>
    <cellStyle name="Normal 8 5 3 2" xfId="937"/>
    <cellStyle name="Normal 8 5 3" xfId="938"/>
    <cellStyle name="Normal 8 5 2 2" xfId="939"/>
    <cellStyle name="Normal 8 5 2" xfId="940"/>
    <cellStyle name="Normal 8 5" xfId="941"/>
    <cellStyle name="Normal 8 4 6" xfId="942"/>
    <cellStyle name="Normal 8 4 5" xfId="943"/>
    <cellStyle name="Normal 8 4 4 2" xfId="944"/>
    <cellStyle name="Normal 8 4 4" xfId="945"/>
    <cellStyle name="Normal 6 6" xfId="946"/>
    <cellStyle name="Normal 6 2 5" xfId="947"/>
    <cellStyle name="Normal 6 2 2 4" xfId="948"/>
    <cellStyle name="Normal 6 2 2 2 3" xfId="949"/>
    <cellStyle name="Normal 6 2 3 3" xfId="950"/>
    <cellStyle name="Normal 6 3 4" xfId="951"/>
    <cellStyle name="Normal 6 3 2 3" xfId="952"/>
    <cellStyle name="Normal 6 4 3" xfId="953"/>
    <cellStyle name="Normal 8 4 3 2" xfId="954"/>
    <cellStyle name="Normal 8 4" xfId="955"/>
    <cellStyle name="Normal 8 2 3" xfId="956"/>
    <cellStyle name="Normal 9 4" xfId="957"/>
    <cellStyle name="Normal 9 2 3" xfId="958"/>
    <cellStyle name="Normal 8 4 3" xfId="959"/>
    <cellStyle name="Normal 8 4 2 2" xfId="960"/>
    <cellStyle name="Normal 8 4 2" xfId="961"/>
    <cellStyle name="Normal 8 3 6" xfId="962"/>
    <cellStyle name="Normal 8 3 5" xfId="963"/>
    <cellStyle name="Normal 8 3 4 2" xfId="964"/>
    <cellStyle name="Normal 8 3 4" xfId="965"/>
    <cellStyle name="Normal 8 3 3 2" xfId="966"/>
    <cellStyle name="Normal 8 3 3" xfId="967"/>
    <cellStyle name="Normal 8 3 2 2" xfId="968"/>
    <cellStyle name="Normal 8 3 2" xfId="969"/>
    <cellStyle name="Normal 8 2 6" xfId="970"/>
    <cellStyle name="Normal 8 2 5" xfId="971"/>
    <cellStyle name="Normal 8 2 4 2" xfId="972"/>
    <cellStyle name="Normal 8 2 4" xfId="973"/>
    <cellStyle name="Normal 8 2 3 2" xfId="974"/>
    <cellStyle name="Normal 8 2 2 2" xfId="975"/>
    <cellStyle name="Normal 8 12" xfId="976"/>
    <cellStyle name="Normal 8 11" xfId="977"/>
    <cellStyle name="Normal 8 10 2" xfId="978"/>
    <cellStyle name="Normal 8 10" xfId="979"/>
    <cellStyle name="Normal 7 2 3" xfId="980"/>
    <cellStyle name="Normal 4 2 2" xfId="981"/>
    <cellStyle name="Normal 21 2 2" xfId="982"/>
    <cellStyle name="Normal 21 3" xfId="983"/>
    <cellStyle name="Normal 20 2 2" xfId="984"/>
    <cellStyle name="Normal 20 3" xfId="985"/>
    <cellStyle name="Normal 2 3 6" xfId="986"/>
    <cellStyle name="Normal 19 2 3" xfId="987"/>
    <cellStyle name="Normal 19 4" xfId="988"/>
    <cellStyle name="Normal 18 6" xfId="989"/>
    <cellStyle name="Normal 18 5" xfId="990"/>
    <cellStyle name="Normal 18 4 2" xfId="991"/>
    <cellStyle name="Normal 18 4" xfId="992"/>
    <cellStyle name="Normal 18 3 2" xfId="993"/>
    <cellStyle name="Normal 18 3" xfId="994"/>
    <cellStyle name="Normal 18 2 2" xfId="995"/>
    <cellStyle name="Normal 18 2" xfId="996"/>
    <cellStyle name="Normal 18 7" xfId="997"/>
    <cellStyle name="Normal 15 3" xfId="998"/>
    <cellStyle name="Normal 14 3" xfId="999"/>
    <cellStyle name="Normal 13 6" xfId="1000"/>
    <cellStyle name="Currency 9 2" xfId="1001"/>
    <cellStyle name="Currency 8 2" xfId="1002"/>
    <cellStyle name="Currency 6 4" xfId="1003"/>
    <cellStyle name="Currency 12" xfId="1004"/>
    <cellStyle name="Currency 11" xfId="1005"/>
    <cellStyle name="Comma 83" xfId="1006"/>
    <cellStyle name="Comma 82" xfId="1007"/>
    <cellStyle name="Comma 81" xfId="1008"/>
    <cellStyle name="Comma 80" xfId="1009"/>
    <cellStyle name="Comma 79" xfId="1010"/>
    <cellStyle name="Comma 78" xfId="1011"/>
    <cellStyle name="Comma 77" xfId="1012"/>
    <cellStyle name="Comma 76" xfId="1013"/>
    <cellStyle name="Comma 75" xfId="1014"/>
    <cellStyle name="Comma 74" xfId="1015"/>
    <cellStyle name="Comma 73" xfId="1016"/>
    <cellStyle name="Comma 72" xfId="1017"/>
    <cellStyle name="Comma 71" xfId="1018"/>
    <cellStyle name="Comma 70" xfId="1019"/>
    <cellStyle name="Comma 69" xfId="1020"/>
    <cellStyle name="Comma 68" xfId="1021"/>
    <cellStyle name="Comma 67" xfId="1022"/>
    <cellStyle name="Comma 66" xfId="1023"/>
    <cellStyle name="Comma 65" xfId="1024"/>
    <cellStyle name="Comma 64" xfId="1025"/>
    <cellStyle name="Comma 63" xfId="1026"/>
    <cellStyle name="Comma 62" xfId="1027"/>
    <cellStyle name="Comma 61" xfId="1028"/>
    <cellStyle name="Comma 60" xfId="1029"/>
    <cellStyle name="Comma 59" xfId="1030"/>
    <cellStyle name="Comma 58" xfId="1031"/>
    <cellStyle name="Comma 57" xfId="1032"/>
    <cellStyle name="Comma 56" xfId="1033"/>
    <cellStyle name="Comma 55" xfId="1034"/>
    <cellStyle name="Comma 54" xfId="1035"/>
    <cellStyle name="Comma 53" xfId="1036"/>
    <cellStyle name="Comma 52" xfId="1037"/>
    <cellStyle name="Comma 51" xfId="1038"/>
    <cellStyle name="Comma 50" xfId="1039"/>
    <cellStyle name="Comma 49" xfId="1040"/>
    <cellStyle name="Comma 48" xfId="1041"/>
    <cellStyle name="Comma 47" xfId="1042"/>
    <cellStyle name="Comma 46" xfId="1043"/>
    <cellStyle name="Comma 45" xfId="1044"/>
    <cellStyle name="Comma 44" xfId="1045"/>
    <cellStyle name="Comma 43" xfId="1046"/>
    <cellStyle name="Comma 42" xfId="1047"/>
    <cellStyle name="Comma 41" xfId="1048"/>
    <cellStyle name="Comma 40" xfId="1049"/>
    <cellStyle name="Comma 4 3 9" xfId="1050"/>
    <cellStyle name="Comma 4 2 4" xfId="1051"/>
    <cellStyle name="Comma 39" xfId="1052"/>
    <cellStyle name="Comma 38" xfId="1053"/>
    <cellStyle name="Comma 37" xfId="1054"/>
    <cellStyle name="Comma 36" xfId="1055"/>
    <cellStyle name="Comma 35" xfId="1056"/>
    <cellStyle name="Comma 34" xfId="1057"/>
    <cellStyle name="Comma 33" xfId="1058"/>
    <cellStyle name="Comma 32" xfId="1059"/>
    <cellStyle name="Comma 31" xfId="1060"/>
    <cellStyle name="Comma 30" xfId="1061"/>
    <cellStyle name="Comma 3 2 2 9" xfId="1062"/>
    <cellStyle name="Comma 29" xfId="1063"/>
    <cellStyle name="Comma 28" xfId="1064"/>
    <cellStyle name="Comma 27" xfId="1065"/>
    <cellStyle name="Comma 26" xfId="1066"/>
    <cellStyle name="Comma 25" xfId="1067"/>
    <cellStyle name="Comma 24" xfId="1068"/>
    <cellStyle name="Comma 23" xfId="1069"/>
    <cellStyle name="Comma 22" xfId="1070"/>
    <cellStyle name="Comma 21" xfId="1071"/>
    <cellStyle name="Comma 20 2" xfId="1072"/>
    <cellStyle name="Comma 19 2" xfId="1073"/>
    <cellStyle name="Comma 18 2" xfId="1074"/>
    <cellStyle name="Comma 17 2" xfId="1075"/>
    <cellStyle name="Comma 16 3" xfId="1076"/>
    <cellStyle name="Comma 15 3" xfId="1077"/>
    <cellStyle name="Comma 14 3" xfId="1078"/>
    <cellStyle name="Normal_FERC Functional M&amp;S All Cos" xfId="1079"/>
    <cellStyle name="Normal_Support 2003 PSI Peak Demand excluding Joint Owners 2" xfId="1080"/>
    <cellStyle name="20% - Accent1 2 6" xfId="1081"/>
    <cellStyle name="20% - Accent2 2 6" xfId="1082"/>
    <cellStyle name="20% - Accent3 2 6" xfId="1083"/>
    <cellStyle name="20% - Accent4 2 6" xfId="1084"/>
    <cellStyle name="20% - Accent5 2 6" xfId="1085"/>
    <cellStyle name="20% - Accent6 2 5" xfId="1086"/>
    <cellStyle name="40% - Accent1 2 6" xfId="1087"/>
    <cellStyle name="40% - Accent2 2 5" xfId="1088"/>
    <cellStyle name="40% - Accent3 2 6" xfId="1089"/>
    <cellStyle name="40% - Accent4 2 6" xfId="1090"/>
    <cellStyle name="40% - Accent5 2 5" xfId="1091"/>
    <cellStyle name="40% - Accent6 2 6" xfId="1092"/>
    <cellStyle name="60% - Accent1 2 5" xfId="1093"/>
    <cellStyle name="60% - Accent2 2 4" xfId="1094"/>
    <cellStyle name="60% - Accent3 2 5" xfId="1095"/>
    <cellStyle name="60% - Accent4 2 5" xfId="1096"/>
    <cellStyle name="60% - Accent5 2 4" xfId="1097"/>
    <cellStyle name="60% - Accent6 2 5" xfId="1098"/>
    <cellStyle name="Accent1 2 5" xfId="1099"/>
    <cellStyle name="Accent2 2 4" xfId="1100"/>
    <cellStyle name="Accent3 2 4" xfId="1101"/>
    <cellStyle name="Accent4 2 5" xfId="1102"/>
    <cellStyle name="Accent5 2 4" xfId="1103"/>
    <cellStyle name="Accent6 2 4" xfId="1104"/>
    <cellStyle name="Bad 2 4" xfId="1105"/>
    <cellStyle name="Calculation 2 5" xfId="1106"/>
    <cellStyle name="Check Cell 2 4" xfId="1107"/>
    <cellStyle name="Percent 9" xfId="1108"/>
    <cellStyle name="Comma 3 4 2" xfId="1109"/>
    <cellStyle name="Currency 3 3 2" xfId="1110"/>
    <cellStyle name="Currency 3 4 2" xfId="1111"/>
    <cellStyle name="Explanatory Text 2 4" xfId="1112"/>
    <cellStyle name="Good 2 4" xfId="1113"/>
    <cellStyle name="Comma 2 4 2" xfId="1114"/>
    <cellStyle name="Heading 3 2 5" xfId="1115"/>
    <cellStyle name="Heading 4 2 3" xfId="1116"/>
    <cellStyle name="Input 2 4" xfId="1117"/>
    <cellStyle name="Linked Cell 2 3" xfId="1118"/>
    <cellStyle name="Neutral 2 3" xfId="1119"/>
    <cellStyle name="Comma 3 2 2 2" xfId="1120"/>
    <cellStyle name="Normal 4 3 2" xfId="1121"/>
    <cellStyle name="Normal 4 4 15" xfId="1122"/>
    <cellStyle name="Comma 4 3 2" xfId="1123"/>
    <cellStyle name="Note 2 5" xfId="1124"/>
    <cellStyle name="Output 2 5" xfId="1125"/>
    <cellStyle name="Percent 3 3 2" xfId="1126"/>
    <cellStyle name="Percent 3 4" xfId="1127"/>
    <cellStyle name="Comma 6 3 3" xfId="1128"/>
    <cellStyle name="Comma 8 3" xfId="1129"/>
    <cellStyle name="Comma 9 3" xfId="1130"/>
    <cellStyle name="Currency 13" xfId="1131"/>
    <cellStyle name="Warning Text 2 4" xfId="1132"/>
    <cellStyle name="Normal 10 4" xfId="1133"/>
    <cellStyle name="Normal 11 2 6" xfId="1134"/>
    <cellStyle name="Normal 12 2 2" xfId="1135"/>
    <cellStyle name="Normal 2 4 4" xfId="1136"/>
    <cellStyle name="Normal 2 2 3 6" xfId="1137"/>
    <cellStyle name="Normal 3 3 4" xfId="1138"/>
    <cellStyle name="Normal 4 3 17" xfId="1139"/>
    <cellStyle name="Normal 6 7" xfId="1140"/>
    <cellStyle name="Currency 14" xfId="1141"/>
    <cellStyle name="Normal 9 5" xfId="1142"/>
    <cellStyle name="Comma 3 2 2 3" xfId="1143"/>
    <cellStyle name="Comma 4 3 3" xfId="1144"/>
    <cellStyle name="Currency 15" xfId="1145"/>
    <cellStyle name="Normal 10 5" xfId="1146"/>
    <cellStyle name="Normal 11 3" xfId="1147"/>
    <cellStyle name="Normal 2 2 4" xfId="1148"/>
    <cellStyle name="Normal 9 6" xfId="1149"/>
    <cellStyle name="Percent 10" xfId="1150"/>
    <cellStyle name="Percent 12" xfId="1151"/>
    <cellStyle name="Input 4" xfId="1152"/>
    <cellStyle name="Comma 84" xfId="1153"/>
    <cellStyle name="Comma 3 5 3" xfId="1154"/>
    <cellStyle name="Currency 17" xfId="1155"/>
    <cellStyle name="Currency 16" xfId="1156"/>
    <cellStyle name="Currency 3 5" xfId="1157"/>
    <cellStyle name="Comma 85" xfId="1158"/>
    <cellStyle name="Input 3" xfId="1159"/>
    <cellStyle name="Normal 4 5" xfId="1160"/>
    <cellStyle name="Percent 11" xfId="1161"/>
    <cellStyle name="Percent 3 5" xfId="1162"/>
    <cellStyle name="Normal 10 6" xfId="1163"/>
    <cellStyle name="Normal 6 8" xfId="1164"/>
    <cellStyle name="Normal 6 2 6" xfId="1165"/>
    <cellStyle name="Normal 6 2 2 5" xfId="1166"/>
    <cellStyle name="Normal 6 2 2 2 4" xfId="1167"/>
    <cellStyle name="Normal 6 2 3 4" xfId="1168"/>
    <cellStyle name="Normal 6 3 5" xfId="1169"/>
    <cellStyle name="Normal 6 3 2 4" xfId="1170"/>
    <cellStyle name="Normal 6 4 4" xfId="1171"/>
    <cellStyle name="Normal 8 13" xfId="1172"/>
    <cellStyle name="Normal 8 2 7" xfId="1173"/>
    <cellStyle name="Normal 9 7" xfId="1174"/>
    <cellStyle name="Normal 9 2 4" xfId="1175"/>
    <cellStyle name="Percent 14" xfId="1176"/>
    <cellStyle name="Percent 22" xfId="1177"/>
    <cellStyle name="Percent 20" xfId="1178"/>
    <cellStyle name="Comma 3 2 2 4" xfId="1179"/>
    <cellStyle name="Percent 18" xfId="1180"/>
    <cellStyle name="Percent 16" xfId="1181"/>
    <cellStyle name="Comma 4 3 4" xfId="1182"/>
    <cellStyle name="Currency 18" xfId="1183"/>
    <cellStyle name="Currency 20" xfId="1184"/>
    <cellStyle name="Currency 22" xfId="1185"/>
    <cellStyle name="Currency 24" xfId="1186"/>
    <cellStyle name="Currency 26" xfId="1187"/>
    <cellStyle name="Normal 10 7" xfId="1188"/>
    <cellStyle name="Normal 11 4" xfId="1189"/>
    <cellStyle name="Normal 2 2 5" xfId="1190"/>
    <cellStyle name="Currency 19" xfId="1191"/>
    <cellStyle name="Normal 9 8" xfId="1192"/>
    <cellStyle name="Currency 27" xfId="1193"/>
    <cellStyle name="Currency 25" xfId="1194"/>
    <cellStyle name="Currency 23" xfId="1195"/>
    <cellStyle name="Currency 21" xfId="1196"/>
    <cellStyle name="Percent 13" xfId="1197"/>
    <cellStyle name="Percent 15" xfId="1198"/>
    <cellStyle name="Percent 17" xfId="1199"/>
    <cellStyle name="Percent 19" xfId="1200"/>
    <cellStyle name="Percent 21" xfId="1201"/>
    <cellStyle name="Normal 10 8" xfId="1202"/>
    <cellStyle name="Normal 6 9" xfId="1203"/>
    <cellStyle name="Normal 6 2 7" xfId="1204"/>
    <cellStyle name="Normal 6 2 2 6" xfId="1205"/>
    <cellStyle name="Normal 6 2 2 2 5" xfId="1206"/>
    <cellStyle name="Normal 6 2 3 5" xfId="1207"/>
    <cellStyle name="Normal 6 3 6" xfId="1208"/>
    <cellStyle name="Normal 6 3 2 5" xfId="1209"/>
    <cellStyle name="Normal 6 4 5" xfId="1210"/>
    <cellStyle name="Normal 8 14" xfId="1211"/>
    <cellStyle name="Normal 8 2 8" xfId="1212"/>
    <cellStyle name="Normal 9 9" xfId="1213"/>
    <cellStyle name="Normal 9 2 5" xfId="1214"/>
    <cellStyle name="Normal 12 3" xfId="1215"/>
    <cellStyle name="Normal 10 2 2" xfId="1216"/>
    <cellStyle name="Normal 6 5 2" xfId="1217"/>
    <cellStyle name="Normal 6 2 4 2" xfId="1218"/>
    <cellStyle name="Normal 6 2 2 3 2" xfId="1219"/>
    <cellStyle name="Normal 6 2 2 2 2 2" xfId="1220"/>
    <cellStyle name="Normal 6 2 3 2 2" xfId="1221"/>
    <cellStyle name="Normal 6 3 3 2" xfId="1222"/>
    <cellStyle name="Normal 6 3 2 2 2" xfId="1223"/>
    <cellStyle name="Normal 6 4 2 2" xfId="1224"/>
    <cellStyle name="Normal 8 3 7" xfId="1225"/>
    <cellStyle name="Normal 8 2 2 3" xfId="1226"/>
    <cellStyle name="Normal 9 3 2" xfId="1227"/>
    <cellStyle name="Normal 9 2 2 2" xfId="1228"/>
    <cellStyle name="Normal 10 3 2" xfId="1229"/>
    <cellStyle name="Normal 6 6 2" xfId="1230"/>
    <cellStyle name="Normal 6 2 5 2" xfId="1231"/>
    <cellStyle name="Normal 6 2 2 4 2" xfId="1232"/>
    <cellStyle name="Normal 6 2 2 2 3 2" xfId="1233"/>
    <cellStyle name="Normal 6 2 3 3 2" xfId="1234"/>
    <cellStyle name="Normal 6 3 4 2" xfId="1235"/>
    <cellStyle name="Normal 6 3 2 3 2" xfId="1236"/>
    <cellStyle name="Normal 6 4 3 2" xfId="1237"/>
    <cellStyle name="Normal 8 4 7" xfId="1238"/>
    <cellStyle name="Normal 8 2 3 3" xfId="1239"/>
    <cellStyle name="Normal 9 4 2" xfId="1240"/>
    <cellStyle name="Normal 9 2 3 2" xfId="1241"/>
    <cellStyle name="Comma 4 3 5" xfId="1242"/>
    <cellStyle name="Comma 3 2 2 5" xfId="1243"/>
    <cellStyle name="Comma 3 2 2 2 2" xfId="1244"/>
    <cellStyle name="Comma 4 3 2 2" xfId="1245"/>
    <cellStyle name="Normal 10 4 2" xfId="1246"/>
    <cellStyle name="Normal 11 2 2" xfId="1247"/>
    <cellStyle name="Normal 2 2 3 2" xfId="1248"/>
    <cellStyle name="Normal 9 5 2" xfId="1249"/>
    <cellStyle name="Comma 3 2 2 3 2" xfId="1250"/>
    <cellStyle name="Comma 4 3 3 2" xfId="1251"/>
    <cellStyle name="Normal 10 5 2" xfId="1252"/>
    <cellStyle name="Normal 11 3 2" xfId="1253"/>
    <cellStyle name="Normal 2 2 4 2" xfId="1254"/>
    <cellStyle name="Normal 9 6 2" xfId="1255"/>
    <cellStyle name="Percent 12 2" xfId="1256"/>
    <cellStyle name="Comma 84 2" xfId="1257"/>
    <cellStyle name="Comma 3 5 2" xfId="1258"/>
    <cellStyle name="Currency 17 2" xfId="1259"/>
    <cellStyle name="Currency 16 2" xfId="1260"/>
    <cellStyle name="Currency 3 5 2" xfId="1261"/>
    <cellStyle name="Comma 85 2" xfId="1262"/>
    <cellStyle name="Normal 4 5 2" xfId="1263"/>
    <cellStyle name="Percent 11 2" xfId="1264"/>
    <cellStyle name="Percent 3 5 2" xfId="1265"/>
    <cellStyle name="Normal 10 6 2" xfId="1266"/>
    <cellStyle name="Normal 6 8 2" xfId="1267"/>
    <cellStyle name="Normal 6 2 6 2" xfId="1268"/>
    <cellStyle name="Normal 6 2 2 5 2" xfId="1269"/>
    <cellStyle name="Normal 6 2 2 2 4 2" xfId="1270"/>
    <cellStyle name="Normal 6 2 3 4 2" xfId="1271"/>
    <cellStyle name="Normal 6 3 5 2" xfId="1272"/>
    <cellStyle name="Normal 6 3 2 4 2" xfId="1273"/>
    <cellStyle name="Normal 6 4 4 2" xfId="1274"/>
    <cellStyle name="Normal 8 13 2" xfId="1275"/>
    <cellStyle name="Normal 8 2 7 2" xfId="1276"/>
    <cellStyle name="Normal 9 7 2" xfId="1277"/>
    <cellStyle name="Normal 9 2 4 2" xfId="1278"/>
    <cellStyle name="Comma 3 2 2 4 2" xfId="1279"/>
    <cellStyle name="Comma 4 3 4 2" xfId="1280"/>
    <cellStyle name="Normal 10 7 2" xfId="1281"/>
    <cellStyle name="Normal 11 4 2" xfId="1282"/>
    <cellStyle name="Normal 2 2 5 2" xfId="1283"/>
    <cellStyle name="Normal 9 8 2" xfId="1284"/>
    <cellStyle name="Normal 10 9" xfId="1285"/>
    <cellStyle name="Normal 6 10" xfId="1286"/>
    <cellStyle name="Normal 6 2 8" xfId="1287"/>
    <cellStyle name="Normal 6 2 2 7" xfId="1288"/>
    <cellStyle name="Normal 6 2 2 2 6" xfId="1289"/>
    <cellStyle name="Normal 6 2 3 6" xfId="1290"/>
    <cellStyle name="Normal 6 3 7" xfId="1291"/>
    <cellStyle name="Normal 6 3 2 6" xfId="1292"/>
    <cellStyle name="Normal 6 4 6" xfId="1293"/>
    <cellStyle name="Normal 8 15" xfId="1294"/>
    <cellStyle name="Normal 8 2 9" xfId="1295"/>
    <cellStyle name="Normal 9 10" xfId="1296"/>
    <cellStyle name="Normal 9 2 6" xfId="1297"/>
    <cellStyle name="Normal 10 2 3" xfId="1298"/>
    <cellStyle name="Normal 6 5 3" xfId="1299"/>
    <cellStyle name="Normal 6 2 4 3" xfId="1300"/>
    <cellStyle name="Normal 6 2 2 3 3" xfId="1301"/>
    <cellStyle name="Normal 6 2 2 2 2 3" xfId="1302"/>
    <cellStyle name="Normal 6 2 3 2 3" xfId="1303"/>
    <cellStyle name="Normal 6 3 3 3" xfId="1304"/>
    <cellStyle name="Normal 6 3 2 2 3" xfId="1305"/>
    <cellStyle name="Normal 6 4 2 3" xfId="1306"/>
    <cellStyle name="Normal 8 3 8" xfId="1307"/>
    <cellStyle name="Normal 8 2 2 4" xfId="1308"/>
    <cellStyle name="Normal 9 3 3" xfId="1309"/>
    <cellStyle name="Normal 9 2 2 3" xfId="1310"/>
    <cellStyle name="Normal 10 3 3" xfId="1311"/>
    <cellStyle name="Normal 6 6 3" xfId="1312"/>
    <cellStyle name="Normal 6 2 5 3" xfId="1313"/>
    <cellStyle name="Normal 6 2 2 4 3" xfId="1314"/>
    <cellStyle name="Normal 6 2 2 2 3 3" xfId="1315"/>
    <cellStyle name="Normal 6 2 3 3 3" xfId="1316"/>
    <cellStyle name="Normal 6 3 4 3" xfId="1317"/>
    <cellStyle name="Normal 6 3 2 3 3" xfId="1318"/>
    <cellStyle name="Normal 6 4 3 3" xfId="1319"/>
    <cellStyle name="Normal 8 4 8" xfId="1320"/>
    <cellStyle name="Normal 8 2 3 4" xfId="1321"/>
    <cellStyle name="Normal 9 4 3" xfId="1322"/>
    <cellStyle name="Normal 9 2 3 3" xfId="1323"/>
    <cellStyle name="Comma 4 3 6" xfId="1324"/>
    <cellStyle name="Comma 3 2 2 6" xfId="1325"/>
    <cellStyle name="Comma 3 2 2 2 3" xfId="1326"/>
    <cellStyle name="Comma 4 3 2 3" xfId="1327"/>
    <cellStyle name="Normal 10 4 3" xfId="1328"/>
    <cellStyle name="Normal 11 2 3" xfId="1329"/>
    <cellStyle name="Normal 2 2 3 3" xfId="1330"/>
    <cellStyle name="Normal 9 5 3" xfId="1331"/>
    <cellStyle name="Comma 3 2 2 3 3" xfId="1332"/>
    <cellStyle name="Comma 4 3 3 3" xfId="1333"/>
    <cellStyle name="Normal 10 5 3" xfId="1334"/>
    <cellStyle name="Normal 11 3 3" xfId="1335"/>
    <cellStyle name="Normal 2 2 4 3" xfId="1336"/>
    <cellStyle name="Normal 9 6 3" xfId="1337"/>
    <cellStyle name="Normal 10 6 3" xfId="1338"/>
    <cellStyle name="Normal 6 8 3" xfId="1339"/>
    <cellStyle name="Normal 6 2 6 3" xfId="1340"/>
    <cellStyle name="Normal 6 2 2 5 3" xfId="1341"/>
    <cellStyle name="Normal 6 2 2 2 4 3" xfId="1342"/>
    <cellStyle name="Normal 6 2 3 4 3" xfId="1343"/>
    <cellStyle name="Normal 6 3 5 3" xfId="1344"/>
    <cellStyle name="Normal 6 3 2 4 3" xfId="1345"/>
    <cellStyle name="Normal 6 4 4 3" xfId="1346"/>
    <cellStyle name="Normal 8 13 3" xfId="1347"/>
    <cellStyle name="Normal 8 2 7 3" xfId="1348"/>
    <cellStyle name="Normal 9 7 3" xfId="1349"/>
    <cellStyle name="Normal 9 2 4 3" xfId="1350"/>
    <cellStyle name="Comma 3 2 2 4 3" xfId="1351"/>
    <cellStyle name="Comma 4 3 4 3" xfId="1352"/>
    <cellStyle name="Normal 10 7 3" xfId="1353"/>
    <cellStyle name="Normal 11 4 3" xfId="1354"/>
    <cellStyle name="Normal 2 2 5 3" xfId="1355"/>
    <cellStyle name="Normal 9 8 3" xfId="1356"/>
    <cellStyle name="Normal 10 10" xfId="1357"/>
    <cellStyle name="Normal 6 11" xfId="1358"/>
    <cellStyle name="Normal 6 2 9" xfId="1359"/>
    <cellStyle name="Normal 6 2 2 8" xfId="1360"/>
    <cellStyle name="Normal 6 2 2 2 7" xfId="1361"/>
    <cellStyle name="Normal 6 2 3 7" xfId="1362"/>
    <cellStyle name="Normal 6 3 8" xfId="1363"/>
    <cellStyle name="Normal 6 3 2 7" xfId="1364"/>
    <cellStyle name="Normal 6 4 7" xfId="1365"/>
    <cellStyle name="Normal 8 16" xfId="1366"/>
    <cellStyle name="Normal 8 2 10" xfId="1367"/>
    <cellStyle name="Normal 9 11" xfId="1368"/>
    <cellStyle name="Normal 9 2 7" xfId="1369"/>
    <cellStyle name="Normal 10 2 4" xfId="1370"/>
    <cellStyle name="Normal 6 5 4" xfId="1371"/>
    <cellStyle name="Normal 6 2 4 4" xfId="1372"/>
    <cellStyle name="Normal 6 2 2 3 4" xfId="1373"/>
    <cellStyle name="Normal 6 2 2 2 2 4" xfId="1374"/>
    <cellStyle name="Normal 6 2 3 2 4" xfId="1375"/>
    <cellStyle name="Normal 6 3 3 4" xfId="1376"/>
    <cellStyle name="Normal 6 3 2 2 4" xfId="1377"/>
    <cellStyle name="Normal 6 4 2 4" xfId="1378"/>
    <cellStyle name="Normal 8 3 9" xfId="1379"/>
    <cellStyle name="Normal 8 2 2 5" xfId="1380"/>
    <cellStyle name="Normal 9 3 4" xfId="1381"/>
    <cellStyle name="Normal 9 2 2 4" xfId="1382"/>
    <cellStyle name="Normal 10 3 4" xfId="1383"/>
    <cellStyle name="Normal 6 6 4" xfId="1384"/>
    <cellStyle name="Normal 6 2 5 4" xfId="1385"/>
    <cellStyle name="Normal 6 2 2 4 4" xfId="1386"/>
    <cellStyle name="Normal 6 2 2 2 3 4" xfId="1387"/>
    <cellStyle name="Normal 6 2 3 3 4" xfId="1388"/>
    <cellStyle name="Normal 6 3 4 4" xfId="1389"/>
    <cellStyle name="Normal 6 3 2 3 4" xfId="1390"/>
    <cellStyle name="Normal 6 4 3 4" xfId="1391"/>
    <cellStyle name="Normal 8 4 9" xfId="1392"/>
    <cellStyle name="Normal 8 2 3 5" xfId="1393"/>
    <cellStyle name="Normal 9 4 4" xfId="1394"/>
    <cellStyle name="Normal 9 2 3 4" xfId="1395"/>
    <cellStyle name="Comma 4 3 7" xfId="1396"/>
    <cellStyle name="Comma 3 2 2 7" xfId="1397"/>
    <cellStyle name="Comma 3 2 2 2 4" xfId="1398"/>
    <cellStyle name="Comma 4 3 2 4" xfId="1399"/>
    <cellStyle name="Normal 10 4 4" xfId="1400"/>
    <cellStyle name="Normal 11 2 4" xfId="1401"/>
    <cellStyle name="Normal 2 2 3 4" xfId="1402"/>
    <cellStyle name="Normal 9 5 4" xfId="1403"/>
    <cellStyle name="Comma 3 2 2 3 4" xfId="1404"/>
    <cellStyle name="Comma 4 3 3 4" xfId="1405"/>
    <cellStyle name="Normal 10 5 4" xfId="1406"/>
    <cellStyle name="Normal 11 3 4" xfId="1407"/>
    <cellStyle name="Normal 2 2 4 4" xfId="1408"/>
    <cellStyle name="Normal 9 6 4" xfId="1409"/>
    <cellStyle name="Normal 10 6 4" xfId="1410"/>
    <cellStyle name="Normal 6 8 4" xfId="1411"/>
    <cellStyle name="Normal 6 2 6 4" xfId="1412"/>
    <cellStyle name="Normal 6 2 2 5 4" xfId="1413"/>
    <cellStyle name="Normal 6 2 2 2 4 4" xfId="1414"/>
    <cellStyle name="Normal 6 2 3 4 4" xfId="1415"/>
    <cellStyle name="Normal 6 3 5 4" xfId="1416"/>
    <cellStyle name="Normal 6 3 2 4 4" xfId="1417"/>
    <cellStyle name="Normal 6 4 4 4" xfId="1418"/>
    <cellStyle name="Normal 8 13 4" xfId="1419"/>
    <cellStyle name="Normal 8 2 7 4" xfId="1420"/>
    <cellStyle name="Normal 9 7 4" xfId="1421"/>
    <cellStyle name="Normal 9 2 4 4" xfId="1422"/>
    <cellStyle name="Comma 3 2 2 4 4" xfId="1423"/>
    <cellStyle name="Comma 4 3 4 4" xfId="1424"/>
    <cellStyle name="Normal 10 7 4" xfId="1425"/>
    <cellStyle name="Normal 11 4 4" xfId="1426"/>
    <cellStyle name="Normal 2 2 5 4" xfId="1427"/>
    <cellStyle name="Normal 9 8 4" xfId="1428"/>
    <cellStyle name="Normal 10 8 2" xfId="1429"/>
    <cellStyle name="Normal 6 9 2" xfId="1430"/>
    <cellStyle name="Normal 6 2 7 2" xfId="1431"/>
    <cellStyle name="Normal 6 2 2 6 2" xfId="1432"/>
    <cellStyle name="Normal 6 2 2 2 5 2" xfId="1433"/>
    <cellStyle name="Normal 6 2 3 5 2" xfId="1434"/>
    <cellStyle name="Normal 6 3 6 2" xfId="1435"/>
    <cellStyle name="Normal 6 3 2 5 2" xfId="1436"/>
    <cellStyle name="Normal 6 4 5 2" xfId="1437"/>
    <cellStyle name="Normal 8 14 2" xfId="1438"/>
    <cellStyle name="Normal 8 2 8 2" xfId="1439"/>
    <cellStyle name="Normal 9 9 2" xfId="1440"/>
    <cellStyle name="Normal 9 2 5 2" xfId="1441"/>
    <cellStyle name="Normal 10 2 2 2 3" xfId="1442"/>
    <cellStyle name="Normal 6 5 2 2" xfId="1443"/>
    <cellStyle name="Normal 6 2 4 2 2" xfId="1444"/>
    <cellStyle name="Normal 6 2 2 3 2 2" xfId="1445"/>
    <cellStyle name="Normal 6 2 2 2 2 2 2" xfId="1446"/>
    <cellStyle name="Normal 6 2 3 2 2 2" xfId="1447"/>
    <cellStyle name="Normal 6 3 3 2 2" xfId="1448"/>
    <cellStyle name="Normal 6 3 2 2 2 2" xfId="1449"/>
    <cellStyle name="Normal 6 4 2 2 2" xfId="1450"/>
    <cellStyle name="Normal 8 3 7 2" xfId="1451"/>
    <cellStyle name="Normal 8 2 2 3 2" xfId="1452"/>
    <cellStyle name="Normal 9 3 2 2" xfId="1453"/>
    <cellStyle name="Normal 9 2 2 2 2" xfId="1454"/>
    <cellStyle name="Normal 10 3 2 2" xfId="1455"/>
    <cellStyle name="Normal 6 6 2 2" xfId="1456"/>
    <cellStyle name="Normal 6 2 5 2 2" xfId="1457"/>
    <cellStyle name="Normal 6 2 2 4 2 2" xfId="1458"/>
    <cellStyle name="Normal 6 2 2 2 3 2 2" xfId="1459"/>
    <cellStyle name="Normal 6 2 3 3 2 2" xfId="1460"/>
    <cellStyle name="Normal 6 3 4 2 2" xfId="1461"/>
    <cellStyle name="Normal 6 3 2 3 2 2" xfId="1462"/>
    <cellStyle name="Normal 6 4 3 2 2" xfId="1463"/>
    <cellStyle name="Normal 8 4 7 2" xfId="1464"/>
    <cellStyle name="Normal 8 2 3 3 2" xfId="1465"/>
    <cellStyle name="Normal 9 4 2 2" xfId="1466"/>
    <cellStyle name="Normal 9 2 3 2 2" xfId="1467"/>
    <cellStyle name="Comma 4 3 5 2" xfId="1468"/>
    <cellStyle name="Comma 3 2 2 5 2" xfId="1469"/>
    <cellStyle name="Comma 3 2 2 2 2 2" xfId="1470"/>
    <cellStyle name="Comma 4 3 2 2 2" xfId="1471"/>
    <cellStyle name="Normal 10 4 2 2" xfId="1472"/>
    <cellStyle name="Normal 11 2 2 2" xfId="1473"/>
    <cellStyle name="Normal 2 2 3 2 2" xfId="1474"/>
    <cellStyle name="Normal 9 5 2 2" xfId="1475"/>
    <cellStyle name="Comma 3 2 2 3 2 2" xfId="1476"/>
    <cellStyle name="Comma 4 3 3 2 2" xfId="1477"/>
    <cellStyle name="Normal 10 5 2 2" xfId="1478"/>
    <cellStyle name="Normal 11 3 2 2" xfId="1479"/>
    <cellStyle name="Normal 2 2 4 2 2" xfId="1480"/>
    <cellStyle name="Normal 9 6 2 2" xfId="1481"/>
    <cellStyle name="Normal 10 6 2 2" xfId="1482"/>
    <cellStyle name="Normal 6 8 2 2" xfId="1483"/>
    <cellStyle name="Normal 6 2 6 2 2" xfId="1484"/>
    <cellStyle name="Normal 6 2 2 5 2 2" xfId="1485"/>
    <cellStyle name="Normal 6 2 2 2 4 2 2" xfId="1486"/>
    <cellStyle name="Normal 6 2 3 4 2 2" xfId="1487"/>
    <cellStyle name="Normal 6 3 5 2 2" xfId="1488"/>
    <cellStyle name="Normal 6 3 2 4 2 2" xfId="1489"/>
    <cellStyle name="Normal 6 4 4 2 2" xfId="1490"/>
    <cellStyle name="Normal 8 13 2 2" xfId="1491"/>
    <cellStyle name="Normal 8 2 7 2 2" xfId="1492"/>
    <cellStyle name="Normal 9 7 2 2" xfId="1493"/>
    <cellStyle name="Normal 9 2 4 2 2" xfId="1494"/>
    <cellStyle name="Comma 3 2 2 4 2 2" xfId="1495"/>
    <cellStyle name="Comma 4 3 4 2 2" xfId="1496"/>
    <cellStyle name="Normal 10 7 2 2" xfId="1497"/>
    <cellStyle name="Normal 11 4 2 2" xfId="1498"/>
    <cellStyle name="Normal 2 2 5 2 2" xfId="1499"/>
    <cellStyle name="Normal 9 8 2 2" xfId="1500"/>
    <cellStyle name="Normal 10 9 2" xfId="1501"/>
    <cellStyle name="Normal 6 10 2" xfId="1502"/>
    <cellStyle name="Normal 6 2 8 2" xfId="1503"/>
    <cellStyle name="Normal 6 2 2 7 2" xfId="1504"/>
    <cellStyle name="Normal 6 2 2 2 6 2" xfId="1505"/>
    <cellStyle name="Normal 6 2 3 6 2" xfId="1506"/>
    <cellStyle name="Normal 6 3 7 2" xfId="1507"/>
    <cellStyle name="Normal 6 3 2 6 2" xfId="1508"/>
    <cellStyle name="Normal 6 4 6 2" xfId="1509"/>
    <cellStyle name="Normal 8 15 2" xfId="1510"/>
    <cellStyle name="Normal 8 2 9 2" xfId="1511"/>
    <cellStyle name="Normal 9 10 2" xfId="1512"/>
    <cellStyle name="Normal 9 2 6 2" xfId="1513"/>
    <cellStyle name="Normal 10 2 3 2" xfId="1514"/>
    <cellStyle name="Normal 6 5 3 2" xfId="1515"/>
    <cellStyle name="Normal 6 2 4 3 2" xfId="1516"/>
    <cellStyle name="Normal 6 2 2 3 3 2" xfId="1517"/>
    <cellStyle name="Normal 6 2 2 2 2 3 2" xfId="1518"/>
    <cellStyle name="Normal 6 2 3 2 3 2" xfId="1519"/>
    <cellStyle name="Normal 6 3 3 3 2" xfId="1520"/>
    <cellStyle name="Normal 6 3 2 2 3 2" xfId="1521"/>
    <cellStyle name="Normal 6 4 2 3 2" xfId="1522"/>
    <cellStyle name="Normal 8 3 8 2" xfId="1523"/>
    <cellStyle name="Normal 8 2 2 4 2" xfId="1524"/>
    <cellStyle name="Normal 9 3 3 2" xfId="1525"/>
    <cellStyle name="Normal 9 2 2 3 2" xfId="1526"/>
    <cellStyle name="Normal 10 3 3 2" xfId="1527"/>
    <cellStyle name="Normal 6 6 3 2" xfId="1528"/>
    <cellStyle name="Normal 6 2 5 3 2" xfId="1529"/>
    <cellStyle name="Normal 6 2 2 4 3 2" xfId="1530"/>
    <cellStyle name="Normal 6 2 2 2 3 3 2" xfId="1531"/>
    <cellStyle name="Normal 6 2 3 3 3 2" xfId="1532"/>
    <cellStyle name="Normal 6 3 4 3 2" xfId="1533"/>
    <cellStyle name="Normal 6 3 2 3 3 2" xfId="1534"/>
    <cellStyle name="Normal 6 4 3 3 2" xfId="1535"/>
    <cellStyle name="Normal 8 4 8 2" xfId="1536"/>
    <cellStyle name="Normal 8 2 3 4 2" xfId="1537"/>
    <cellStyle name="Normal 9 4 3 2" xfId="1538"/>
    <cellStyle name="Normal 9 2 3 3 2" xfId="1539"/>
    <cellStyle name="Comma 4 3 6 2" xfId="1540"/>
    <cellStyle name="Comma 3 2 2 6 2" xfId="1541"/>
    <cellStyle name="Comma 3 2 2 2 3 2" xfId="1542"/>
    <cellStyle name="Comma 4 3 2 3 2" xfId="1543"/>
    <cellStyle name="Normal 10 4 3 2" xfId="1544"/>
    <cellStyle name="Normal 11 2 3 2" xfId="1545"/>
    <cellStyle name="Normal 2 2 3 3 2" xfId="1546"/>
    <cellStyle name="Normal 9 5 3 2" xfId="1547"/>
    <cellStyle name="Comma 3 2 2 3 3 2" xfId="1548"/>
    <cellStyle name="Comma 4 3 3 3 2" xfId="1549"/>
    <cellStyle name="Normal 10 5 3 2" xfId="1550"/>
    <cellStyle name="Normal 11 3 3 2" xfId="1551"/>
    <cellStyle name="Normal 2 2 4 3 2" xfId="1552"/>
    <cellStyle name="Normal 9 6 3 2" xfId="1553"/>
    <cellStyle name="Normal 10 6 3 2" xfId="1554"/>
    <cellStyle name="Normal 6 8 3 2" xfId="1555"/>
    <cellStyle name="Normal 6 2 6 3 2" xfId="1556"/>
    <cellStyle name="Normal 6 2 2 5 3 2" xfId="1557"/>
    <cellStyle name="Normal 6 2 2 2 4 3 2" xfId="1558"/>
    <cellStyle name="Normal 6 2 3 4 3 2" xfId="1559"/>
    <cellStyle name="Normal 6 3 5 3 2" xfId="1560"/>
    <cellStyle name="Normal 6 3 2 4 3 2" xfId="1561"/>
    <cellStyle name="Normal 6 4 4 3 2" xfId="1562"/>
    <cellStyle name="Normal 8 13 3 2" xfId="1563"/>
    <cellStyle name="Normal 8 2 7 3 2" xfId="1564"/>
    <cellStyle name="Normal 9 7 3 2" xfId="1565"/>
    <cellStyle name="Normal 9 2 4 3 2" xfId="1566"/>
    <cellStyle name="Comma 3 2 2 4 3 2" xfId="1567"/>
    <cellStyle name="Comma 4 3 4 3 2" xfId="1568"/>
    <cellStyle name="Normal 10 7 3 2" xfId="1569"/>
    <cellStyle name="Normal 11 4 3 2" xfId="1570"/>
    <cellStyle name="Normal 2 2 5 3 2" xfId="1571"/>
    <cellStyle name="Normal 9 8 3 2" xfId="1572"/>
    <cellStyle name="Normal 12 4" xfId="1573"/>
    <cellStyle name="Comma 12 2 3" xfId="1574"/>
    <cellStyle name="20% - Accent1 3" xfId="1575"/>
    <cellStyle name="20% - Accent1 4" xfId="1576"/>
    <cellStyle name="20% - Accent1 5" xfId="1577"/>
    <cellStyle name="20% - Accent1 5 2" xfId="1578"/>
    <cellStyle name="20% - Accent1 5 2 2" xfId="1579"/>
    <cellStyle name="20% - Accent1 5 2 3" xfId="1580"/>
    <cellStyle name="20% - Accent1 5 3" xfId="1581"/>
    <cellStyle name="20% - Accent1 5 4" xfId="1582"/>
    <cellStyle name="20% - Accent1 5 5" xfId="1583"/>
    <cellStyle name="20% - Accent1 6" xfId="1584"/>
    <cellStyle name="20% - Accent1 7" xfId="1585"/>
    <cellStyle name="20% - Accent1 8" xfId="1586"/>
    <cellStyle name="20% - Accent1 9" xfId="1587"/>
    <cellStyle name="20% - Accent2 3" xfId="1588"/>
    <cellStyle name="20% - Accent2 4" xfId="1589"/>
    <cellStyle name="20% - Accent2 5" xfId="1590"/>
    <cellStyle name="20% - Accent2 5 2" xfId="1591"/>
    <cellStyle name="20% - Accent2 5 2 2" xfId="1592"/>
    <cellStyle name="20% - Accent2 5 2 3" xfId="1593"/>
    <cellStyle name="20% - Accent2 5 3" xfId="1594"/>
    <cellStyle name="20% - Accent2 5 4" xfId="1595"/>
    <cellStyle name="20% - Accent2 5 5" xfId="1596"/>
    <cellStyle name="20% - Accent2 6" xfId="1597"/>
    <cellStyle name="20% - Accent2 7" xfId="1598"/>
    <cellStyle name="20% - Accent2 8" xfId="1599"/>
    <cellStyle name="20% - Accent2 9" xfId="1600"/>
    <cellStyle name="20% - Accent3 3" xfId="1601"/>
    <cellStyle name="20% - Accent3 4" xfId="1602"/>
    <cellStyle name="20% - Accent3 5" xfId="1603"/>
    <cellStyle name="20% - Accent3 5 2" xfId="1604"/>
    <cellStyle name="20% - Accent3 5 2 2" xfId="1605"/>
    <cellStyle name="20% - Accent3 5 2 3" xfId="1606"/>
    <cellStyle name="20% - Accent3 5 3" xfId="1607"/>
    <cellStyle name="20% - Accent3 5 4" xfId="1608"/>
    <cellStyle name="20% - Accent3 5 5" xfId="1609"/>
    <cellStyle name="20% - Accent3 6" xfId="1610"/>
    <cellStyle name="20% - Accent3 7" xfId="1611"/>
    <cellStyle name="20% - Accent3 8" xfId="1612"/>
    <cellStyle name="20% - Accent3 9" xfId="1613"/>
    <cellStyle name="20% - Accent4 3" xfId="1614"/>
    <cellStyle name="20% - Accent4 4" xfId="1615"/>
    <cellStyle name="20% - Accent4 5" xfId="1616"/>
    <cellStyle name="20% - Accent4 5 2" xfId="1617"/>
    <cellStyle name="20% - Accent4 5 2 2" xfId="1618"/>
    <cellStyle name="20% - Accent4 5 2 3" xfId="1619"/>
    <cellStyle name="20% - Accent4 5 3" xfId="1620"/>
    <cellStyle name="20% - Accent4 5 4" xfId="1621"/>
    <cellStyle name="20% - Accent4 5 5" xfId="1622"/>
    <cellStyle name="20% - Accent4 6" xfId="1623"/>
    <cellStyle name="20% - Accent4 7" xfId="1624"/>
    <cellStyle name="20% - Accent4 8" xfId="1625"/>
    <cellStyle name="20% - Accent4 9" xfId="1626"/>
    <cellStyle name="20% - Accent5 3" xfId="1627"/>
    <cellStyle name="20% - Accent5 4" xfId="1628"/>
    <cellStyle name="20% - Accent5 5" xfId="1629"/>
    <cellStyle name="20% - Accent5 5 2" xfId="1630"/>
    <cellStyle name="20% - Accent5 5 2 2" xfId="1631"/>
    <cellStyle name="20% - Accent5 5 2 3" xfId="1632"/>
    <cellStyle name="20% - Accent5 5 3" xfId="1633"/>
    <cellStyle name="20% - Accent5 5 4" xfId="1634"/>
    <cellStyle name="20% - Accent5 5 5" xfId="1635"/>
    <cellStyle name="20% - Accent5 6" xfId="1636"/>
    <cellStyle name="20% - Accent5 7" xfId="1637"/>
    <cellStyle name="20% - Accent5 8" xfId="1638"/>
    <cellStyle name="20% - Accent5 9" xfId="1639"/>
    <cellStyle name="20% - Accent6 2 2 4" xfId="1640"/>
    <cellStyle name="20% - Accent6 3" xfId="1641"/>
    <cellStyle name="20% - Accent6 4" xfId="1642"/>
    <cellStyle name="20% - Accent6 5" xfId="1643"/>
    <cellStyle name="20% - Accent6 5 2" xfId="1644"/>
    <cellStyle name="20% - Accent6 5 2 2" xfId="1645"/>
    <cellStyle name="20% - Accent6 5 2 3" xfId="1646"/>
    <cellStyle name="20% - Accent6 5 3" xfId="1647"/>
    <cellStyle name="20% - Accent6 5 4" xfId="1648"/>
    <cellStyle name="20% - Accent6 5 5" xfId="1649"/>
    <cellStyle name="20% - Accent6 6" xfId="1650"/>
    <cellStyle name="20% - Accent6 7" xfId="1651"/>
    <cellStyle name="20% - Accent6 8" xfId="1652"/>
    <cellStyle name="20% - Accent6 9" xfId="1653"/>
    <cellStyle name="40% - Accent1 3" xfId="1654"/>
    <cellStyle name="40% - Accent1 4" xfId="1655"/>
    <cellStyle name="40% - Accent1 5" xfId="1656"/>
    <cellStyle name="40% - Accent1 5 2" xfId="1657"/>
    <cellStyle name="40% - Accent1 5 2 2" xfId="1658"/>
    <cellStyle name="40% - Accent1 5 2 3" xfId="1659"/>
    <cellStyle name="40% - Accent1 5 3" xfId="1660"/>
    <cellStyle name="40% - Accent1 5 4" xfId="1661"/>
    <cellStyle name="40% - Accent1 5 5" xfId="1662"/>
    <cellStyle name="40% - Accent1 6" xfId="1663"/>
    <cellStyle name="40% - Accent1 7" xfId="1664"/>
    <cellStyle name="40% - Accent1 8" xfId="1665"/>
    <cellStyle name="40% - Accent1 9" xfId="1666"/>
    <cellStyle name="40% - Accent2 2 2 4" xfId="1667"/>
    <cellStyle name="40% - Accent2 3" xfId="1668"/>
    <cellStyle name="40% - Accent2 4" xfId="1669"/>
    <cellStyle name="40% - Accent2 5" xfId="1670"/>
    <cellStyle name="40% - Accent2 5 2" xfId="1671"/>
    <cellStyle name="40% - Accent2 5 2 2" xfId="1672"/>
    <cellStyle name="40% - Accent2 5 2 3" xfId="1673"/>
    <cellStyle name="40% - Accent2 5 3" xfId="1674"/>
    <cellStyle name="40% - Accent2 5 4" xfId="1675"/>
    <cellStyle name="40% - Accent2 5 5" xfId="1676"/>
    <cellStyle name="40% - Accent2 6" xfId="1677"/>
    <cellStyle name="40% - Accent2 7" xfId="1678"/>
    <cellStyle name="40% - Accent2 8" xfId="1679"/>
    <cellStyle name="40% - Accent2 9" xfId="1680"/>
    <cellStyle name="40% - Accent3 3" xfId="1681"/>
    <cellStyle name="40% - Accent3 4" xfId="1682"/>
    <cellStyle name="40% - Accent3 5" xfId="1683"/>
    <cellStyle name="40% - Accent3 5 2" xfId="1684"/>
    <cellStyle name="40% - Accent3 5 2 2" xfId="1685"/>
    <cellStyle name="40% - Accent3 5 2 3" xfId="1686"/>
    <cellStyle name="40% - Accent3 5 3" xfId="1687"/>
    <cellStyle name="40% - Accent3 5 4" xfId="1688"/>
    <cellStyle name="40% - Accent3 5 5" xfId="1689"/>
    <cellStyle name="40% - Accent3 6" xfId="1690"/>
    <cellStyle name="40% - Accent3 7" xfId="1691"/>
    <cellStyle name="40% - Accent3 8" xfId="1692"/>
    <cellStyle name="40% - Accent3 9" xfId="1693"/>
    <cellStyle name="40% - Accent4 3" xfId="1694"/>
    <cellStyle name="40% - Accent4 4" xfId="1695"/>
    <cellStyle name="40% - Accent4 5" xfId="1696"/>
    <cellStyle name="40% - Accent4 5 2" xfId="1697"/>
    <cellStyle name="40% - Accent4 5 2 2" xfId="1698"/>
    <cellStyle name="40% - Accent4 5 2 3" xfId="1699"/>
    <cellStyle name="40% - Accent4 5 3" xfId="1700"/>
    <cellStyle name="40% - Accent4 5 4" xfId="1701"/>
    <cellStyle name="40% - Accent4 5 5" xfId="1702"/>
    <cellStyle name="40% - Accent4 6" xfId="1703"/>
    <cellStyle name="40% - Accent4 7" xfId="1704"/>
    <cellStyle name="40% - Accent4 8" xfId="1705"/>
    <cellStyle name="40% - Accent4 9" xfId="1706"/>
    <cellStyle name="40% - Accent5 2 2 4" xfId="1707"/>
    <cellStyle name="40% - Accent5 3" xfId="1708"/>
    <cellStyle name="40% - Accent5 4" xfId="1709"/>
    <cellStyle name="40% - Accent5 5" xfId="1710"/>
    <cellStyle name="40% - Accent5 5 2" xfId="1711"/>
    <cellStyle name="40% - Accent5 5 2 2" xfId="1712"/>
    <cellStyle name="40% - Accent5 5 2 3" xfId="1713"/>
    <cellStyle name="40% - Accent5 5 3" xfId="1714"/>
    <cellStyle name="40% - Accent5 5 4" xfId="1715"/>
    <cellStyle name="40% - Accent5 5 5" xfId="1716"/>
    <cellStyle name="40% - Accent5 6" xfId="1717"/>
    <cellStyle name="40% - Accent5 7" xfId="1718"/>
    <cellStyle name="40% - Accent5 8" xfId="1719"/>
    <cellStyle name="40% - Accent5 9" xfId="1720"/>
    <cellStyle name="40% - Accent6 3" xfId="1721"/>
    <cellStyle name="40% - Accent6 4" xfId="1722"/>
    <cellStyle name="40% - Accent6 5" xfId="1723"/>
    <cellStyle name="40% - Accent6 5 2" xfId="1724"/>
    <cellStyle name="40% - Accent6 5 2 2" xfId="1725"/>
    <cellStyle name="40% - Accent6 5 2 3" xfId="1726"/>
    <cellStyle name="40% - Accent6 5 3" xfId="1727"/>
    <cellStyle name="40% - Accent6 5 4" xfId="1728"/>
    <cellStyle name="40% - Accent6 5 5" xfId="1729"/>
    <cellStyle name="40% - Accent6 6" xfId="1730"/>
    <cellStyle name="40% - Accent6 7" xfId="1731"/>
    <cellStyle name="40% - Accent6 8" xfId="1732"/>
    <cellStyle name="40% - Accent6 9" xfId="1733"/>
    <cellStyle name="60% - Accent1 3" xfId="1734"/>
    <cellStyle name="60% - Accent1 4" xfId="1735"/>
    <cellStyle name="60% - Accent1 5" xfId="1736"/>
    <cellStyle name="60% - Accent1 6" xfId="1737"/>
    <cellStyle name="60% - Accent1 7" xfId="1738"/>
    <cellStyle name="60% - Accent1 8" xfId="1739"/>
    <cellStyle name="60% - Accent1 9" xfId="1740"/>
    <cellStyle name="60% - Accent2 2 2 2" xfId="1741"/>
    <cellStyle name="60% - Accent2 3" xfId="1742"/>
    <cellStyle name="60% - Accent2 4" xfId="1743"/>
    <cellStyle name="60% - Accent2 5" xfId="1744"/>
    <cellStyle name="60% - Accent2 6" xfId="1745"/>
    <cellStyle name="60% - Accent2 7" xfId="1746"/>
    <cellStyle name="60% - Accent2 8" xfId="1747"/>
    <cellStyle name="60% - Accent2 9" xfId="1748"/>
    <cellStyle name="60% - Accent3 3" xfId="1749"/>
    <cellStyle name="60% - Accent3 4" xfId="1750"/>
    <cellStyle name="60% - Accent3 5" xfId="1751"/>
    <cellStyle name="60% - Accent3 6" xfId="1752"/>
    <cellStyle name="60% - Accent3 7" xfId="1753"/>
    <cellStyle name="60% - Accent3 8" xfId="1754"/>
    <cellStyle name="60% - Accent3 9" xfId="1755"/>
    <cellStyle name="60% - Accent4 3" xfId="1756"/>
    <cellStyle name="60% - Accent4 4" xfId="1757"/>
    <cellStyle name="60% - Accent4 5" xfId="1758"/>
    <cellStyle name="60% - Accent4 6" xfId="1759"/>
    <cellStyle name="60% - Accent4 7" xfId="1760"/>
    <cellStyle name="60% - Accent4 8" xfId="1761"/>
    <cellStyle name="60% - Accent4 9" xfId="1762"/>
    <cellStyle name="60% - Accent5 2 2 2" xfId="1763"/>
    <cellStyle name="60% - Accent5 3" xfId="1764"/>
    <cellStyle name="60% - Accent5 4" xfId="1765"/>
    <cellStyle name="60% - Accent5 5" xfId="1766"/>
    <cellStyle name="60% - Accent5 6" xfId="1767"/>
    <cellStyle name="60% - Accent5 7" xfId="1768"/>
    <cellStyle name="60% - Accent5 8" xfId="1769"/>
    <cellStyle name="60% - Accent5 9" xfId="1770"/>
    <cellStyle name="60% - Accent6 3" xfId="1771"/>
    <cellStyle name="60% - Accent6 4" xfId="1772"/>
    <cellStyle name="60% - Accent6 5" xfId="1773"/>
    <cellStyle name="60% - Accent6 6" xfId="1774"/>
    <cellStyle name="60% - Accent6 7" xfId="1775"/>
    <cellStyle name="60% - Accent6 8" xfId="1776"/>
    <cellStyle name="60% - Accent6 9" xfId="1777"/>
    <cellStyle name="Accent1 3" xfId="1778"/>
    <cellStyle name="Accent1 4" xfId="1779"/>
    <cellStyle name="Accent1 5" xfId="1780"/>
    <cellStyle name="Accent1 6" xfId="1781"/>
    <cellStyle name="Accent1 7" xfId="1782"/>
    <cellStyle name="Accent1 8" xfId="1783"/>
    <cellStyle name="Accent1 9" xfId="1784"/>
    <cellStyle name="Accent2 2 2 2" xfId="1785"/>
    <cellStyle name="Accent2 3" xfId="1786"/>
    <cellStyle name="Accent2 4" xfId="1787"/>
    <cellStyle name="Accent2 5" xfId="1788"/>
    <cellStyle name="Accent2 6" xfId="1789"/>
    <cellStyle name="Accent2 7" xfId="1790"/>
    <cellStyle name="Accent2 8" xfId="1791"/>
    <cellStyle name="Accent2 9" xfId="1792"/>
    <cellStyle name="Accent3 2 2 2" xfId="1793"/>
    <cellStyle name="Accent3 3" xfId="1794"/>
    <cellStyle name="Accent3 4" xfId="1795"/>
    <cellStyle name="Accent3 5" xfId="1796"/>
    <cellStyle name="Accent3 6" xfId="1797"/>
    <cellStyle name="Accent3 7" xfId="1798"/>
    <cellStyle name="Accent3 8" xfId="1799"/>
    <cellStyle name="Accent3 9" xfId="1800"/>
    <cellStyle name="Accent4 3" xfId="1801"/>
    <cellStyle name="Accent4 4" xfId="1802"/>
    <cellStyle name="Accent4 5" xfId="1803"/>
    <cellStyle name="Accent4 6" xfId="1804"/>
    <cellStyle name="Accent4 7" xfId="1805"/>
    <cellStyle name="Accent4 8" xfId="1806"/>
    <cellStyle name="Accent4 9" xfId="1807"/>
    <cellStyle name="Accent5 2 2 2" xfId="1808"/>
    <cellStyle name="Accent5 3" xfId="1809"/>
    <cellStyle name="Accent5 4" xfId="1810"/>
    <cellStyle name="Accent5 5" xfId="1811"/>
    <cellStyle name="Accent5 6" xfId="1812"/>
    <cellStyle name="Accent5 7" xfId="1813"/>
    <cellStyle name="Accent5 8" xfId="1814"/>
    <cellStyle name="Accent5 9" xfId="1815"/>
    <cellStyle name="Accent6 2 2 2" xfId="1816"/>
    <cellStyle name="Accent6 3" xfId="1817"/>
    <cellStyle name="Accent6 4" xfId="1818"/>
    <cellStyle name="Accent6 5" xfId="1819"/>
    <cellStyle name="Accent6 6" xfId="1820"/>
    <cellStyle name="Accent6 7" xfId="1821"/>
    <cellStyle name="Accent6 8" xfId="1822"/>
    <cellStyle name="Accent6 9" xfId="1823"/>
    <cellStyle name="Bad 2 2 2" xfId="1824"/>
    <cellStyle name="Bad 3" xfId="1825"/>
    <cellStyle name="Bad 4" xfId="1826"/>
    <cellStyle name="Bad 5" xfId="1827"/>
    <cellStyle name="Bad 6" xfId="1828"/>
    <cellStyle name="Bad 7" xfId="1829"/>
    <cellStyle name="Bad 8" xfId="1830"/>
    <cellStyle name="Bad 9" xfId="1831"/>
    <cellStyle name="Calculation 3" xfId="1832"/>
    <cellStyle name="Calculation 4" xfId="1833"/>
    <cellStyle name="Calculation 5" xfId="1834"/>
    <cellStyle name="Calculation 6" xfId="1835"/>
    <cellStyle name="Calculation 7" xfId="1836"/>
    <cellStyle name="Calculation 8" xfId="1837"/>
    <cellStyle name="Calculation 9" xfId="1838"/>
    <cellStyle name="Check Cell 2 2 2" xfId="1839"/>
    <cellStyle name="Check Cell 3" xfId="1840"/>
    <cellStyle name="Check Cell 4" xfId="1841"/>
    <cellStyle name="Check Cell 5" xfId="1842"/>
    <cellStyle name="Check Cell 6" xfId="1843"/>
    <cellStyle name="Check Cell 7" xfId="1844"/>
    <cellStyle name="Check Cell 8" xfId="1845"/>
    <cellStyle name="Check Cell 9" xfId="1846"/>
    <cellStyle name="Comma 10 2 2 2" xfId="1847"/>
    <cellStyle name="Comma 10 3 2" xfId="1848"/>
    <cellStyle name="Comma 13 2 4" xfId="1849"/>
    <cellStyle name="Comma 13 2 2" xfId="1850"/>
    <cellStyle name="Comma 13 2 3" xfId="1851"/>
    <cellStyle name="Comma 13 3" xfId="1852"/>
    <cellStyle name="Comma 13 4" xfId="1853"/>
    <cellStyle name="Comma 13 5" xfId="1854"/>
    <cellStyle name="Comma 4 4 2" xfId="1855"/>
    <cellStyle name="Comma 5 2 6" xfId="1856"/>
    <cellStyle name="Comma 5 3 5" xfId="1857"/>
    <cellStyle name="Comma 5 4 2" xfId="1858"/>
    <cellStyle name="Comma 7 2 2" xfId="1859"/>
    <cellStyle name="Comma0 2" xfId="1860"/>
    <cellStyle name="Currency 100" xfId="1861"/>
    <cellStyle name="Currency 100 2" xfId="1862"/>
    <cellStyle name="Currency 4 10" xfId="1863"/>
    <cellStyle name="Currency 4 10 2" xfId="1864"/>
    <cellStyle name="Currency 4 10 2 2" xfId="1865"/>
    <cellStyle name="Currency 4 10 2 3" xfId="1866"/>
    <cellStyle name="Currency 4 10 3" xfId="1867"/>
    <cellStyle name="Currency 4 10 4" xfId="1868"/>
    <cellStyle name="Currency 4 10 5" xfId="1869"/>
    <cellStyle name="Currency 4 11" xfId="1870"/>
    <cellStyle name="Currency 4 2 14" xfId="1871"/>
    <cellStyle name="Currency 4 2 10" xfId="1872"/>
    <cellStyle name="Currency 4 2 10 2" xfId="1873"/>
    <cellStyle name="Currency 4 2 10 3" xfId="1874"/>
    <cellStyle name="Currency 4 2 11" xfId="1875"/>
    <cellStyle name="Currency 4 2 12" xfId="1876"/>
    <cellStyle name="Currency 4 2 13" xfId="1877"/>
    <cellStyle name="Currency 4 2 2" xfId="1878"/>
    <cellStyle name="Currency 4 2 2 2" xfId="1879"/>
    <cellStyle name="Currency 4 2 2 2 2" xfId="1880"/>
    <cellStyle name="Currency 4 2 2 2 2 2" xfId="1881"/>
    <cellStyle name="Currency 4 2 2 2 2 2 2" xfId="1882"/>
    <cellStyle name="Currency 4 2 2 2 2 2 2 2" xfId="1883"/>
    <cellStyle name="Currency 4 2 2 2 2 2 2 3" xfId="1884"/>
    <cellStyle name="Currency 4 2 2 2 2 2 3" xfId="1885"/>
    <cellStyle name="Currency 4 2 2 2 2 2 4" xfId="1886"/>
    <cellStyle name="Currency 4 2 2 2 2 2 5" xfId="1887"/>
    <cellStyle name="Currency 4 2 2 2 2 3" xfId="1888"/>
    <cellStyle name="Currency 4 2 2 2 2 3 2" xfId="1889"/>
    <cellStyle name="Currency 4 2 2 2 2 3 2 2" xfId="1890"/>
    <cellStyle name="Currency 4 2 2 2 2 3 2 3" xfId="1891"/>
    <cellStyle name="Currency 4 2 2 2 2 3 3" xfId="1892"/>
    <cellStyle name="Currency 4 2 2 2 2 3 4" xfId="1893"/>
    <cellStyle name="Currency 4 2 2 2 2 3 5" xfId="1894"/>
    <cellStyle name="Currency 4 2 2 2 2 4" xfId="1895"/>
    <cellStyle name="Currency 4 2 2 2 2 4 2" xfId="1896"/>
    <cellStyle name="Currency 4 2 2 2 2 4 3" xfId="1897"/>
    <cellStyle name="Currency 4 2 2 2 2 5" xfId="1898"/>
    <cellStyle name="Currency 4 2 2 2 2 6" xfId="1899"/>
    <cellStyle name="Currency 4 2 2 2 2 7" xfId="1900"/>
    <cellStyle name="Currency 4 2 2 2 3" xfId="1901"/>
    <cellStyle name="Currency 4 2 2 2 3 2" xfId="1902"/>
    <cellStyle name="Currency 4 2 2 2 3 2 2" xfId="1903"/>
    <cellStyle name="Currency 4 2 2 2 3 2 3" xfId="1904"/>
    <cellStyle name="Currency 4 2 2 2 3 3" xfId="1905"/>
    <cellStyle name="Currency 4 2 2 2 3 4" xfId="1906"/>
    <cellStyle name="Currency 4 2 2 2 3 5" xfId="1907"/>
    <cellStyle name="Currency 4 2 2 2 4" xfId="1908"/>
    <cellStyle name="Currency 4 2 2 2 4 2" xfId="1909"/>
    <cellStyle name="Currency 4 2 2 2 4 2 2" xfId="1910"/>
    <cellStyle name="Currency 4 2 2 2 4 2 3" xfId="1911"/>
    <cellStyle name="Currency 4 2 2 2 4 3" xfId="1912"/>
    <cellStyle name="Currency 4 2 2 2 4 4" xfId="1913"/>
    <cellStyle name="Currency 4 2 2 2 4 5" xfId="1914"/>
    <cellStyle name="Currency 4 2 2 2 5" xfId="1915"/>
    <cellStyle name="Currency 4 2 2 2 5 2" xfId="1916"/>
    <cellStyle name="Currency 4 2 2 2 5 3" xfId="1917"/>
    <cellStyle name="Currency 4 2 2 2 6" xfId="1918"/>
    <cellStyle name="Currency 4 2 2 2 7" xfId="1919"/>
    <cellStyle name="Currency 4 2 2 2 8" xfId="1920"/>
    <cellStyle name="Currency 4 2 2 3" xfId="1921"/>
    <cellStyle name="Currency 4 2 2 3 2" xfId="1922"/>
    <cellStyle name="Currency 4 2 2 3 2 2" xfId="1923"/>
    <cellStyle name="Currency 4 2 2 3 2 2 2" xfId="1924"/>
    <cellStyle name="Currency 4 2 2 3 2 2 3" xfId="1925"/>
    <cellStyle name="Currency 4 2 2 3 2 3" xfId="1926"/>
    <cellStyle name="Currency 4 2 2 3 2 4" xfId="1927"/>
    <cellStyle name="Currency 4 2 2 3 2 5" xfId="1928"/>
    <cellStyle name="Currency 4 2 2 3 3" xfId="1929"/>
    <cellStyle name="Currency 4 2 2 3 3 2" xfId="1930"/>
    <cellStyle name="Currency 4 2 2 3 3 2 2" xfId="1931"/>
    <cellStyle name="Currency 4 2 2 3 3 2 3" xfId="1932"/>
    <cellStyle name="Currency 4 2 2 3 3 3" xfId="1933"/>
    <cellStyle name="Currency 4 2 2 3 3 4" xfId="1934"/>
    <cellStyle name="Currency 4 2 2 3 3 5" xfId="1935"/>
    <cellStyle name="Currency 4 2 2 3 4" xfId="1936"/>
    <cellStyle name="Currency 4 2 2 3 4 2" xfId="1937"/>
    <cellStyle name="Currency 4 2 2 3 4 3" xfId="1938"/>
    <cellStyle name="Currency 4 2 2 3 5" xfId="1939"/>
    <cellStyle name="Currency 4 2 2 3 6" xfId="1940"/>
    <cellStyle name="Currency 4 2 2 3 7" xfId="1941"/>
    <cellStyle name="Currency 4 2 2 4" xfId="1942"/>
    <cellStyle name="Currency 4 2 2 4 2" xfId="1943"/>
    <cellStyle name="Currency 4 2 2 4 2 2" xfId="1944"/>
    <cellStyle name="Currency 4 2 2 4 2 3" xfId="1945"/>
    <cellStyle name="Currency 4 2 2 4 3" xfId="1946"/>
    <cellStyle name="Currency 4 2 2 4 4" xfId="1947"/>
    <cellStyle name="Currency 4 2 2 4 5" xfId="1948"/>
    <cellStyle name="Currency 4 2 2 5" xfId="1949"/>
    <cellStyle name="Currency 4 2 2 5 2" xfId="1950"/>
    <cellStyle name="Currency 4 2 2 5 2 2" xfId="1951"/>
    <cellStyle name="Currency 4 2 2 5 2 3" xfId="1952"/>
    <cellStyle name="Currency 4 2 2 5 3" xfId="1953"/>
    <cellStyle name="Currency 4 2 2 5 4" xfId="1954"/>
    <cellStyle name="Currency 4 2 2 5 5" xfId="1955"/>
    <cellStyle name="Currency 4 2 2 6" xfId="1956"/>
    <cellStyle name="Currency 4 2 2 6 2" xfId="1957"/>
    <cellStyle name="Currency 4 2 2 6 3" xfId="1958"/>
    <cellStyle name="Currency 4 2 2 7" xfId="1959"/>
    <cellStyle name="Currency 4 2 2 8" xfId="1960"/>
    <cellStyle name="Currency 4 2 2 9" xfId="1961"/>
    <cellStyle name="Currency 4 2 3" xfId="1962"/>
    <cellStyle name="Currency 4 2 3 2" xfId="1963"/>
    <cellStyle name="Currency 4 2 3 2 2" xfId="1964"/>
    <cellStyle name="Currency 4 2 3 2 2 2" xfId="1965"/>
    <cellStyle name="Currency 4 2 3 2 2 2 2" xfId="1966"/>
    <cellStyle name="Currency 4 2 3 2 2 2 2 2" xfId="1967"/>
    <cellStyle name="Currency 4 2 3 2 2 2 2 3" xfId="1968"/>
    <cellStyle name="Currency 4 2 3 2 2 2 3" xfId="1969"/>
    <cellStyle name="Currency 4 2 3 2 2 2 4" xfId="1970"/>
    <cellStyle name="Currency 4 2 3 2 2 2 5" xfId="1971"/>
    <cellStyle name="Currency 4 2 3 2 2 3" xfId="1972"/>
    <cellStyle name="Currency 4 2 3 2 2 3 2" xfId="1973"/>
    <cellStyle name="Currency 4 2 3 2 2 3 2 2" xfId="1974"/>
    <cellStyle name="Currency 4 2 3 2 2 3 2 3" xfId="1975"/>
    <cellStyle name="Currency 4 2 3 2 2 3 3" xfId="1976"/>
    <cellStyle name="Currency 4 2 3 2 2 3 4" xfId="1977"/>
    <cellStyle name="Currency 4 2 3 2 2 3 5" xfId="1978"/>
    <cellStyle name="Currency 4 2 3 2 2 4" xfId="1979"/>
    <cellStyle name="Currency 4 2 3 2 2 4 2" xfId="1980"/>
    <cellStyle name="Currency 4 2 3 2 2 4 3" xfId="1981"/>
    <cellStyle name="Currency 4 2 3 2 2 5" xfId="1982"/>
    <cellStyle name="Currency 4 2 3 2 2 6" xfId="1983"/>
    <cellStyle name="Currency 4 2 3 2 2 7" xfId="1984"/>
    <cellStyle name="Currency 4 2 3 2 3" xfId="1985"/>
    <cellStyle name="Currency 4 2 3 2 3 2" xfId="1986"/>
    <cellStyle name="Currency 4 2 3 2 3 2 2" xfId="1987"/>
    <cellStyle name="Currency 4 2 3 2 3 2 3" xfId="1988"/>
    <cellStyle name="Currency 4 2 3 2 3 3" xfId="1989"/>
    <cellStyle name="Currency 4 2 3 2 3 4" xfId="1990"/>
    <cellStyle name="Currency 4 2 3 2 3 5" xfId="1991"/>
    <cellStyle name="Currency 4 2 3 2 4" xfId="1992"/>
    <cellStyle name="Currency 4 2 3 2 4 2" xfId="1993"/>
    <cellStyle name="Currency 4 2 3 2 4 2 2" xfId="1994"/>
    <cellStyle name="Currency 4 2 3 2 4 2 3" xfId="1995"/>
    <cellStyle name="Currency 4 2 3 2 4 3" xfId="1996"/>
    <cellStyle name="Currency 4 2 3 2 4 4" xfId="1997"/>
    <cellStyle name="Currency 4 2 3 2 4 5" xfId="1998"/>
    <cellStyle name="Currency 4 2 3 2 5" xfId="1999"/>
    <cellStyle name="Currency 4 2 3 2 5 2" xfId="2000"/>
    <cellStyle name="Currency 4 2 3 2 5 3" xfId="2001"/>
    <cellStyle name="Currency 4 2 3 2 6" xfId="2002"/>
    <cellStyle name="Currency 4 2 3 2 7" xfId="2003"/>
    <cellStyle name="Currency 4 2 3 2 8" xfId="2004"/>
    <cellStyle name="Currency 4 2 3 3" xfId="2005"/>
    <cellStyle name="Currency 4 2 3 3 2" xfId="2006"/>
    <cellStyle name="Currency 4 2 3 3 2 2" xfId="2007"/>
    <cellStyle name="Currency 4 2 3 3 2 2 2" xfId="2008"/>
    <cellStyle name="Currency 4 2 3 3 2 2 3" xfId="2009"/>
    <cellStyle name="Currency 4 2 3 3 2 3" xfId="2010"/>
    <cellStyle name="Currency 4 2 3 3 2 4" xfId="2011"/>
    <cellStyle name="Currency 4 2 3 3 2 5" xfId="2012"/>
    <cellStyle name="Currency 4 2 3 3 3" xfId="2013"/>
    <cellStyle name="Currency 4 2 3 3 3 2" xfId="2014"/>
    <cellStyle name="Currency 4 2 3 3 3 2 2" xfId="2015"/>
    <cellStyle name="Currency 4 2 3 3 3 2 3" xfId="2016"/>
    <cellStyle name="Currency 4 2 3 3 3 3" xfId="2017"/>
    <cellStyle name="Currency 4 2 3 3 3 4" xfId="2018"/>
    <cellStyle name="Currency 4 2 3 3 3 5" xfId="2019"/>
    <cellStyle name="Currency 4 2 3 3 4" xfId="2020"/>
    <cellStyle name="Currency 4 2 3 3 4 2" xfId="2021"/>
    <cellStyle name="Currency 4 2 3 3 4 3" xfId="2022"/>
    <cellStyle name="Currency 4 2 3 3 5" xfId="2023"/>
    <cellStyle name="Currency 4 2 3 3 6" xfId="2024"/>
    <cellStyle name="Currency 4 2 3 3 7" xfId="2025"/>
    <cellStyle name="Currency 4 2 3 4" xfId="2026"/>
    <cellStyle name="Currency 4 2 3 4 2" xfId="2027"/>
    <cellStyle name="Currency 4 2 3 4 2 2" xfId="2028"/>
    <cellStyle name="Currency 4 2 3 4 2 3" xfId="2029"/>
    <cellStyle name="Currency 4 2 3 4 3" xfId="2030"/>
    <cellStyle name="Currency 4 2 3 4 4" xfId="2031"/>
    <cellStyle name="Currency 4 2 3 4 5" xfId="2032"/>
    <cellStyle name="Currency 4 2 3 5" xfId="2033"/>
    <cellStyle name="Currency 4 2 3 5 2" xfId="2034"/>
    <cellStyle name="Currency 4 2 3 5 2 2" xfId="2035"/>
    <cellStyle name="Currency 4 2 3 5 2 3" xfId="2036"/>
    <cellStyle name="Currency 4 2 3 5 3" xfId="2037"/>
    <cellStyle name="Currency 4 2 3 5 4" xfId="2038"/>
    <cellStyle name="Currency 4 2 3 5 5" xfId="2039"/>
    <cellStyle name="Currency 4 2 3 6" xfId="2040"/>
    <cellStyle name="Currency 4 2 3 6 2" xfId="2041"/>
    <cellStyle name="Currency 4 2 3 6 3" xfId="2042"/>
    <cellStyle name="Currency 4 2 3 7" xfId="2043"/>
    <cellStyle name="Currency 4 2 3 8" xfId="2044"/>
    <cellStyle name="Currency 4 2 3 9" xfId="2045"/>
    <cellStyle name="Currency 4 2 4" xfId="2046"/>
    <cellStyle name="Currency 4 2 4 2" xfId="2047"/>
    <cellStyle name="Currency 4 2 4 2 2" xfId="2048"/>
    <cellStyle name="Currency 4 2 4 2 2 2" xfId="2049"/>
    <cellStyle name="Currency 4 2 4 2 2 2 2" xfId="2050"/>
    <cellStyle name="Currency 4 2 4 2 2 2 2 2" xfId="2051"/>
    <cellStyle name="Currency 4 2 4 2 2 2 2 3" xfId="2052"/>
    <cellStyle name="Currency 4 2 4 2 2 2 3" xfId="2053"/>
    <cellStyle name="Currency 4 2 4 2 2 2 4" xfId="2054"/>
    <cellStyle name="Currency 4 2 4 2 2 2 5" xfId="2055"/>
    <cellStyle name="Currency 4 2 4 2 2 3" xfId="2056"/>
    <cellStyle name="Currency 4 2 4 2 2 3 2" xfId="2057"/>
    <cellStyle name="Currency 4 2 4 2 2 3 2 2" xfId="2058"/>
    <cellStyle name="Currency 4 2 4 2 2 3 2 3" xfId="2059"/>
    <cellStyle name="Currency 4 2 4 2 2 3 3" xfId="2060"/>
    <cellStyle name="Currency 4 2 4 2 2 3 4" xfId="2061"/>
    <cellStyle name="Currency 4 2 4 2 2 3 5" xfId="2062"/>
    <cellStyle name="Currency 4 2 4 2 2 4" xfId="2063"/>
    <cellStyle name="Currency 4 2 4 2 2 4 2" xfId="2064"/>
    <cellStyle name="Currency 4 2 4 2 2 4 3" xfId="2065"/>
    <cellStyle name="Currency 4 2 4 2 2 5" xfId="2066"/>
    <cellStyle name="Currency 4 2 4 2 2 6" xfId="2067"/>
    <cellStyle name="Currency 4 2 4 2 2 7" xfId="2068"/>
    <cellStyle name="Currency 4 2 4 2 3" xfId="2069"/>
    <cellStyle name="Currency 4 2 4 2 3 2" xfId="2070"/>
    <cellStyle name="Currency 4 2 4 2 3 2 2" xfId="2071"/>
    <cellStyle name="Currency 4 2 4 2 3 2 3" xfId="2072"/>
    <cellStyle name="Currency 4 2 4 2 3 3" xfId="2073"/>
    <cellStyle name="Currency 4 2 4 2 3 4" xfId="2074"/>
    <cellStyle name="Currency 4 2 4 2 3 5" xfId="2075"/>
    <cellStyle name="Currency 4 2 4 2 4" xfId="2076"/>
    <cellStyle name="Currency 4 2 4 2 4 2" xfId="2077"/>
    <cellStyle name="Currency 4 2 4 2 4 2 2" xfId="2078"/>
    <cellStyle name="Currency 4 2 4 2 4 2 3" xfId="2079"/>
    <cellStyle name="Currency 4 2 4 2 4 3" xfId="2080"/>
    <cellStyle name="Currency 4 2 4 2 4 4" xfId="2081"/>
    <cellStyle name="Currency 4 2 4 2 4 5" xfId="2082"/>
    <cellStyle name="Currency 4 2 4 2 5" xfId="2083"/>
    <cellStyle name="Currency 4 2 4 2 5 2" xfId="2084"/>
    <cellStyle name="Currency 4 2 4 2 5 3" xfId="2085"/>
    <cellStyle name="Currency 4 2 4 2 6" xfId="2086"/>
    <cellStyle name="Currency 4 2 4 2 7" xfId="2087"/>
    <cellStyle name="Currency 4 2 4 2 8" xfId="2088"/>
    <cellStyle name="Currency 4 2 4 3" xfId="2089"/>
    <cellStyle name="Currency 4 2 4 3 2" xfId="2090"/>
    <cellStyle name="Currency 4 2 4 3 2 2" xfId="2091"/>
    <cellStyle name="Currency 4 2 4 3 2 2 2" xfId="2092"/>
    <cellStyle name="Currency 4 2 4 3 2 2 3" xfId="2093"/>
    <cellStyle name="Currency 4 2 4 3 2 3" xfId="2094"/>
    <cellStyle name="Currency 4 2 4 3 2 4" xfId="2095"/>
    <cellStyle name="Currency 4 2 4 3 2 5" xfId="2096"/>
    <cellStyle name="Currency 4 2 4 3 3" xfId="2097"/>
    <cellStyle name="Currency 4 2 4 3 3 2" xfId="2098"/>
    <cellStyle name="Currency 4 2 4 3 3 2 2" xfId="2099"/>
    <cellStyle name="Currency 4 2 4 3 3 2 3" xfId="2100"/>
    <cellStyle name="Currency 4 2 4 3 3 3" xfId="2101"/>
    <cellStyle name="Currency 4 2 4 3 3 4" xfId="2102"/>
    <cellStyle name="Currency 4 2 4 3 3 5" xfId="2103"/>
    <cellStyle name="Currency 4 2 4 3 4" xfId="2104"/>
    <cellStyle name="Currency 4 2 4 3 4 2" xfId="2105"/>
    <cellStyle name="Currency 4 2 4 3 4 3" xfId="2106"/>
    <cellStyle name="Currency 4 2 4 3 5" xfId="2107"/>
    <cellStyle name="Currency 4 2 4 3 6" xfId="2108"/>
    <cellStyle name="Currency 4 2 4 3 7" xfId="2109"/>
    <cellStyle name="Currency 4 2 4 4" xfId="2110"/>
    <cellStyle name="Currency 4 2 4 4 2" xfId="2111"/>
    <cellStyle name="Currency 4 2 4 4 2 2" xfId="2112"/>
    <cellStyle name="Currency 4 2 4 4 2 3" xfId="2113"/>
    <cellStyle name="Currency 4 2 4 4 3" xfId="2114"/>
    <cellStyle name="Currency 4 2 4 4 4" xfId="2115"/>
    <cellStyle name="Currency 4 2 4 4 5" xfId="2116"/>
    <cellStyle name="Currency 4 2 4 5" xfId="2117"/>
    <cellStyle name="Currency 4 2 4 5 2" xfId="2118"/>
    <cellStyle name="Currency 4 2 4 5 2 2" xfId="2119"/>
    <cellStyle name="Currency 4 2 4 5 2 3" xfId="2120"/>
    <cellStyle name="Currency 4 2 4 5 3" xfId="2121"/>
    <cellStyle name="Currency 4 2 4 5 4" xfId="2122"/>
    <cellStyle name="Currency 4 2 4 5 5" xfId="2123"/>
    <cellStyle name="Currency 4 2 4 6" xfId="2124"/>
    <cellStyle name="Currency 4 2 4 6 2" xfId="2125"/>
    <cellStyle name="Currency 4 2 4 6 3" xfId="2126"/>
    <cellStyle name="Currency 4 2 4 7" xfId="2127"/>
    <cellStyle name="Currency 4 2 4 8" xfId="2128"/>
    <cellStyle name="Currency 4 2 4 9" xfId="2129"/>
    <cellStyle name="Currency 4 2 5" xfId="2130"/>
    <cellStyle name="Currency 4 2 5 2" xfId="2131"/>
    <cellStyle name="Currency 4 2 5 2 2" xfId="2132"/>
    <cellStyle name="Currency 4 2 5 2 2 2" xfId="2133"/>
    <cellStyle name="Currency 4 2 5 2 2 2 2" xfId="2134"/>
    <cellStyle name="Currency 4 2 5 2 2 2 3" xfId="2135"/>
    <cellStyle name="Currency 4 2 5 2 2 3" xfId="2136"/>
    <cellStyle name="Currency 4 2 5 2 2 4" xfId="2137"/>
    <cellStyle name="Currency 4 2 5 2 2 5" xfId="2138"/>
    <cellStyle name="Currency 4 2 5 2 3" xfId="2139"/>
    <cellStyle name="Currency 4 2 5 2 3 2" xfId="2140"/>
    <cellStyle name="Currency 4 2 5 2 3 2 2" xfId="2141"/>
    <cellStyle name="Currency 4 2 5 2 3 2 3" xfId="2142"/>
    <cellStyle name="Currency 4 2 5 2 3 3" xfId="2143"/>
    <cellStyle name="Currency 4 2 5 2 3 4" xfId="2144"/>
    <cellStyle name="Currency 4 2 5 2 3 5" xfId="2145"/>
    <cellStyle name="Currency 4 2 5 2 4" xfId="2146"/>
    <cellStyle name="Currency 4 2 5 2 4 2" xfId="2147"/>
    <cellStyle name="Currency 4 2 5 2 4 3" xfId="2148"/>
    <cellStyle name="Currency 4 2 5 2 5" xfId="2149"/>
    <cellStyle name="Currency 4 2 5 2 6" xfId="2150"/>
    <cellStyle name="Currency 4 2 5 2 7" xfId="2151"/>
    <cellStyle name="Currency 4 2 5 3" xfId="2152"/>
    <cellStyle name="Currency 4 2 5 3 2" xfId="2153"/>
    <cellStyle name="Currency 4 2 5 3 2 2" xfId="2154"/>
    <cellStyle name="Currency 4 2 5 3 2 3" xfId="2155"/>
    <cellStyle name="Currency 4 2 5 3 3" xfId="2156"/>
    <cellStyle name="Currency 4 2 5 3 4" xfId="2157"/>
    <cellStyle name="Currency 4 2 5 3 5" xfId="2158"/>
    <cellStyle name="Currency 4 2 5 4" xfId="2159"/>
    <cellStyle name="Currency 4 2 5 4 2" xfId="2160"/>
    <cellStyle name="Currency 4 2 5 4 2 2" xfId="2161"/>
    <cellStyle name="Currency 4 2 5 4 2 3" xfId="2162"/>
    <cellStyle name="Currency 4 2 5 4 3" xfId="2163"/>
    <cellStyle name="Currency 4 2 5 4 4" xfId="2164"/>
    <cellStyle name="Currency 4 2 5 4 5" xfId="2165"/>
    <cellStyle name="Currency 4 2 5 5" xfId="2166"/>
    <cellStyle name="Currency 4 2 5 5 2" xfId="2167"/>
    <cellStyle name="Currency 4 2 5 5 3" xfId="2168"/>
    <cellStyle name="Currency 4 2 5 6" xfId="2169"/>
    <cellStyle name="Currency 4 2 5 7" xfId="2170"/>
    <cellStyle name="Currency 4 2 5 8" xfId="2171"/>
    <cellStyle name="Currency 4 2 6" xfId="2172"/>
    <cellStyle name="Currency 4 2 7" xfId="2173"/>
    <cellStyle name="Currency 4 2 7 2" xfId="2174"/>
    <cellStyle name="Currency 4 2 7 2 2" xfId="2175"/>
    <cellStyle name="Currency 4 2 7 2 2 2" xfId="2176"/>
    <cellStyle name="Currency 4 2 7 2 2 3" xfId="2177"/>
    <cellStyle name="Currency 4 2 7 2 3" xfId="2178"/>
    <cellStyle name="Currency 4 2 7 2 4" xfId="2179"/>
    <cellStyle name="Currency 4 2 7 2 5" xfId="2180"/>
    <cellStyle name="Currency 4 2 7 3" xfId="2181"/>
    <cellStyle name="Currency 4 2 7 3 2" xfId="2182"/>
    <cellStyle name="Currency 4 2 7 3 2 2" xfId="2183"/>
    <cellStyle name="Currency 4 2 7 3 2 3" xfId="2184"/>
    <cellStyle name="Currency 4 2 7 3 3" xfId="2185"/>
    <cellStyle name="Currency 4 2 7 3 4" xfId="2186"/>
    <cellStyle name="Currency 4 2 7 3 5" xfId="2187"/>
    <cellStyle name="Currency 4 2 7 4" xfId="2188"/>
    <cellStyle name="Currency 4 2 7 4 2" xfId="2189"/>
    <cellStyle name="Currency 4 2 7 4 3" xfId="2190"/>
    <cellStyle name="Currency 4 2 7 5" xfId="2191"/>
    <cellStyle name="Currency 4 2 7 6" xfId="2192"/>
    <cellStyle name="Currency 4 2 7 7" xfId="2193"/>
    <cellStyle name="Currency 4 2 8" xfId="2194"/>
    <cellStyle name="Currency 4 2 8 2" xfId="2195"/>
    <cellStyle name="Currency 4 2 8 2 2" xfId="2196"/>
    <cellStyle name="Currency 4 2 8 2 3" xfId="2197"/>
    <cellStyle name="Currency 4 2 8 3" xfId="2198"/>
    <cellStyle name="Currency 4 2 8 4" xfId="2199"/>
    <cellStyle name="Currency 4 2 8 5" xfId="2200"/>
    <cellStyle name="Currency 4 2 9" xfId="2201"/>
    <cellStyle name="Currency 4 2 9 2" xfId="2202"/>
    <cellStyle name="Currency 4 2 9 2 2" xfId="2203"/>
    <cellStyle name="Currency 4 2 9 2 3" xfId="2204"/>
    <cellStyle name="Currency 4 2 9 3" xfId="2205"/>
    <cellStyle name="Currency 4 2 9 4" xfId="2206"/>
    <cellStyle name="Currency 4 2 9 5" xfId="2207"/>
    <cellStyle name="Currency 4 3 10" xfId="2208"/>
    <cellStyle name="Currency 4 3 2 9" xfId="2209"/>
    <cellStyle name="Currency 4 3 2 2" xfId="2210"/>
    <cellStyle name="Currency 4 3 2 2 2" xfId="2211"/>
    <cellStyle name="Currency 4 3 2 2 2 2" xfId="2212"/>
    <cellStyle name="Currency 4 3 2 2 2 2 2" xfId="2213"/>
    <cellStyle name="Currency 4 3 2 2 2 2 3" xfId="2214"/>
    <cellStyle name="Currency 4 3 2 2 2 3" xfId="2215"/>
    <cellStyle name="Currency 4 3 2 2 2 4" xfId="2216"/>
    <cellStyle name="Currency 4 3 2 2 2 5" xfId="2217"/>
    <cellStyle name="Currency 4 3 2 2 3" xfId="2218"/>
    <cellStyle name="Currency 4 3 2 2 3 2" xfId="2219"/>
    <cellStyle name="Currency 4 3 2 2 3 2 2" xfId="2220"/>
    <cellStyle name="Currency 4 3 2 2 3 2 3" xfId="2221"/>
    <cellStyle name="Currency 4 3 2 2 3 3" xfId="2222"/>
    <cellStyle name="Currency 4 3 2 2 3 4" xfId="2223"/>
    <cellStyle name="Currency 4 3 2 2 3 5" xfId="2224"/>
    <cellStyle name="Currency 4 3 2 2 4" xfId="2225"/>
    <cellStyle name="Currency 4 3 2 2 4 2" xfId="2226"/>
    <cellStyle name="Currency 4 3 2 2 4 3" xfId="2227"/>
    <cellStyle name="Currency 4 3 2 2 5" xfId="2228"/>
    <cellStyle name="Currency 4 3 2 2 6" xfId="2229"/>
    <cellStyle name="Currency 4 3 2 2 7" xfId="2230"/>
    <cellStyle name="Currency 4 3 2 3" xfId="2231"/>
    <cellStyle name="Currency 4 3 2 3 2" xfId="2232"/>
    <cellStyle name="Currency 4 3 2 3 2 2" xfId="2233"/>
    <cellStyle name="Currency 4 3 2 3 2 3" xfId="2234"/>
    <cellStyle name="Currency 4 3 2 3 3" xfId="2235"/>
    <cellStyle name="Currency 4 3 2 3 4" xfId="2236"/>
    <cellStyle name="Currency 4 3 2 3 5" xfId="2237"/>
    <cellStyle name="Currency 4 3 2 4" xfId="2238"/>
    <cellStyle name="Currency 4 3 2 4 2" xfId="2239"/>
    <cellStyle name="Currency 4 3 2 4 2 2" xfId="2240"/>
    <cellStyle name="Currency 4 3 2 4 2 3" xfId="2241"/>
    <cellStyle name="Currency 4 3 2 4 3" xfId="2242"/>
    <cellStyle name="Currency 4 3 2 4 4" xfId="2243"/>
    <cellStyle name="Currency 4 3 2 4 5" xfId="2244"/>
    <cellStyle name="Currency 4 3 2 5" xfId="2245"/>
    <cellStyle name="Currency 4 3 2 5 2" xfId="2246"/>
    <cellStyle name="Currency 4 3 2 5 3" xfId="2247"/>
    <cellStyle name="Currency 4 3 2 6" xfId="2248"/>
    <cellStyle name="Currency 4 3 2 7" xfId="2249"/>
    <cellStyle name="Currency 4 3 2 8" xfId="2250"/>
    <cellStyle name="Currency 4 3 3 8" xfId="2251"/>
    <cellStyle name="Currency 4 3 3 2" xfId="2252"/>
    <cellStyle name="Currency 4 3 3 2 2" xfId="2253"/>
    <cellStyle name="Currency 4 3 3 2 2 2" xfId="2254"/>
    <cellStyle name="Currency 4 3 3 2 2 3" xfId="2255"/>
    <cellStyle name="Currency 4 3 3 2 3" xfId="2256"/>
    <cellStyle name="Currency 4 3 3 2 4" xfId="2257"/>
    <cellStyle name="Currency 4 3 3 2 5" xfId="2258"/>
    <cellStyle name="Currency 4 3 3 3" xfId="2259"/>
    <cellStyle name="Currency 4 3 3 3 2" xfId="2260"/>
    <cellStyle name="Currency 4 3 3 3 2 2" xfId="2261"/>
    <cellStyle name="Currency 4 3 3 3 2 3" xfId="2262"/>
    <cellStyle name="Currency 4 3 3 3 3" xfId="2263"/>
    <cellStyle name="Currency 4 3 3 3 4" xfId="2264"/>
    <cellStyle name="Currency 4 3 3 3 5" xfId="2265"/>
    <cellStyle name="Currency 4 3 3 4" xfId="2266"/>
    <cellStyle name="Currency 4 3 3 4 2" xfId="2267"/>
    <cellStyle name="Currency 4 3 3 4 3" xfId="2268"/>
    <cellStyle name="Currency 4 3 3 5" xfId="2269"/>
    <cellStyle name="Currency 4 3 3 6" xfId="2270"/>
    <cellStyle name="Currency 4 3 3 7" xfId="2271"/>
    <cellStyle name="Currency 4 3 4" xfId="2272"/>
    <cellStyle name="Currency 4 3 4 2" xfId="2273"/>
    <cellStyle name="Currency 4 3 4 2 2" xfId="2274"/>
    <cellStyle name="Currency 4 3 4 2 3" xfId="2275"/>
    <cellStyle name="Currency 4 3 4 3" xfId="2276"/>
    <cellStyle name="Currency 4 3 4 4" xfId="2277"/>
    <cellStyle name="Currency 4 3 4 5" xfId="2278"/>
    <cellStyle name="Currency 4 3 5" xfId="2279"/>
    <cellStyle name="Currency 4 3 5 2" xfId="2280"/>
    <cellStyle name="Currency 4 3 5 2 2" xfId="2281"/>
    <cellStyle name="Currency 4 3 5 2 3" xfId="2282"/>
    <cellStyle name="Currency 4 3 5 3" xfId="2283"/>
    <cellStyle name="Currency 4 3 5 4" xfId="2284"/>
    <cellStyle name="Currency 4 3 5 5" xfId="2285"/>
    <cellStyle name="Currency 4 3 6" xfId="2286"/>
    <cellStyle name="Currency 4 3 6 2" xfId="2287"/>
    <cellStyle name="Currency 4 3 6 3" xfId="2288"/>
    <cellStyle name="Currency 4 3 7" xfId="2289"/>
    <cellStyle name="Currency 4 3 8" xfId="2290"/>
    <cellStyle name="Currency 4 3 9" xfId="2291"/>
    <cellStyle name="Currency 4 4" xfId="2292"/>
    <cellStyle name="Currency 4 4 2" xfId="2293"/>
    <cellStyle name="Currency 4 4 2 2" xfId="2294"/>
    <cellStyle name="Currency 4 4 2 2 2" xfId="2295"/>
    <cellStyle name="Currency 4 4 2 2 2 2" xfId="2296"/>
    <cellStyle name="Currency 4 4 2 2 2 2 2" xfId="2297"/>
    <cellStyle name="Currency 4 4 2 2 2 2 3" xfId="2298"/>
    <cellStyle name="Currency 4 4 2 2 2 3" xfId="2299"/>
    <cellStyle name="Currency 4 4 2 2 2 4" xfId="2300"/>
    <cellStyle name="Currency 4 4 2 2 2 5" xfId="2301"/>
    <cellStyle name="Currency 4 4 2 2 3" xfId="2302"/>
    <cellStyle name="Currency 4 4 2 2 3 2" xfId="2303"/>
    <cellStyle name="Currency 4 4 2 2 3 2 2" xfId="2304"/>
    <cellStyle name="Currency 4 4 2 2 3 2 3" xfId="2305"/>
    <cellStyle name="Currency 4 4 2 2 3 3" xfId="2306"/>
    <cellStyle name="Currency 4 4 2 2 3 4" xfId="2307"/>
    <cellStyle name="Currency 4 4 2 2 3 5" xfId="2308"/>
    <cellStyle name="Currency 4 4 2 2 4" xfId="2309"/>
    <cellStyle name="Currency 4 4 2 2 4 2" xfId="2310"/>
    <cellStyle name="Currency 4 4 2 2 4 3" xfId="2311"/>
    <cellStyle name="Currency 4 4 2 2 5" xfId="2312"/>
    <cellStyle name="Currency 4 4 2 2 6" xfId="2313"/>
    <cellStyle name="Currency 4 4 2 2 7" xfId="2314"/>
    <cellStyle name="Currency 4 4 2 3" xfId="2315"/>
    <cellStyle name="Currency 4 4 2 3 2" xfId="2316"/>
    <cellStyle name="Currency 4 4 2 3 2 2" xfId="2317"/>
    <cellStyle name="Currency 4 4 2 3 2 3" xfId="2318"/>
    <cellStyle name="Currency 4 4 2 3 3" xfId="2319"/>
    <cellStyle name="Currency 4 4 2 3 4" xfId="2320"/>
    <cellStyle name="Currency 4 4 2 3 5" xfId="2321"/>
    <cellStyle name="Currency 4 4 2 4" xfId="2322"/>
    <cellStyle name="Currency 4 4 2 4 2" xfId="2323"/>
    <cellStyle name="Currency 4 4 2 4 2 2" xfId="2324"/>
    <cellStyle name="Currency 4 4 2 4 2 3" xfId="2325"/>
    <cellStyle name="Currency 4 4 2 4 3" xfId="2326"/>
    <cellStyle name="Currency 4 4 2 4 4" xfId="2327"/>
    <cellStyle name="Currency 4 4 2 4 5" xfId="2328"/>
    <cellStyle name="Currency 4 4 2 5" xfId="2329"/>
    <cellStyle name="Currency 4 4 2 5 2" xfId="2330"/>
    <cellStyle name="Currency 4 4 2 5 3" xfId="2331"/>
    <cellStyle name="Currency 4 4 2 6" xfId="2332"/>
    <cellStyle name="Currency 4 4 2 7" xfId="2333"/>
    <cellStyle name="Currency 4 4 2 8" xfId="2334"/>
    <cellStyle name="Currency 4 4 3" xfId="2335"/>
    <cellStyle name="Currency 4 4 3 2" xfId="2336"/>
    <cellStyle name="Currency 4 4 3 2 2" xfId="2337"/>
    <cellStyle name="Currency 4 4 3 2 2 2" xfId="2338"/>
    <cellStyle name="Currency 4 4 3 2 2 3" xfId="2339"/>
    <cellStyle name="Currency 4 4 3 2 3" xfId="2340"/>
    <cellStyle name="Currency 4 4 3 2 4" xfId="2341"/>
    <cellStyle name="Currency 4 4 3 2 5" xfId="2342"/>
    <cellStyle name="Currency 4 4 3 3" xfId="2343"/>
    <cellStyle name="Currency 4 4 3 3 2" xfId="2344"/>
    <cellStyle name="Currency 4 4 3 3 2 2" xfId="2345"/>
    <cellStyle name="Currency 4 4 3 3 2 3" xfId="2346"/>
    <cellStyle name="Currency 4 4 3 3 3" xfId="2347"/>
    <cellStyle name="Currency 4 4 3 3 4" xfId="2348"/>
    <cellStyle name="Currency 4 4 3 3 5" xfId="2349"/>
    <cellStyle name="Currency 4 4 3 4" xfId="2350"/>
    <cellStyle name="Currency 4 4 3 4 2" xfId="2351"/>
    <cellStyle name="Currency 4 4 3 4 3" xfId="2352"/>
    <cellStyle name="Currency 4 4 3 5" xfId="2353"/>
    <cellStyle name="Currency 4 4 3 6" xfId="2354"/>
    <cellStyle name="Currency 4 4 3 7" xfId="2355"/>
    <cellStyle name="Currency 4 4 4" xfId="2356"/>
    <cellStyle name="Currency 4 4 4 2" xfId="2357"/>
    <cellStyle name="Currency 4 4 4 2 2" xfId="2358"/>
    <cellStyle name="Currency 4 4 4 2 3" xfId="2359"/>
    <cellStyle name="Currency 4 4 4 3" xfId="2360"/>
    <cellStyle name="Currency 4 4 4 4" xfId="2361"/>
    <cellStyle name="Currency 4 4 4 5" xfId="2362"/>
    <cellStyle name="Currency 4 4 5" xfId="2363"/>
    <cellStyle name="Currency 4 4 5 2" xfId="2364"/>
    <cellStyle name="Currency 4 4 5 2 2" xfId="2365"/>
    <cellStyle name="Currency 4 4 5 2 3" xfId="2366"/>
    <cellStyle name="Currency 4 4 5 3" xfId="2367"/>
    <cellStyle name="Currency 4 4 5 4" xfId="2368"/>
    <cellStyle name="Currency 4 4 5 5" xfId="2369"/>
    <cellStyle name="Currency 4 4 6" xfId="2370"/>
    <cellStyle name="Currency 4 4 6 2" xfId="2371"/>
    <cellStyle name="Currency 4 4 6 3" xfId="2372"/>
    <cellStyle name="Currency 4 4 7" xfId="2373"/>
    <cellStyle name="Currency 4 4 8" xfId="2374"/>
    <cellStyle name="Currency 4 4 9" xfId="2375"/>
    <cellStyle name="Currency 4 5" xfId="2376"/>
    <cellStyle name="Currency 4 5 2" xfId="2377"/>
    <cellStyle name="Currency 4 5 2 2" xfId="2378"/>
    <cellStyle name="Currency 4 5 2 2 2" xfId="2379"/>
    <cellStyle name="Currency 4 5 2 2 2 2" xfId="2380"/>
    <cellStyle name="Currency 4 5 2 2 2 2 2" xfId="2381"/>
    <cellStyle name="Currency 4 5 2 2 2 2 3" xfId="2382"/>
    <cellStyle name="Currency 4 5 2 2 2 3" xfId="2383"/>
    <cellStyle name="Currency 4 5 2 2 2 4" xfId="2384"/>
    <cellStyle name="Currency 4 5 2 2 2 5" xfId="2385"/>
    <cellStyle name="Currency 4 5 2 2 3" xfId="2386"/>
    <cellStyle name="Currency 4 5 2 2 3 2" xfId="2387"/>
    <cellStyle name="Currency 4 5 2 2 3 2 2" xfId="2388"/>
    <cellStyle name="Currency 4 5 2 2 3 2 3" xfId="2389"/>
    <cellStyle name="Currency 4 5 2 2 3 3" xfId="2390"/>
    <cellStyle name="Currency 4 5 2 2 3 4" xfId="2391"/>
    <cellStyle name="Currency 4 5 2 2 3 5" xfId="2392"/>
    <cellStyle name="Currency 4 5 2 2 4" xfId="2393"/>
    <cellStyle name="Currency 4 5 2 2 4 2" xfId="2394"/>
    <cellStyle name="Currency 4 5 2 2 4 3" xfId="2395"/>
    <cellStyle name="Currency 4 5 2 2 5" xfId="2396"/>
    <cellStyle name="Currency 4 5 2 2 6" xfId="2397"/>
    <cellStyle name="Currency 4 5 2 2 7" xfId="2398"/>
    <cellStyle name="Currency 4 5 2 3" xfId="2399"/>
    <cellStyle name="Currency 4 5 2 3 2" xfId="2400"/>
    <cellStyle name="Currency 4 5 2 3 2 2" xfId="2401"/>
    <cellStyle name="Currency 4 5 2 3 2 3" xfId="2402"/>
    <cellStyle name="Currency 4 5 2 3 3" xfId="2403"/>
    <cellStyle name="Currency 4 5 2 3 4" xfId="2404"/>
    <cellStyle name="Currency 4 5 2 3 5" xfId="2405"/>
    <cellStyle name="Currency 4 5 2 4" xfId="2406"/>
    <cellStyle name="Currency 4 5 2 4 2" xfId="2407"/>
    <cellStyle name="Currency 4 5 2 4 2 2" xfId="2408"/>
    <cellStyle name="Currency 4 5 2 4 2 3" xfId="2409"/>
    <cellStyle name="Currency 4 5 2 4 3" xfId="2410"/>
    <cellStyle name="Currency 4 5 2 4 4" xfId="2411"/>
    <cellStyle name="Currency 4 5 2 4 5" xfId="2412"/>
    <cellStyle name="Currency 4 5 2 5" xfId="2413"/>
    <cellStyle name="Currency 4 5 2 5 2" xfId="2414"/>
    <cellStyle name="Currency 4 5 2 5 3" xfId="2415"/>
    <cellStyle name="Currency 4 5 2 6" xfId="2416"/>
    <cellStyle name="Currency 4 5 2 7" xfId="2417"/>
    <cellStyle name="Currency 4 5 2 8" xfId="2418"/>
    <cellStyle name="Currency 4 5 3" xfId="2419"/>
    <cellStyle name="Currency 4 5 3 2" xfId="2420"/>
    <cellStyle name="Currency 4 5 3 2 2" xfId="2421"/>
    <cellStyle name="Currency 4 5 3 2 2 2" xfId="2422"/>
    <cellStyle name="Currency 4 5 3 2 2 3" xfId="2423"/>
    <cellStyle name="Currency 4 5 3 2 3" xfId="2424"/>
    <cellStyle name="Currency 4 5 3 2 4" xfId="2425"/>
    <cellStyle name="Currency 4 5 3 2 5" xfId="2426"/>
    <cellStyle name="Currency 4 5 3 3" xfId="2427"/>
    <cellStyle name="Currency 4 5 3 3 2" xfId="2428"/>
    <cellStyle name="Currency 4 5 3 3 2 2" xfId="2429"/>
    <cellStyle name="Currency 4 5 3 3 2 3" xfId="2430"/>
    <cellStyle name="Currency 4 5 3 3 3" xfId="2431"/>
    <cellStyle name="Currency 4 5 3 3 4" xfId="2432"/>
    <cellStyle name="Currency 4 5 3 3 5" xfId="2433"/>
    <cellStyle name="Currency 4 5 3 4" xfId="2434"/>
    <cellStyle name="Currency 4 5 3 4 2" xfId="2435"/>
    <cellStyle name="Currency 4 5 3 4 3" xfId="2436"/>
    <cellStyle name="Currency 4 5 3 5" xfId="2437"/>
    <cellStyle name="Currency 4 5 3 6" xfId="2438"/>
    <cellStyle name="Currency 4 5 3 7" xfId="2439"/>
    <cellStyle name="Currency 4 5 4" xfId="2440"/>
    <cellStyle name="Currency 4 5 4 2" xfId="2441"/>
    <cellStyle name="Currency 4 5 4 2 2" xfId="2442"/>
    <cellStyle name="Currency 4 5 4 2 3" xfId="2443"/>
    <cellStyle name="Currency 4 5 4 3" xfId="2444"/>
    <cellStyle name="Currency 4 5 4 4" xfId="2445"/>
    <cellStyle name="Currency 4 5 4 5" xfId="2446"/>
    <cellStyle name="Currency 4 5 5" xfId="2447"/>
    <cellStyle name="Currency 4 5 5 2" xfId="2448"/>
    <cellStyle name="Currency 4 5 5 2 2" xfId="2449"/>
    <cellStyle name="Currency 4 5 5 2 3" xfId="2450"/>
    <cellStyle name="Currency 4 5 5 3" xfId="2451"/>
    <cellStyle name="Currency 4 5 5 4" xfId="2452"/>
    <cellStyle name="Currency 4 5 5 5" xfId="2453"/>
    <cellStyle name="Currency 4 5 6" xfId="2454"/>
    <cellStyle name="Currency 4 5 6 2" xfId="2455"/>
    <cellStyle name="Currency 4 5 6 3" xfId="2456"/>
    <cellStyle name="Currency 4 5 7" xfId="2457"/>
    <cellStyle name="Currency 4 5 8" xfId="2458"/>
    <cellStyle name="Currency 4 5 9" xfId="2459"/>
    <cellStyle name="Currency 4 6" xfId="2460"/>
    <cellStyle name="Currency 4 6 2" xfId="2461"/>
    <cellStyle name="Currency 4 6 2 2" xfId="2462"/>
    <cellStyle name="Currency 4 6 2 2 2" xfId="2463"/>
    <cellStyle name="Currency 4 6 2 2 2 2" xfId="2464"/>
    <cellStyle name="Currency 4 6 2 2 2 3" xfId="2465"/>
    <cellStyle name="Currency 4 6 2 2 3" xfId="2466"/>
    <cellStyle name="Currency 4 6 2 2 4" xfId="2467"/>
    <cellStyle name="Currency 4 6 2 2 5" xfId="2468"/>
    <cellStyle name="Currency 4 6 2 3" xfId="2469"/>
    <cellStyle name="Currency 4 6 2 3 2" xfId="2470"/>
    <cellStyle name="Currency 4 6 2 3 2 2" xfId="2471"/>
    <cellStyle name="Currency 4 6 2 3 2 3" xfId="2472"/>
    <cellStyle name="Currency 4 6 2 3 3" xfId="2473"/>
    <cellStyle name="Currency 4 6 2 3 4" xfId="2474"/>
    <cellStyle name="Currency 4 6 2 3 5" xfId="2475"/>
    <cellStyle name="Currency 4 6 2 4" xfId="2476"/>
    <cellStyle name="Currency 4 6 2 4 2" xfId="2477"/>
    <cellStyle name="Currency 4 6 2 4 3" xfId="2478"/>
    <cellStyle name="Currency 4 6 2 5" xfId="2479"/>
    <cellStyle name="Currency 4 6 2 6" xfId="2480"/>
    <cellStyle name="Currency 4 6 2 7" xfId="2481"/>
    <cellStyle name="Currency 4 6 3" xfId="2482"/>
    <cellStyle name="Currency 4 6 3 2" xfId="2483"/>
    <cellStyle name="Currency 4 6 3 2 2" xfId="2484"/>
    <cellStyle name="Currency 4 6 3 2 3" xfId="2485"/>
    <cellStyle name="Currency 4 6 3 3" xfId="2486"/>
    <cellStyle name="Currency 4 6 3 4" xfId="2487"/>
    <cellStyle name="Currency 4 6 3 5" xfId="2488"/>
    <cellStyle name="Currency 4 6 4" xfId="2489"/>
    <cellStyle name="Currency 4 6 4 2" xfId="2490"/>
    <cellStyle name="Currency 4 6 4 2 2" xfId="2491"/>
    <cellStyle name="Currency 4 6 4 2 3" xfId="2492"/>
    <cellStyle name="Currency 4 6 4 3" xfId="2493"/>
    <cellStyle name="Currency 4 6 4 4" xfId="2494"/>
    <cellStyle name="Currency 4 6 4 5" xfId="2495"/>
    <cellStyle name="Currency 4 6 5" xfId="2496"/>
    <cellStyle name="Currency 4 6 5 2" xfId="2497"/>
    <cellStyle name="Currency 4 6 5 3" xfId="2498"/>
    <cellStyle name="Currency 4 6 6" xfId="2499"/>
    <cellStyle name="Currency 4 6 7" xfId="2500"/>
    <cellStyle name="Currency 4 6 8" xfId="2501"/>
    <cellStyle name="Currency 4 7" xfId="2502"/>
    <cellStyle name="Currency 4 7 2" xfId="2503"/>
    <cellStyle name="Currency 4 7 2 2" xfId="2504"/>
    <cellStyle name="Currency 4 7 2 2 2" xfId="2505"/>
    <cellStyle name="Currency 4 7 2 2 3" xfId="2506"/>
    <cellStyle name="Currency 4 7 2 3" xfId="2507"/>
    <cellStyle name="Currency 4 7 2 4" xfId="2508"/>
    <cellStyle name="Currency 4 7 2 5" xfId="2509"/>
    <cellStyle name="Currency 4 7 3" xfId="2510"/>
    <cellStyle name="Currency 4 7 3 2" xfId="2511"/>
    <cellStyle name="Currency 4 7 3 2 2" xfId="2512"/>
    <cellStyle name="Currency 4 7 3 2 3" xfId="2513"/>
    <cellStyle name="Currency 4 7 3 3" xfId="2514"/>
    <cellStyle name="Currency 4 7 3 4" xfId="2515"/>
    <cellStyle name="Currency 4 7 3 5" xfId="2516"/>
    <cellStyle name="Currency 4 8" xfId="2517"/>
    <cellStyle name="Currency 4 8 2" xfId="2518"/>
    <cellStyle name="Currency 4 8 2 2" xfId="2519"/>
    <cellStyle name="Currency 4 8 2 2 2" xfId="2520"/>
    <cellStyle name="Currency 4 8 2 2 3" xfId="2521"/>
    <cellStyle name="Currency 4 8 2 3" xfId="2522"/>
    <cellStyle name="Currency 4 8 2 4" xfId="2523"/>
    <cellStyle name="Currency 4 8 2 5" xfId="2524"/>
    <cellStyle name="Currency 4 8 3" xfId="2525"/>
    <cellStyle name="Currency 4 8 3 2" xfId="2526"/>
    <cellStyle name="Currency 4 8 3 2 2" xfId="2527"/>
    <cellStyle name="Currency 4 8 3 2 3" xfId="2528"/>
    <cellStyle name="Currency 4 8 3 3" xfId="2529"/>
    <cellStyle name="Currency 4 8 3 4" xfId="2530"/>
    <cellStyle name="Currency 4 8 3 5" xfId="2531"/>
    <cellStyle name="Currency 4 8 4" xfId="2532"/>
    <cellStyle name="Currency 4 8 4 2" xfId="2533"/>
    <cellStyle name="Currency 4 8 4 3" xfId="2534"/>
    <cellStyle name="Currency 4 8 5" xfId="2535"/>
    <cellStyle name="Currency 4 8 6" xfId="2536"/>
    <cellStyle name="Currency 4 8 7" xfId="2537"/>
    <cellStyle name="Currency 4 9" xfId="2538"/>
    <cellStyle name="Currency 4 9 2" xfId="2539"/>
    <cellStyle name="Currency 4 9 2 2" xfId="2540"/>
    <cellStyle name="Currency 4 9 2 3" xfId="2541"/>
    <cellStyle name="Currency 4 9 3" xfId="2542"/>
    <cellStyle name="Currency 4 9 4" xfId="2543"/>
    <cellStyle name="Currency 4 9 5" xfId="2544"/>
    <cellStyle name="Currency0 2" xfId="2545"/>
    <cellStyle name="Date 2" xfId="2546"/>
    <cellStyle name="Explanatory Text 2 2 2" xfId="2547"/>
    <cellStyle name="Explanatory Text 3" xfId="2548"/>
    <cellStyle name="Explanatory Text 4" xfId="2549"/>
    <cellStyle name="Explanatory Text 5" xfId="2550"/>
    <cellStyle name="Explanatory Text 6" xfId="2551"/>
    <cellStyle name="Explanatory Text 7" xfId="2552"/>
    <cellStyle name="Explanatory Text 8" xfId="2553"/>
    <cellStyle name="Explanatory Text 9" xfId="2554"/>
    <cellStyle name="Fixed 2" xfId="2555"/>
    <cellStyle name="Good 2 2 2" xfId="2556"/>
    <cellStyle name="Good 3" xfId="2557"/>
    <cellStyle name="Good 4" xfId="2558"/>
    <cellStyle name="Good 5" xfId="2559"/>
    <cellStyle name="Good 6" xfId="2560"/>
    <cellStyle name="Good 7" xfId="2561"/>
    <cellStyle name="Good 8" xfId="2562"/>
    <cellStyle name="Good 9" xfId="2563"/>
    <cellStyle name="Heading 1 2 3" xfId="2564"/>
    <cellStyle name="Heading 1 2 2 2" xfId="2565"/>
    <cellStyle name="Heading 1 3" xfId="2566"/>
    <cellStyle name="Heading 1 4" xfId="2567"/>
    <cellStyle name="Heading 1 5" xfId="2568"/>
    <cellStyle name="Heading 1 6" xfId="2569"/>
    <cellStyle name="Heading 1 7" xfId="2570"/>
    <cellStyle name="Heading 1 8" xfId="2571"/>
    <cellStyle name="Heading 2 2 2 2" xfId="2572"/>
    <cellStyle name="Heading 2 3" xfId="2573"/>
    <cellStyle name="Heading 2 4" xfId="2574"/>
    <cellStyle name="Heading 2 5" xfId="2575"/>
    <cellStyle name="Heading 2 6" xfId="2576"/>
    <cellStyle name="Heading 2 7" xfId="2577"/>
    <cellStyle name="Heading 2 8" xfId="2578"/>
    <cellStyle name="Heading 3 3" xfId="2579"/>
    <cellStyle name="Heading 3 4" xfId="2580"/>
    <cellStyle name="Heading 3 5" xfId="2581"/>
    <cellStyle name="Heading 3 6" xfId="2582"/>
    <cellStyle name="Heading 3 7" xfId="2583"/>
    <cellStyle name="Heading 3 8" xfId="2584"/>
    <cellStyle name="Heading 3 9" xfId="2585"/>
    <cellStyle name="Heading 4 3" xfId="2586"/>
    <cellStyle name="Heading 4 4" xfId="2587"/>
    <cellStyle name="Heading 4 5" xfId="2588"/>
    <cellStyle name="Heading 4 6" xfId="2589"/>
    <cellStyle name="Heading 4 7" xfId="2590"/>
    <cellStyle name="Heading 4 8" xfId="2591"/>
    <cellStyle name="Heading 4 9" xfId="2592"/>
    <cellStyle name="Input 2 2 2" xfId="2593"/>
    <cellStyle name="Input 5" xfId="2594"/>
    <cellStyle name="Input 6" xfId="2595"/>
    <cellStyle name="Input 7" xfId="2596"/>
    <cellStyle name="Input 8" xfId="2597"/>
    <cellStyle name="Input 9" xfId="2598"/>
    <cellStyle name="Linked Cell 2 2" xfId="2599"/>
    <cellStyle name="Linked Cell 3" xfId="2600"/>
    <cellStyle name="Linked Cell 4" xfId="2601"/>
    <cellStyle name="Linked Cell 5" xfId="2602"/>
    <cellStyle name="Linked Cell 6" xfId="2603"/>
    <cellStyle name="Linked Cell 7" xfId="2604"/>
    <cellStyle name="Linked Cell 8" xfId="2605"/>
    <cellStyle name="Linked Cell 9" xfId="2606"/>
    <cellStyle name="Neutral 2 2" xfId="2607"/>
    <cellStyle name="Neutral 3" xfId="2608"/>
    <cellStyle name="Neutral 4" xfId="2609"/>
    <cellStyle name="Neutral 5" xfId="2610"/>
    <cellStyle name="Neutral 6" xfId="2611"/>
    <cellStyle name="Neutral 7" xfId="2612"/>
    <cellStyle name="Neutral 8" xfId="2613"/>
    <cellStyle name="Neutral 9" xfId="2614"/>
    <cellStyle name="Normal 13 2 4" xfId="2615"/>
    <cellStyle name="Normal 13 2 2" xfId="2616"/>
    <cellStyle name="Normal 13 2 3" xfId="2617"/>
    <cellStyle name="Normal 13 3" xfId="2618"/>
    <cellStyle name="Normal 13 4" xfId="2619"/>
    <cellStyle name="Normal 13 5" xfId="2620"/>
    <cellStyle name="Normal 14 2 2" xfId="2621"/>
    <cellStyle name="Normal 16 2" xfId="2622"/>
    <cellStyle name="Normal 17 2" xfId="2623"/>
    <cellStyle name="Normal 19 2 2" xfId="2624"/>
    <cellStyle name="Normal 19 3" xfId="2625"/>
    <cellStyle name="Normal 25 3" xfId="2626"/>
    <cellStyle name="Normal 26 3" xfId="2627"/>
    <cellStyle name="Normal 26 2 2" xfId="2628"/>
    <cellStyle name="Normal 27 3" xfId="2629"/>
    <cellStyle name="Normal 28 3" xfId="2630"/>
    <cellStyle name="Normal 29 4" xfId="2631"/>
    <cellStyle name="Normal 29 2 3" xfId="2632"/>
    <cellStyle name="Normal 29 3" xfId="2633"/>
    <cellStyle name="Normal 30 2" xfId="2634"/>
    <cellStyle name="Normal 31 2" xfId="2635"/>
    <cellStyle name="Normal 32 3" xfId="2636"/>
    <cellStyle name="Normal 32 2" xfId="2637"/>
    <cellStyle name="Normal 33 3" xfId="2638"/>
    <cellStyle name="Normal 33 2" xfId="2639"/>
    <cellStyle name="Normal 34 2" xfId="2640"/>
    <cellStyle name="Normal 4 10" xfId="2641"/>
    <cellStyle name="Normal 4 10 2" xfId="2642"/>
    <cellStyle name="Normal 4 10 2 2" xfId="2643"/>
    <cellStyle name="Normal 4 10 2 2 2" xfId="2644"/>
    <cellStyle name="Normal 4 10 2 2 2 2" xfId="2645"/>
    <cellStyle name="Normal 4 10 2 2 2 3" xfId="2646"/>
    <cellStyle name="Normal 4 10 2 2 3" xfId="2647"/>
    <cellStyle name="Normal 4 10 2 2 4" xfId="2648"/>
    <cellStyle name="Normal 4 10 2 2 5" xfId="2649"/>
    <cellStyle name="Normal 4 10 2 3" xfId="2650"/>
    <cellStyle name="Normal 4 10 2 3 2" xfId="2651"/>
    <cellStyle name="Normal 4 10 2 3 2 2" xfId="2652"/>
    <cellStyle name="Normal 4 10 2 3 2 3" xfId="2653"/>
    <cellStyle name="Normal 4 10 2 3 3" xfId="2654"/>
    <cellStyle name="Normal 4 10 2 3 4" xfId="2655"/>
    <cellStyle name="Normal 4 10 2 3 5" xfId="2656"/>
    <cellStyle name="Normal 4 10 2 4" xfId="2657"/>
    <cellStyle name="Normal 4 10 2 4 2" xfId="2658"/>
    <cellStyle name="Normal 4 10 2 4 3" xfId="2659"/>
    <cellStyle name="Normal 4 10 2 5" xfId="2660"/>
    <cellStyle name="Normal 4 10 2 6" xfId="2661"/>
    <cellStyle name="Normal 4 10 2 7" xfId="2662"/>
    <cellStyle name="Normal 4 10 3" xfId="2663"/>
    <cellStyle name="Normal 4 10 3 2" xfId="2664"/>
    <cellStyle name="Normal 4 10 3 2 2" xfId="2665"/>
    <cellStyle name="Normal 4 10 3 2 3" xfId="2666"/>
    <cellStyle name="Normal 4 10 3 3" xfId="2667"/>
    <cellStyle name="Normal 4 10 3 4" xfId="2668"/>
    <cellStyle name="Normal 4 10 3 5" xfId="2669"/>
    <cellStyle name="Normal 4 10 4" xfId="2670"/>
    <cellStyle name="Normal 4 10 4 2" xfId="2671"/>
    <cellStyle name="Normal 4 10 4 2 2" xfId="2672"/>
    <cellStyle name="Normal 4 10 4 2 3" xfId="2673"/>
    <cellStyle name="Normal 4 10 4 3" xfId="2674"/>
    <cellStyle name="Normal 4 10 4 4" xfId="2675"/>
    <cellStyle name="Normal 4 10 4 5" xfId="2676"/>
    <cellStyle name="Normal 4 10 5" xfId="2677"/>
    <cellStyle name="Normal 4 10 5 2" xfId="2678"/>
    <cellStyle name="Normal 4 10 5 3" xfId="2679"/>
    <cellStyle name="Normal 4 10 6" xfId="2680"/>
    <cellStyle name="Normal 4 10 7" xfId="2681"/>
    <cellStyle name="Normal 4 10 8" xfId="2682"/>
    <cellStyle name="Normal 4 11" xfId="2683"/>
    <cellStyle name="Normal 4 11 2" xfId="2684"/>
    <cellStyle name="Normal 4 11 2 2" xfId="2685"/>
    <cellStyle name="Normal 4 11 2 2 2" xfId="2686"/>
    <cellStyle name="Normal 4 11 2 2 3" xfId="2687"/>
    <cellStyle name="Normal 4 11 2 3" xfId="2688"/>
    <cellStyle name="Normal 4 11 2 4" xfId="2689"/>
    <cellStyle name="Normal 4 11 2 5" xfId="2690"/>
    <cellStyle name="Normal 4 11 3" xfId="2691"/>
    <cellStyle name="Normal 4 11 3 2" xfId="2692"/>
    <cellStyle name="Normal 4 11 3 2 2" xfId="2693"/>
    <cellStyle name="Normal 4 11 3 2 3" xfId="2694"/>
    <cellStyle name="Normal 4 11 3 3" xfId="2695"/>
    <cellStyle name="Normal 4 11 3 4" xfId="2696"/>
    <cellStyle name="Normal 4 11 3 5" xfId="2697"/>
    <cellStyle name="Normal 4 11 4" xfId="2698"/>
    <cellStyle name="Normal 4 11 4 2" xfId="2699"/>
    <cellStyle name="Normal 4 11 4 3" xfId="2700"/>
    <cellStyle name="Normal 4 11 5" xfId="2701"/>
    <cellStyle name="Normal 4 11 6" xfId="2702"/>
    <cellStyle name="Normal 4 11 7" xfId="2703"/>
    <cellStyle name="Normal 4 12" xfId="2704"/>
    <cellStyle name="Normal 4 12 2" xfId="2705"/>
    <cellStyle name="Normal 4 12 2 2" xfId="2706"/>
    <cellStyle name="Normal 4 12 2 2 2" xfId="2707"/>
    <cellStyle name="Normal 4 12 2 2 3" xfId="2708"/>
    <cellStyle name="Normal 4 12 2 3" xfId="2709"/>
    <cellStyle name="Normal 4 12 2 4" xfId="2710"/>
    <cellStyle name="Normal 4 12 2 5" xfId="2711"/>
    <cellStyle name="Normal 4 12 3" xfId="2712"/>
    <cellStyle name="Normal 4 12 3 2" xfId="2713"/>
    <cellStyle name="Normal 4 12 3 2 2" xfId="2714"/>
    <cellStyle name="Normal 4 12 3 2 3" xfId="2715"/>
    <cellStyle name="Normal 4 12 3 3" xfId="2716"/>
    <cellStyle name="Normal 4 12 3 4" xfId="2717"/>
    <cellStyle name="Normal 4 12 3 5" xfId="2718"/>
    <cellStyle name="Normal 4 12 4" xfId="2719"/>
    <cellStyle name="Normal 4 12 4 2" xfId="2720"/>
    <cellStyle name="Normal 4 12 4 3" xfId="2721"/>
    <cellStyle name="Normal 4 12 5" xfId="2722"/>
    <cellStyle name="Normal 4 12 6" xfId="2723"/>
    <cellStyle name="Normal 4 12 7" xfId="2724"/>
    <cellStyle name="Normal 4 13" xfId="2725"/>
    <cellStyle name="Normal 4 13 2" xfId="2726"/>
    <cellStyle name="Normal 4 13 2 2" xfId="2727"/>
    <cellStyle name="Normal 4 13 2 3" xfId="2728"/>
    <cellStyle name="Normal 4 13 3" xfId="2729"/>
    <cellStyle name="Normal 4 13 4" xfId="2730"/>
    <cellStyle name="Normal 4 13 5" xfId="2731"/>
    <cellStyle name="Normal 4 14" xfId="2732"/>
    <cellStyle name="Normal 4 14 2" xfId="2733"/>
    <cellStyle name="Normal 4 14 2 2" xfId="2734"/>
    <cellStyle name="Normal 4 14 2 3" xfId="2735"/>
    <cellStyle name="Normal 4 14 3" xfId="2736"/>
    <cellStyle name="Normal 4 14 4" xfId="2737"/>
    <cellStyle name="Normal 4 14 5" xfId="2738"/>
    <cellStyle name="Normal 4 2 10" xfId="2739"/>
    <cellStyle name="Normal 4 2 10 2" xfId="2740"/>
    <cellStyle name="Normal 4 2 10 2 2" xfId="2741"/>
    <cellStyle name="Normal 4 2 10 2 2 2" xfId="2742"/>
    <cellStyle name="Normal 4 2 10 2 2 3" xfId="2743"/>
    <cellStyle name="Normal 4 2 10 2 3" xfId="2744"/>
    <cellStyle name="Normal 4 2 10 2 4" xfId="2745"/>
    <cellStyle name="Normal 4 2 10 2 5" xfId="2746"/>
    <cellStyle name="Normal 4 2 10 3" xfId="2747"/>
    <cellStyle name="Normal 4 2 10 3 2" xfId="2748"/>
    <cellStyle name="Normal 4 2 10 3 2 2" xfId="2749"/>
    <cellStyle name="Normal 4 2 10 3 2 3" xfId="2750"/>
    <cellStyle name="Normal 4 2 10 3 3" xfId="2751"/>
    <cellStyle name="Normal 4 2 10 3 4" xfId="2752"/>
    <cellStyle name="Normal 4 2 10 3 5" xfId="2753"/>
    <cellStyle name="Normal 4 2 10 4" xfId="2754"/>
    <cellStyle name="Normal 4 2 10 4 2" xfId="2755"/>
    <cellStyle name="Normal 4 2 10 4 3" xfId="2756"/>
    <cellStyle name="Normal 4 2 10 5" xfId="2757"/>
    <cellStyle name="Normal 4 2 10 6" xfId="2758"/>
    <cellStyle name="Normal 4 2 10 7" xfId="2759"/>
    <cellStyle name="Normal 4 2 11" xfId="2760"/>
    <cellStyle name="Normal 4 2 11 2" xfId="2761"/>
    <cellStyle name="Normal 4 2 11 2 2" xfId="2762"/>
    <cellStyle name="Normal 4 2 11 2 3" xfId="2763"/>
    <cellStyle name="Normal 4 2 11 3" xfId="2764"/>
    <cellStyle name="Normal 4 2 11 4" xfId="2765"/>
    <cellStyle name="Normal 4 2 11 5" xfId="2766"/>
    <cellStyle name="Normal 4 2 12" xfId="2767"/>
    <cellStyle name="Normal 4 2 12 2" xfId="2768"/>
    <cellStyle name="Normal 4 2 12 2 2" xfId="2769"/>
    <cellStyle name="Normal 4 2 12 2 3" xfId="2770"/>
    <cellStyle name="Normal 4 2 12 3" xfId="2771"/>
    <cellStyle name="Normal 4 2 12 4" xfId="2772"/>
    <cellStyle name="Normal 4 2 12 5" xfId="2773"/>
    <cellStyle name="Normal 4 2 2 10" xfId="2774"/>
    <cellStyle name="Normal 4 2 2 10 2" xfId="2775"/>
    <cellStyle name="Normal 4 2 2 10 2 2" xfId="2776"/>
    <cellStyle name="Normal 4 2 2 10 2 3" xfId="2777"/>
    <cellStyle name="Normal 4 2 2 10 3" xfId="2778"/>
    <cellStyle name="Normal 4 2 2 10 4" xfId="2779"/>
    <cellStyle name="Normal 4 2 2 10 5" xfId="2780"/>
    <cellStyle name="Normal 4 2 2 11" xfId="2781"/>
    <cellStyle name="Normal 4 2 2 11 2" xfId="2782"/>
    <cellStyle name="Normal 4 2 2 11 3" xfId="2783"/>
    <cellStyle name="Normal 4 2 2 12" xfId="2784"/>
    <cellStyle name="Normal 4 2 2 13" xfId="2785"/>
    <cellStyle name="Normal 4 2 2 14" xfId="2786"/>
    <cellStyle name="Normal 4 2 2 2" xfId="2787"/>
    <cellStyle name="Normal 4 2 2 2 10" xfId="2788"/>
    <cellStyle name="Normal 4 2 2 2 10 2" xfId="2789"/>
    <cellStyle name="Normal 4 2 2 2 10 3" xfId="2790"/>
    <cellStyle name="Normal 4 2 2 2 11" xfId="2791"/>
    <cellStyle name="Normal 4 2 2 2 12" xfId="2792"/>
    <cellStyle name="Normal 4 2 2 2 13" xfId="2793"/>
    <cellStyle name="Normal 4 2 2 2 2" xfId="2794"/>
    <cellStyle name="Normal 4 2 2 2 2 2" xfId="2795"/>
    <cellStyle name="Normal 4 2 2 2 2 2 2" xfId="2796"/>
    <cellStyle name="Normal 4 2 2 2 2 2 2 2" xfId="2797"/>
    <cellStyle name="Normal 4 2 2 2 2 2 2 2 2" xfId="2798"/>
    <cellStyle name="Normal 4 2 2 2 2 2 2 2 2 2" xfId="2799"/>
    <cellStyle name="Normal 4 2 2 2 2 2 2 2 2 3" xfId="2800"/>
    <cellStyle name="Normal 4 2 2 2 2 2 2 2 3" xfId="2801"/>
    <cellStyle name="Normal 4 2 2 2 2 2 2 2 4" xfId="2802"/>
    <cellStyle name="Normal 4 2 2 2 2 2 2 2 5" xfId="2803"/>
    <cellStyle name="Normal 4 2 2 2 2 2 2 3" xfId="2804"/>
    <cellStyle name="Normal 4 2 2 2 2 2 2 3 2" xfId="2805"/>
    <cellStyle name="Normal 4 2 2 2 2 2 2 3 2 2" xfId="2806"/>
    <cellStyle name="Normal 4 2 2 2 2 2 2 3 2 3" xfId="2807"/>
    <cellStyle name="Normal 4 2 2 2 2 2 2 3 3" xfId="2808"/>
    <cellStyle name="Normal 4 2 2 2 2 2 2 3 4" xfId="2809"/>
    <cellStyle name="Normal 4 2 2 2 2 2 2 3 5" xfId="2810"/>
    <cellStyle name="Normal 4 2 2 2 2 2 2 4" xfId="2811"/>
    <cellStyle name="Normal 4 2 2 2 2 2 2 4 2" xfId="2812"/>
    <cellStyle name="Normal 4 2 2 2 2 2 2 4 3" xfId="2813"/>
    <cellStyle name="Normal 4 2 2 2 2 2 2 5" xfId="2814"/>
    <cellStyle name="Normal 4 2 2 2 2 2 2 6" xfId="2815"/>
    <cellStyle name="Normal 4 2 2 2 2 2 2 7" xfId="2816"/>
    <cellStyle name="Normal 4 2 2 2 2 2 3" xfId="2817"/>
    <cellStyle name="Normal 4 2 2 2 2 2 3 2" xfId="2818"/>
    <cellStyle name="Normal 4 2 2 2 2 2 3 2 2" xfId="2819"/>
    <cellStyle name="Normal 4 2 2 2 2 2 3 2 3" xfId="2820"/>
    <cellStyle name="Normal 4 2 2 2 2 2 3 3" xfId="2821"/>
    <cellStyle name="Normal 4 2 2 2 2 2 3 4" xfId="2822"/>
    <cellStyle name="Normal 4 2 2 2 2 2 3 5" xfId="2823"/>
    <cellStyle name="Normal 4 2 2 2 2 2 4" xfId="2824"/>
    <cellStyle name="Normal 4 2 2 2 2 2 4 2" xfId="2825"/>
    <cellStyle name="Normal 4 2 2 2 2 2 4 2 2" xfId="2826"/>
    <cellStyle name="Normal 4 2 2 2 2 2 4 2 3" xfId="2827"/>
    <cellStyle name="Normal 4 2 2 2 2 2 4 3" xfId="2828"/>
    <cellStyle name="Normal 4 2 2 2 2 2 4 4" xfId="2829"/>
    <cellStyle name="Normal 4 2 2 2 2 2 4 5" xfId="2830"/>
    <cellStyle name="Normal 4 2 2 2 2 2 5" xfId="2831"/>
    <cellStyle name="Normal 4 2 2 2 2 2 5 2" xfId="2832"/>
    <cellStyle name="Normal 4 2 2 2 2 2 5 3" xfId="2833"/>
    <cellStyle name="Normal 4 2 2 2 2 2 6" xfId="2834"/>
    <cellStyle name="Normal 4 2 2 2 2 2 7" xfId="2835"/>
    <cellStyle name="Normal 4 2 2 2 2 2 8" xfId="2836"/>
    <cellStyle name="Normal 4 2 2 2 2 3" xfId="2837"/>
    <cellStyle name="Normal 4 2 2 2 2 3 2" xfId="2838"/>
    <cellStyle name="Normal 4 2 2 2 2 3 2 2" xfId="2839"/>
    <cellStyle name="Normal 4 2 2 2 2 3 2 2 2" xfId="2840"/>
    <cellStyle name="Normal 4 2 2 2 2 3 2 2 3" xfId="2841"/>
    <cellStyle name="Normal 4 2 2 2 2 3 2 3" xfId="2842"/>
    <cellStyle name="Normal 4 2 2 2 2 3 2 4" xfId="2843"/>
    <cellStyle name="Normal 4 2 2 2 2 3 2 5" xfId="2844"/>
    <cellStyle name="Normal 4 2 2 2 2 3 3" xfId="2845"/>
    <cellStyle name="Normal 4 2 2 2 2 3 3 2" xfId="2846"/>
    <cellStyle name="Normal 4 2 2 2 2 3 3 2 2" xfId="2847"/>
    <cellStyle name="Normal 4 2 2 2 2 3 3 2 3" xfId="2848"/>
    <cellStyle name="Normal 4 2 2 2 2 3 3 3" xfId="2849"/>
    <cellStyle name="Normal 4 2 2 2 2 3 3 4" xfId="2850"/>
    <cellStyle name="Normal 4 2 2 2 2 3 3 5" xfId="2851"/>
    <cellStyle name="Normal 4 2 2 2 2 3 4" xfId="2852"/>
    <cellStyle name="Normal 4 2 2 2 2 3 4 2" xfId="2853"/>
    <cellStyle name="Normal 4 2 2 2 2 3 4 3" xfId="2854"/>
    <cellStyle name="Normal 4 2 2 2 2 3 5" xfId="2855"/>
    <cellStyle name="Normal 4 2 2 2 2 3 6" xfId="2856"/>
    <cellStyle name="Normal 4 2 2 2 2 3 7" xfId="2857"/>
    <cellStyle name="Normal 4 2 2 2 2 4" xfId="2858"/>
    <cellStyle name="Normal 4 2 2 2 2 4 2" xfId="2859"/>
    <cellStyle name="Normal 4 2 2 2 2 4 2 2" xfId="2860"/>
    <cellStyle name="Normal 4 2 2 2 2 4 2 3" xfId="2861"/>
    <cellStyle name="Normal 4 2 2 2 2 4 3" xfId="2862"/>
    <cellStyle name="Normal 4 2 2 2 2 4 4" xfId="2863"/>
    <cellStyle name="Normal 4 2 2 2 2 4 5" xfId="2864"/>
    <cellStyle name="Normal 4 2 2 2 2 5" xfId="2865"/>
    <cellStyle name="Normal 4 2 2 2 2 5 2" xfId="2866"/>
    <cellStyle name="Normal 4 2 2 2 2 5 2 2" xfId="2867"/>
    <cellStyle name="Normal 4 2 2 2 2 5 2 3" xfId="2868"/>
    <cellStyle name="Normal 4 2 2 2 2 5 3" xfId="2869"/>
    <cellStyle name="Normal 4 2 2 2 2 5 4" xfId="2870"/>
    <cellStyle name="Normal 4 2 2 2 2 5 5" xfId="2871"/>
    <cellStyle name="Normal 4 2 2 2 2 6" xfId="2872"/>
    <cellStyle name="Normal 4 2 2 2 2 6 2" xfId="2873"/>
    <cellStyle name="Normal 4 2 2 2 2 6 3" xfId="2874"/>
    <cellStyle name="Normal 4 2 2 2 2 7" xfId="2875"/>
    <cellStyle name="Normal 4 2 2 2 2 8" xfId="2876"/>
    <cellStyle name="Normal 4 2 2 2 2 9" xfId="2877"/>
    <cellStyle name="Normal 4 2 2 2 3" xfId="2878"/>
    <cellStyle name="Normal 4 2 2 2 3 2" xfId="2879"/>
    <cellStyle name="Normal 4 2 2 2 3 2 2" xfId="2880"/>
    <cellStyle name="Normal 4 2 2 2 3 2 2 2" xfId="2881"/>
    <cellStyle name="Normal 4 2 2 2 3 2 2 2 2" xfId="2882"/>
    <cellStyle name="Normal 4 2 2 2 3 2 2 2 2 2" xfId="2883"/>
    <cellStyle name="Normal 4 2 2 2 3 2 2 2 2 3" xfId="2884"/>
    <cellStyle name="Normal 4 2 2 2 3 2 2 2 3" xfId="2885"/>
    <cellStyle name="Normal 4 2 2 2 3 2 2 2 4" xfId="2886"/>
    <cellStyle name="Normal 4 2 2 2 3 2 2 2 5" xfId="2887"/>
    <cellStyle name="Normal 4 2 2 2 3 2 2 3" xfId="2888"/>
    <cellStyle name="Normal 4 2 2 2 3 2 2 3 2" xfId="2889"/>
    <cellStyle name="Normal 4 2 2 2 3 2 2 3 2 2" xfId="2890"/>
    <cellStyle name="Normal 4 2 2 2 3 2 2 3 2 3" xfId="2891"/>
    <cellStyle name="Normal 4 2 2 2 3 2 2 3 3" xfId="2892"/>
    <cellStyle name="Normal 4 2 2 2 3 2 2 3 4" xfId="2893"/>
    <cellStyle name="Normal 4 2 2 2 3 2 2 3 5" xfId="2894"/>
    <cellStyle name="Normal 4 2 2 2 3 2 2 4" xfId="2895"/>
    <cellStyle name="Normal 4 2 2 2 3 2 2 4 2" xfId="2896"/>
    <cellStyle name="Normal 4 2 2 2 3 2 2 4 3" xfId="2897"/>
    <cellStyle name="Normal 4 2 2 2 3 2 2 5" xfId="2898"/>
    <cellStyle name="Normal 4 2 2 2 3 2 2 6" xfId="2899"/>
    <cellStyle name="Normal 4 2 2 2 3 2 2 7" xfId="2900"/>
    <cellStyle name="Normal 4 2 2 2 3 2 3" xfId="2901"/>
    <cellStyle name="Normal 4 2 2 2 3 2 3 2" xfId="2902"/>
    <cellStyle name="Normal 4 2 2 2 3 2 3 2 2" xfId="2903"/>
    <cellStyle name="Normal 4 2 2 2 3 2 3 2 3" xfId="2904"/>
    <cellStyle name="Normal 4 2 2 2 3 2 3 3" xfId="2905"/>
    <cellStyle name="Normal 4 2 2 2 3 2 3 4" xfId="2906"/>
    <cellStyle name="Normal 4 2 2 2 3 2 3 5" xfId="2907"/>
    <cellStyle name="Normal 4 2 2 2 3 2 4" xfId="2908"/>
    <cellStyle name="Normal 4 2 2 2 3 2 4 2" xfId="2909"/>
    <cellStyle name="Normal 4 2 2 2 3 2 4 2 2" xfId="2910"/>
    <cellStyle name="Normal 4 2 2 2 3 2 4 2 3" xfId="2911"/>
    <cellStyle name="Normal 4 2 2 2 3 2 4 3" xfId="2912"/>
    <cellStyle name="Normal 4 2 2 2 3 2 4 4" xfId="2913"/>
    <cellStyle name="Normal 4 2 2 2 3 2 4 5" xfId="2914"/>
    <cellStyle name="Normal 4 2 2 2 3 2 5" xfId="2915"/>
    <cellStyle name="Normal 4 2 2 2 3 2 5 2" xfId="2916"/>
    <cellStyle name="Normal 4 2 2 2 3 2 5 3" xfId="2917"/>
    <cellStyle name="Normal 4 2 2 2 3 2 6" xfId="2918"/>
    <cellStyle name="Normal 4 2 2 2 3 2 7" xfId="2919"/>
    <cellStyle name="Normal 4 2 2 2 3 2 8" xfId="2920"/>
    <cellStyle name="Normal 4 2 2 2 3 3" xfId="2921"/>
    <cellStyle name="Normal 4 2 2 2 3 3 2" xfId="2922"/>
    <cellStyle name="Normal 4 2 2 2 3 3 2 2" xfId="2923"/>
    <cellStyle name="Normal 4 2 2 2 3 3 2 2 2" xfId="2924"/>
    <cellStyle name="Normal 4 2 2 2 3 3 2 2 3" xfId="2925"/>
    <cellStyle name="Normal 4 2 2 2 3 3 2 3" xfId="2926"/>
    <cellStyle name="Normal 4 2 2 2 3 3 2 4" xfId="2927"/>
    <cellStyle name="Normal 4 2 2 2 3 3 2 5" xfId="2928"/>
    <cellStyle name="Normal 4 2 2 2 3 3 3" xfId="2929"/>
    <cellStyle name="Normal 4 2 2 2 3 3 3 2" xfId="2930"/>
    <cellStyle name="Normal 4 2 2 2 3 3 3 2 2" xfId="2931"/>
    <cellStyle name="Normal 4 2 2 2 3 3 3 2 3" xfId="2932"/>
    <cellStyle name="Normal 4 2 2 2 3 3 3 3" xfId="2933"/>
    <cellStyle name="Normal 4 2 2 2 3 3 3 4" xfId="2934"/>
    <cellStyle name="Normal 4 2 2 2 3 3 3 5" xfId="2935"/>
    <cellStyle name="Normal 4 2 2 2 3 3 4" xfId="2936"/>
    <cellStyle name="Normal 4 2 2 2 3 3 4 2" xfId="2937"/>
    <cellStyle name="Normal 4 2 2 2 3 3 4 3" xfId="2938"/>
    <cellStyle name="Normal 4 2 2 2 3 3 5" xfId="2939"/>
    <cellStyle name="Normal 4 2 2 2 3 3 6" xfId="2940"/>
    <cellStyle name="Normal 4 2 2 2 3 3 7" xfId="2941"/>
    <cellStyle name="Normal 4 2 2 2 3 4" xfId="2942"/>
    <cellStyle name="Normal 4 2 2 2 3 4 2" xfId="2943"/>
    <cellStyle name="Normal 4 2 2 2 3 4 2 2" xfId="2944"/>
    <cellStyle name="Normal 4 2 2 2 3 4 2 3" xfId="2945"/>
    <cellStyle name="Normal 4 2 2 2 3 4 3" xfId="2946"/>
    <cellStyle name="Normal 4 2 2 2 3 4 4" xfId="2947"/>
    <cellStyle name="Normal 4 2 2 2 3 4 5" xfId="2948"/>
    <cellStyle name="Normal 4 2 2 2 3 5" xfId="2949"/>
    <cellStyle name="Normal 4 2 2 2 3 5 2" xfId="2950"/>
    <cellStyle name="Normal 4 2 2 2 3 5 2 2" xfId="2951"/>
    <cellStyle name="Normal 4 2 2 2 3 5 2 3" xfId="2952"/>
    <cellStyle name="Normal 4 2 2 2 3 5 3" xfId="2953"/>
    <cellStyle name="Normal 4 2 2 2 3 5 4" xfId="2954"/>
    <cellStyle name="Normal 4 2 2 2 3 5 5" xfId="2955"/>
    <cellStyle name="Normal 4 2 2 2 3 6" xfId="2956"/>
    <cellStyle name="Normal 4 2 2 2 3 6 2" xfId="2957"/>
    <cellStyle name="Normal 4 2 2 2 3 6 3" xfId="2958"/>
    <cellStyle name="Normal 4 2 2 2 3 7" xfId="2959"/>
    <cellStyle name="Normal 4 2 2 2 3 8" xfId="2960"/>
    <cellStyle name="Normal 4 2 2 2 3 9" xfId="2961"/>
    <cellStyle name="Normal 4 2 2 2 4" xfId="2962"/>
    <cellStyle name="Normal 4 2 2 2 4 2" xfId="2963"/>
    <cellStyle name="Normal 4 2 2 2 4 2 2" xfId="2964"/>
    <cellStyle name="Normal 4 2 2 2 4 2 2 2" xfId="2965"/>
    <cellStyle name="Normal 4 2 2 2 4 2 2 2 2" xfId="2966"/>
    <cellStyle name="Normal 4 2 2 2 4 2 2 2 2 2" xfId="2967"/>
    <cellStyle name="Normal 4 2 2 2 4 2 2 2 2 3" xfId="2968"/>
    <cellStyle name="Normal 4 2 2 2 4 2 2 2 3" xfId="2969"/>
    <cellStyle name="Normal 4 2 2 2 4 2 2 2 4" xfId="2970"/>
    <cellStyle name="Normal 4 2 2 2 4 2 2 2 5" xfId="2971"/>
    <cellStyle name="Normal 4 2 2 2 4 2 2 3" xfId="2972"/>
    <cellStyle name="Normal 4 2 2 2 4 2 2 3 2" xfId="2973"/>
    <cellStyle name="Normal 4 2 2 2 4 2 2 3 2 2" xfId="2974"/>
    <cellStyle name="Normal 4 2 2 2 4 2 2 3 2 3" xfId="2975"/>
    <cellStyle name="Normal 4 2 2 2 4 2 2 3 3" xfId="2976"/>
    <cellStyle name="Normal 4 2 2 2 4 2 2 3 4" xfId="2977"/>
    <cellStyle name="Normal 4 2 2 2 4 2 2 3 5" xfId="2978"/>
    <cellStyle name="Normal 4 2 2 2 4 2 2 4" xfId="2979"/>
    <cellStyle name="Normal 4 2 2 2 4 2 2 4 2" xfId="2980"/>
    <cellStyle name="Normal 4 2 2 2 4 2 2 4 3" xfId="2981"/>
    <cellStyle name="Normal 4 2 2 2 4 2 2 5" xfId="2982"/>
    <cellStyle name="Normal 4 2 2 2 4 2 2 6" xfId="2983"/>
    <cellStyle name="Normal 4 2 2 2 4 2 2 7" xfId="2984"/>
    <cellStyle name="Normal 4 2 2 2 4 2 3" xfId="2985"/>
    <cellStyle name="Normal 4 2 2 2 4 2 3 2" xfId="2986"/>
    <cellStyle name="Normal 4 2 2 2 4 2 3 2 2" xfId="2987"/>
    <cellStyle name="Normal 4 2 2 2 4 2 3 2 3" xfId="2988"/>
    <cellStyle name="Normal 4 2 2 2 4 2 3 3" xfId="2989"/>
    <cellStyle name="Normal 4 2 2 2 4 2 3 4" xfId="2990"/>
    <cellStyle name="Normal 4 2 2 2 4 2 3 5" xfId="2991"/>
    <cellStyle name="Normal 4 2 2 2 4 2 4" xfId="2992"/>
    <cellStyle name="Normal 4 2 2 2 4 2 4 2" xfId="2993"/>
    <cellStyle name="Normal 4 2 2 2 4 2 4 2 2" xfId="2994"/>
    <cellStyle name="Normal 4 2 2 2 4 2 4 2 3" xfId="2995"/>
    <cellStyle name="Normal 4 2 2 2 4 2 4 3" xfId="2996"/>
    <cellStyle name="Normal 4 2 2 2 4 2 4 4" xfId="2997"/>
    <cellStyle name="Normal 4 2 2 2 4 2 4 5" xfId="2998"/>
    <cellStyle name="Normal 4 2 2 2 4 2 5" xfId="2999"/>
    <cellStyle name="Normal 4 2 2 2 4 2 5 2" xfId="3000"/>
    <cellStyle name="Normal 4 2 2 2 4 2 5 3" xfId="3001"/>
    <cellStyle name="Normal 4 2 2 2 4 2 6" xfId="3002"/>
    <cellStyle name="Normal 4 2 2 2 4 2 7" xfId="3003"/>
    <cellStyle name="Normal 4 2 2 2 4 2 8" xfId="3004"/>
    <cellStyle name="Normal 4 2 2 2 4 3" xfId="3005"/>
    <cellStyle name="Normal 4 2 2 2 4 3 2" xfId="3006"/>
    <cellStyle name="Normal 4 2 2 2 4 3 2 2" xfId="3007"/>
    <cellStyle name="Normal 4 2 2 2 4 3 2 2 2" xfId="3008"/>
    <cellStyle name="Normal 4 2 2 2 4 3 2 2 3" xfId="3009"/>
    <cellStyle name="Normal 4 2 2 2 4 3 2 3" xfId="3010"/>
    <cellStyle name="Normal 4 2 2 2 4 3 2 4" xfId="3011"/>
    <cellStyle name="Normal 4 2 2 2 4 3 2 5" xfId="3012"/>
    <cellStyle name="Normal 4 2 2 2 4 3 3" xfId="3013"/>
    <cellStyle name="Normal 4 2 2 2 4 3 3 2" xfId="3014"/>
    <cellStyle name="Normal 4 2 2 2 4 3 3 2 2" xfId="3015"/>
    <cellStyle name="Normal 4 2 2 2 4 3 3 2 3" xfId="3016"/>
    <cellStyle name="Normal 4 2 2 2 4 3 3 3" xfId="3017"/>
    <cellStyle name="Normal 4 2 2 2 4 3 3 4" xfId="3018"/>
    <cellStyle name="Normal 4 2 2 2 4 3 3 5" xfId="3019"/>
    <cellStyle name="Normal 4 2 2 2 4 3 4" xfId="3020"/>
    <cellStyle name="Normal 4 2 2 2 4 3 4 2" xfId="3021"/>
    <cellStyle name="Normal 4 2 2 2 4 3 4 3" xfId="3022"/>
    <cellStyle name="Normal 4 2 2 2 4 3 5" xfId="3023"/>
    <cellStyle name="Normal 4 2 2 2 4 3 6" xfId="3024"/>
    <cellStyle name="Normal 4 2 2 2 4 3 7" xfId="3025"/>
    <cellStyle name="Normal 4 2 2 2 4 4" xfId="3026"/>
    <cellStyle name="Normal 4 2 2 2 4 4 2" xfId="3027"/>
    <cellStyle name="Normal 4 2 2 2 4 4 2 2" xfId="3028"/>
    <cellStyle name="Normal 4 2 2 2 4 4 2 3" xfId="3029"/>
    <cellStyle name="Normal 4 2 2 2 4 4 3" xfId="3030"/>
    <cellStyle name="Normal 4 2 2 2 4 4 4" xfId="3031"/>
    <cellStyle name="Normal 4 2 2 2 4 4 5" xfId="3032"/>
    <cellStyle name="Normal 4 2 2 2 4 5" xfId="3033"/>
    <cellStyle name="Normal 4 2 2 2 4 5 2" xfId="3034"/>
    <cellStyle name="Normal 4 2 2 2 4 5 2 2" xfId="3035"/>
    <cellStyle name="Normal 4 2 2 2 4 5 2 3" xfId="3036"/>
    <cellStyle name="Normal 4 2 2 2 4 5 3" xfId="3037"/>
    <cellStyle name="Normal 4 2 2 2 4 5 4" xfId="3038"/>
    <cellStyle name="Normal 4 2 2 2 4 5 5" xfId="3039"/>
    <cellStyle name="Normal 4 2 2 2 4 6" xfId="3040"/>
    <cellStyle name="Normal 4 2 2 2 4 6 2" xfId="3041"/>
    <cellStyle name="Normal 4 2 2 2 4 6 3" xfId="3042"/>
    <cellStyle name="Normal 4 2 2 2 4 7" xfId="3043"/>
    <cellStyle name="Normal 4 2 2 2 4 8" xfId="3044"/>
    <cellStyle name="Normal 4 2 2 2 4 9" xfId="3045"/>
    <cellStyle name="Normal 4 2 2 2 5" xfId="3046"/>
    <cellStyle name="Normal 4 2 2 2 5 2" xfId="3047"/>
    <cellStyle name="Normal 4 2 2 2 5 2 2" xfId="3048"/>
    <cellStyle name="Normal 4 2 2 2 5 2 2 2" xfId="3049"/>
    <cellStyle name="Normal 4 2 2 2 5 2 2 2 2" xfId="3050"/>
    <cellStyle name="Normal 4 2 2 2 5 2 2 2 3" xfId="3051"/>
    <cellStyle name="Normal 4 2 2 2 5 2 2 3" xfId="3052"/>
    <cellStyle name="Normal 4 2 2 2 5 2 2 4" xfId="3053"/>
    <cellStyle name="Normal 4 2 2 2 5 2 2 5" xfId="3054"/>
    <cellStyle name="Normal 4 2 2 2 5 2 3" xfId="3055"/>
    <cellStyle name="Normal 4 2 2 2 5 2 3 2" xfId="3056"/>
    <cellStyle name="Normal 4 2 2 2 5 2 3 2 2" xfId="3057"/>
    <cellStyle name="Normal 4 2 2 2 5 2 3 2 3" xfId="3058"/>
    <cellStyle name="Normal 4 2 2 2 5 2 3 3" xfId="3059"/>
    <cellStyle name="Normal 4 2 2 2 5 2 3 4" xfId="3060"/>
    <cellStyle name="Normal 4 2 2 2 5 2 3 5" xfId="3061"/>
    <cellStyle name="Normal 4 2 2 2 5 2 4" xfId="3062"/>
    <cellStyle name="Normal 4 2 2 2 5 2 4 2" xfId="3063"/>
    <cellStyle name="Normal 4 2 2 2 5 2 4 3" xfId="3064"/>
    <cellStyle name="Normal 4 2 2 2 5 2 5" xfId="3065"/>
    <cellStyle name="Normal 4 2 2 2 5 2 6" xfId="3066"/>
    <cellStyle name="Normal 4 2 2 2 5 2 7" xfId="3067"/>
    <cellStyle name="Normal 4 2 2 2 5 3" xfId="3068"/>
    <cellStyle name="Normal 4 2 2 2 5 3 2" xfId="3069"/>
    <cellStyle name="Normal 4 2 2 2 5 3 2 2" xfId="3070"/>
    <cellStyle name="Normal 4 2 2 2 5 3 2 3" xfId="3071"/>
    <cellStyle name="Normal 4 2 2 2 5 3 3" xfId="3072"/>
    <cellStyle name="Normal 4 2 2 2 5 3 4" xfId="3073"/>
    <cellStyle name="Normal 4 2 2 2 5 3 5" xfId="3074"/>
    <cellStyle name="Normal 4 2 2 2 5 4" xfId="3075"/>
    <cellStyle name="Normal 4 2 2 2 5 4 2" xfId="3076"/>
    <cellStyle name="Normal 4 2 2 2 5 4 2 2" xfId="3077"/>
    <cellStyle name="Normal 4 2 2 2 5 4 2 3" xfId="3078"/>
    <cellStyle name="Normal 4 2 2 2 5 4 3" xfId="3079"/>
    <cellStyle name="Normal 4 2 2 2 5 4 4" xfId="3080"/>
    <cellStyle name="Normal 4 2 2 2 5 4 5" xfId="3081"/>
    <cellStyle name="Normal 4 2 2 2 5 5" xfId="3082"/>
    <cellStyle name="Normal 4 2 2 2 5 5 2" xfId="3083"/>
    <cellStyle name="Normal 4 2 2 2 5 5 3" xfId="3084"/>
    <cellStyle name="Normal 4 2 2 2 5 6" xfId="3085"/>
    <cellStyle name="Normal 4 2 2 2 5 7" xfId="3086"/>
    <cellStyle name="Normal 4 2 2 2 5 8" xfId="3087"/>
    <cellStyle name="Normal 4 2 2 2 6" xfId="3088"/>
    <cellStyle name="Normal 4 2 2 2 6 2" xfId="3089"/>
    <cellStyle name="Normal 4 2 2 2 6 2 2" xfId="3090"/>
    <cellStyle name="Normal 4 2 2 2 6 2 2 2" xfId="3091"/>
    <cellStyle name="Normal 4 2 2 2 6 2 2 3" xfId="3092"/>
    <cellStyle name="Normal 4 2 2 2 6 2 3" xfId="3093"/>
    <cellStyle name="Normal 4 2 2 2 6 2 4" xfId="3094"/>
    <cellStyle name="Normal 4 2 2 2 6 2 5" xfId="3095"/>
    <cellStyle name="Normal 4 2 2 2 6 3" xfId="3096"/>
    <cellStyle name="Normal 4 2 2 2 6 3 2" xfId="3097"/>
    <cellStyle name="Normal 4 2 2 2 6 3 2 2" xfId="3098"/>
    <cellStyle name="Normal 4 2 2 2 6 3 2 3" xfId="3099"/>
    <cellStyle name="Normal 4 2 2 2 6 3 3" xfId="3100"/>
    <cellStyle name="Normal 4 2 2 2 6 3 4" xfId="3101"/>
    <cellStyle name="Normal 4 2 2 2 6 3 5" xfId="3102"/>
    <cellStyle name="Normal 4 2 2 2 6 4" xfId="3103"/>
    <cellStyle name="Normal 4 2 2 2 6 4 2" xfId="3104"/>
    <cellStyle name="Normal 4 2 2 2 6 4 3" xfId="3105"/>
    <cellStyle name="Normal 4 2 2 2 6 5" xfId="3106"/>
    <cellStyle name="Normal 4 2 2 2 6 6" xfId="3107"/>
    <cellStyle name="Normal 4 2 2 2 6 7" xfId="3108"/>
    <cellStyle name="Normal 4 2 2 2 7" xfId="3109"/>
    <cellStyle name="Normal 4 2 2 2 7 2" xfId="3110"/>
    <cellStyle name="Normal 4 2 2 2 7 2 2" xfId="3111"/>
    <cellStyle name="Normal 4 2 2 2 7 2 2 2" xfId="3112"/>
    <cellStyle name="Normal 4 2 2 2 7 2 2 3" xfId="3113"/>
    <cellStyle name="Normal 4 2 2 2 7 2 3" xfId="3114"/>
    <cellStyle name="Normal 4 2 2 2 7 2 4" xfId="3115"/>
    <cellStyle name="Normal 4 2 2 2 7 2 5" xfId="3116"/>
    <cellStyle name="Normal 4 2 2 2 7 3" xfId="3117"/>
    <cellStyle name="Normal 4 2 2 2 7 3 2" xfId="3118"/>
    <cellStyle name="Normal 4 2 2 2 7 3 2 2" xfId="3119"/>
    <cellStyle name="Normal 4 2 2 2 7 3 2 3" xfId="3120"/>
    <cellStyle name="Normal 4 2 2 2 7 3 3" xfId="3121"/>
    <cellStyle name="Normal 4 2 2 2 7 3 4" xfId="3122"/>
    <cellStyle name="Normal 4 2 2 2 7 3 5" xfId="3123"/>
    <cellStyle name="Normal 4 2 2 2 7 4" xfId="3124"/>
    <cellStyle name="Normal 4 2 2 2 7 4 2" xfId="3125"/>
    <cellStyle name="Normal 4 2 2 2 7 4 3" xfId="3126"/>
    <cellStyle name="Normal 4 2 2 2 7 5" xfId="3127"/>
    <cellStyle name="Normal 4 2 2 2 7 6" xfId="3128"/>
    <cellStyle name="Normal 4 2 2 2 7 7" xfId="3129"/>
    <cellStyle name="Normal 4 2 2 2 8" xfId="3130"/>
    <cellStyle name="Normal 4 2 2 2 8 2" xfId="3131"/>
    <cellStyle name="Normal 4 2 2 2 8 2 2" xfId="3132"/>
    <cellStyle name="Normal 4 2 2 2 8 2 3" xfId="3133"/>
    <cellStyle name="Normal 4 2 2 2 8 3" xfId="3134"/>
    <cellStyle name="Normal 4 2 2 2 8 4" xfId="3135"/>
    <cellStyle name="Normal 4 2 2 2 8 5" xfId="3136"/>
    <cellStyle name="Normal 4 2 2 2 9" xfId="3137"/>
    <cellStyle name="Normal 4 2 2 2 9 2" xfId="3138"/>
    <cellStyle name="Normal 4 2 2 2 9 2 2" xfId="3139"/>
    <cellStyle name="Normal 4 2 2 2 9 2 3" xfId="3140"/>
    <cellStyle name="Normal 4 2 2 2 9 3" xfId="3141"/>
    <cellStyle name="Normal 4 2 2 2 9 4" xfId="3142"/>
    <cellStyle name="Normal 4 2 2 2 9 5" xfId="3143"/>
    <cellStyle name="Normal 4 2 2 3" xfId="3144"/>
    <cellStyle name="Normal 4 2 2 3 2" xfId="3145"/>
    <cellStyle name="Normal 4 2 2 3 2 2" xfId="3146"/>
    <cellStyle name="Normal 4 2 2 3 2 2 2" xfId="3147"/>
    <cellStyle name="Normal 4 2 2 3 2 2 2 2" xfId="3148"/>
    <cellStyle name="Normal 4 2 2 3 2 2 2 2 2" xfId="3149"/>
    <cellStyle name="Normal 4 2 2 3 2 2 2 2 3" xfId="3150"/>
    <cellStyle name="Normal 4 2 2 3 2 2 2 3" xfId="3151"/>
    <cellStyle name="Normal 4 2 2 3 2 2 2 4" xfId="3152"/>
    <cellStyle name="Normal 4 2 2 3 2 2 2 5" xfId="3153"/>
    <cellStyle name="Normal 4 2 2 3 2 2 3" xfId="3154"/>
    <cellStyle name="Normal 4 2 2 3 2 2 3 2" xfId="3155"/>
    <cellStyle name="Normal 4 2 2 3 2 2 3 2 2" xfId="3156"/>
    <cellStyle name="Normal 4 2 2 3 2 2 3 2 3" xfId="3157"/>
    <cellStyle name="Normal 4 2 2 3 2 2 3 3" xfId="3158"/>
    <cellStyle name="Normal 4 2 2 3 2 2 3 4" xfId="3159"/>
    <cellStyle name="Normal 4 2 2 3 2 2 3 5" xfId="3160"/>
    <cellStyle name="Normal 4 2 2 3 2 2 4" xfId="3161"/>
    <cellStyle name="Normal 4 2 2 3 2 2 4 2" xfId="3162"/>
    <cellStyle name="Normal 4 2 2 3 2 2 4 3" xfId="3163"/>
    <cellStyle name="Normal 4 2 2 3 2 2 5" xfId="3164"/>
    <cellStyle name="Normal 4 2 2 3 2 2 6" xfId="3165"/>
    <cellStyle name="Normal 4 2 2 3 2 2 7" xfId="3166"/>
    <cellStyle name="Normal 4 2 2 3 2 3" xfId="3167"/>
    <cellStyle name="Normal 4 2 2 3 2 3 2" xfId="3168"/>
    <cellStyle name="Normal 4 2 2 3 2 3 2 2" xfId="3169"/>
    <cellStyle name="Normal 4 2 2 3 2 3 2 3" xfId="3170"/>
    <cellStyle name="Normal 4 2 2 3 2 3 3" xfId="3171"/>
    <cellStyle name="Normal 4 2 2 3 2 3 4" xfId="3172"/>
    <cellStyle name="Normal 4 2 2 3 2 3 5" xfId="3173"/>
    <cellStyle name="Normal 4 2 2 3 2 4" xfId="3174"/>
    <cellStyle name="Normal 4 2 2 3 2 4 2" xfId="3175"/>
    <cellStyle name="Normal 4 2 2 3 2 4 2 2" xfId="3176"/>
    <cellStyle name="Normal 4 2 2 3 2 4 2 3" xfId="3177"/>
    <cellStyle name="Normal 4 2 2 3 2 4 3" xfId="3178"/>
    <cellStyle name="Normal 4 2 2 3 2 4 4" xfId="3179"/>
    <cellStyle name="Normal 4 2 2 3 2 4 5" xfId="3180"/>
    <cellStyle name="Normal 4 2 2 3 2 5" xfId="3181"/>
    <cellStyle name="Normal 4 2 2 3 2 5 2" xfId="3182"/>
    <cellStyle name="Normal 4 2 2 3 2 5 3" xfId="3183"/>
    <cellStyle name="Normal 4 2 2 3 2 6" xfId="3184"/>
    <cellStyle name="Normal 4 2 2 3 2 7" xfId="3185"/>
    <cellStyle name="Normal 4 2 2 3 2 8" xfId="3186"/>
    <cellStyle name="Normal 4 2 2 3 3" xfId="3187"/>
    <cellStyle name="Normal 4 2 2 3 3 2" xfId="3188"/>
    <cellStyle name="Normal 4 2 2 3 3 2 2" xfId="3189"/>
    <cellStyle name="Normal 4 2 2 3 3 2 2 2" xfId="3190"/>
    <cellStyle name="Normal 4 2 2 3 3 2 2 3" xfId="3191"/>
    <cellStyle name="Normal 4 2 2 3 3 2 3" xfId="3192"/>
    <cellStyle name="Normal 4 2 2 3 3 2 4" xfId="3193"/>
    <cellStyle name="Normal 4 2 2 3 3 2 5" xfId="3194"/>
    <cellStyle name="Normal 4 2 2 3 3 3" xfId="3195"/>
    <cellStyle name="Normal 4 2 2 3 3 3 2" xfId="3196"/>
    <cellStyle name="Normal 4 2 2 3 3 3 2 2" xfId="3197"/>
    <cellStyle name="Normal 4 2 2 3 3 3 2 3" xfId="3198"/>
    <cellStyle name="Normal 4 2 2 3 3 3 3" xfId="3199"/>
    <cellStyle name="Normal 4 2 2 3 3 3 4" xfId="3200"/>
    <cellStyle name="Normal 4 2 2 3 3 3 5" xfId="3201"/>
    <cellStyle name="Normal 4 2 2 3 3 4" xfId="3202"/>
    <cellStyle name="Normal 4 2 2 3 3 4 2" xfId="3203"/>
    <cellStyle name="Normal 4 2 2 3 3 4 3" xfId="3204"/>
    <cellStyle name="Normal 4 2 2 3 3 5" xfId="3205"/>
    <cellStyle name="Normal 4 2 2 3 3 6" xfId="3206"/>
    <cellStyle name="Normal 4 2 2 3 3 7" xfId="3207"/>
    <cellStyle name="Normal 4 2 2 3 4" xfId="3208"/>
    <cellStyle name="Normal 4 2 2 3 4 2" xfId="3209"/>
    <cellStyle name="Normal 4 2 2 3 4 2 2" xfId="3210"/>
    <cellStyle name="Normal 4 2 2 3 4 2 3" xfId="3211"/>
    <cellStyle name="Normal 4 2 2 3 4 3" xfId="3212"/>
    <cellStyle name="Normal 4 2 2 3 4 4" xfId="3213"/>
    <cellStyle name="Normal 4 2 2 3 4 5" xfId="3214"/>
    <cellStyle name="Normal 4 2 2 3 5" xfId="3215"/>
    <cellStyle name="Normal 4 2 2 3 5 2" xfId="3216"/>
    <cellStyle name="Normal 4 2 2 3 5 2 2" xfId="3217"/>
    <cellStyle name="Normal 4 2 2 3 5 2 3" xfId="3218"/>
    <cellStyle name="Normal 4 2 2 3 5 3" xfId="3219"/>
    <cellStyle name="Normal 4 2 2 3 5 4" xfId="3220"/>
    <cellStyle name="Normal 4 2 2 3 5 5" xfId="3221"/>
    <cellStyle name="Normal 4 2 2 3 6" xfId="3222"/>
    <cellStyle name="Normal 4 2 2 3 6 2" xfId="3223"/>
    <cellStyle name="Normal 4 2 2 3 6 3" xfId="3224"/>
    <cellStyle name="Normal 4 2 2 3 7" xfId="3225"/>
    <cellStyle name="Normal 4 2 2 3 8" xfId="3226"/>
    <cellStyle name="Normal 4 2 2 3 9" xfId="3227"/>
    <cellStyle name="Normal 4 2 2 4" xfId="3228"/>
    <cellStyle name="Normal 4 2 2 4 2" xfId="3229"/>
    <cellStyle name="Normal 4 2 2 4 2 2" xfId="3230"/>
    <cellStyle name="Normal 4 2 2 4 2 2 2" xfId="3231"/>
    <cellStyle name="Normal 4 2 2 4 2 2 2 2" xfId="3232"/>
    <cellStyle name="Normal 4 2 2 4 2 2 2 2 2" xfId="3233"/>
    <cellStyle name="Normal 4 2 2 4 2 2 2 2 3" xfId="3234"/>
    <cellStyle name="Normal 4 2 2 4 2 2 2 3" xfId="3235"/>
    <cellStyle name="Normal 4 2 2 4 2 2 2 4" xfId="3236"/>
    <cellStyle name="Normal 4 2 2 4 2 2 2 5" xfId="3237"/>
    <cellStyle name="Normal 4 2 2 4 2 2 3" xfId="3238"/>
    <cellStyle name="Normal 4 2 2 4 2 2 3 2" xfId="3239"/>
    <cellStyle name="Normal 4 2 2 4 2 2 3 2 2" xfId="3240"/>
    <cellStyle name="Normal 4 2 2 4 2 2 3 2 3" xfId="3241"/>
    <cellStyle name="Normal 4 2 2 4 2 2 3 3" xfId="3242"/>
    <cellStyle name="Normal 4 2 2 4 2 2 3 4" xfId="3243"/>
    <cellStyle name="Normal 4 2 2 4 2 2 3 5" xfId="3244"/>
    <cellStyle name="Normal 4 2 2 4 2 2 4" xfId="3245"/>
    <cellStyle name="Normal 4 2 2 4 2 2 4 2" xfId="3246"/>
    <cellStyle name="Normal 4 2 2 4 2 2 4 3" xfId="3247"/>
    <cellStyle name="Normal 4 2 2 4 2 2 5" xfId="3248"/>
    <cellStyle name="Normal 4 2 2 4 2 2 6" xfId="3249"/>
    <cellStyle name="Normal 4 2 2 4 2 2 7" xfId="3250"/>
    <cellStyle name="Normal 4 2 2 4 2 3" xfId="3251"/>
    <cellStyle name="Normal 4 2 2 4 2 3 2" xfId="3252"/>
    <cellStyle name="Normal 4 2 2 4 2 3 2 2" xfId="3253"/>
    <cellStyle name="Normal 4 2 2 4 2 3 2 3" xfId="3254"/>
    <cellStyle name="Normal 4 2 2 4 2 3 3" xfId="3255"/>
    <cellStyle name="Normal 4 2 2 4 2 3 4" xfId="3256"/>
    <cellStyle name="Normal 4 2 2 4 2 3 5" xfId="3257"/>
    <cellStyle name="Normal 4 2 2 4 2 4" xfId="3258"/>
    <cellStyle name="Normal 4 2 2 4 2 4 2" xfId="3259"/>
    <cellStyle name="Normal 4 2 2 4 2 4 2 2" xfId="3260"/>
    <cellStyle name="Normal 4 2 2 4 2 4 2 3" xfId="3261"/>
    <cellStyle name="Normal 4 2 2 4 2 4 3" xfId="3262"/>
    <cellStyle name="Normal 4 2 2 4 2 4 4" xfId="3263"/>
    <cellStyle name="Normal 4 2 2 4 2 4 5" xfId="3264"/>
    <cellStyle name="Normal 4 2 2 4 2 5" xfId="3265"/>
    <cellStyle name="Normal 4 2 2 4 2 5 2" xfId="3266"/>
    <cellStyle name="Normal 4 2 2 4 2 5 3" xfId="3267"/>
    <cellStyle name="Normal 4 2 2 4 2 6" xfId="3268"/>
    <cellStyle name="Normal 4 2 2 4 2 7" xfId="3269"/>
    <cellStyle name="Normal 4 2 2 4 2 8" xfId="3270"/>
    <cellStyle name="Normal 4 2 2 4 3" xfId="3271"/>
    <cellStyle name="Normal 4 2 2 4 3 2" xfId="3272"/>
    <cellStyle name="Normal 4 2 2 4 3 2 2" xfId="3273"/>
    <cellStyle name="Normal 4 2 2 4 3 2 2 2" xfId="3274"/>
    <cellStyle name="Normal 4 2 2 4 3 2 2 3" xfId="3275"/>
    <cellStyle name="Normal 4 2 2 4 3 2 3" xfId="3276"/>
    <cellStyle name="Normal 4 2 2 4 3 2 4" xfId="3277"/>
    <cellStyle name="Normal 4 2 2 4 3 2 5" xfId="3278"/>
    <cellStyle name="Normal 4 2 2 4 3 3" xfId="3279"/>
    <cellStyle name="Normal 4 2 2 4 3 3 2" xfId="3280"/>
    <cellStyle name="Normal 4 2 2 4 3 3 2 2" xfId="3281"/>
    <cellStyle name="Normal 4 2 2 4 3 3 2 3" xfId="3282"/>
    <cellStyle name="Normal 4 2 2 4 3 3 3" xfId="3283"/>
    <cellStyle name="Normal 4 2 2 4 3 3 4" xfId="3284"/>
    <cellStyle name="Normal 4 2 2 4 3 3 5" xfId="3285"/>
    <cellStyle name="Normal 4 2 2 4 3 4" xfId="3286"/>
    <cellStyle name="Normal 4 2 2 4 3 4 2" xfId="3287"/>
    <cellStyle name="Normal 4 2 2 4 3 4 3" xfId="3288"/>
    <cellStyle name="Normal 4 2 2 4 3 5" xfId="3289"/>
    <cellStyle name="Normal 4 2 2 4 3 6" xfId="3290"/>
    <cellStyle name="Normal 4 2 2 4 3 7" xfId="3291"/>
    <cellStyle name="Normal 4 2 2 4 4" xfId="3292"/>
    <cellStyle name="Normal 4 2 2 4 4 2" xfId="3293"/>
    <cellStyle name="Normal 4 2 2 4 4 2 2" xfId="3294"/>
    <cellStyle name="Normal 4 2 2 4 4 2 3" xfId="3295"/>
    <cellStyle name="Normal 4 2 2 4 4 3" xfId="3296"/>
    <cellStyle name="Normal 4 2 2 4 4 4" xfId="3297"/>
    <cellStyle name="Normal 4 2 2 4 4 5" xfId="3298"/>
    <cellStyle name="Normal 4 2 2 4 5" xfId="3299"/>
    <cellStyle name="Normal 4 2 2 4 5 2" xfId="3300"/>
    <cellStyle name="Normal 4 2 2 4 5 2 2" xfId="3301"/>
    <cellStyle name="Normal 4 2 2 4 5 2 3" xfId="3302"/>
    <cellStyle name="Normal 4 2 2 4 5 3" xfId="3303"/>
    <cellStyle name="Normal 4 2 2 4 5 4" xfId="3304"/>
    <cellStyle name="Normal 4 2 2 4 5 5" xfId="3305"/>
    <cellStyle name="Normal 4 2 2 4 6" xfId="3306"/>
    <cellStyle name="Normal 4 2 2 4 6 2" xfId="3307"/>
    <cellStyle name="Normal 4 2 2 4 6 3" xfId="3308"/>
    <cellStyle name="Normal 4 2 2 4 7" xfId="3309"/>
    <cellStyle name="Normal 4 2 2 4 8" xfId="3310"/>
    <cellStyle name="Normal 4 2 2 4 9" xfId="3311"/>
    <cellStyle name="Normal 4 2 2 5" xfId="3312"/>
    <cellStyle name="Normal 4 2 2 5 2" xfId="3313"/>
    <cellStyle name="Normal 4 2 2 5 2 2" xfId="3314"/>
    <cellStyle name="Normal 4 2 2 5 2 2 2" xfId="3315"/>
    <cellStyle name="Normal 4 2 2 5 2 2 2 2" xfId="3316"/>
    <cellStyle name="Normal 4 2 2 5 2 2 2 2 2" xfId="3317"/>
    <cellStyle name="Normal 4 2 2 5 2 2 2 2 3" xfId="3318"/>
    <cellStyle name="Normal 4 2 2 5 2 2 2 3" xfId="3319"/>
    <cellStyle name="Normal 4 2 2 5 2 2 2 4" xfId="3320"/>
    <cellStyle name="Normal 4 2 2 5 2 2 2 5" xfId="3321"/>
    <cellStyle name="Normal 4 2 2 5 2 2 3" xfId="3322"/>
    <cellStyle name="Normal 4 2 2 5 2 2 3 2" xfId="3323"/>
    <cellStyle name="Normal 4 2 2 5 2 2 3 2 2" xfId="3324"/>
    <cellStyle name="Normal 4 2 2 5 2 2 3 2 3" xfId="3325"/>
    <cellStyle name="Normal 4 2 2 5 2 2 3 3" xfId="3326"/>
    <cellStyle name="Normal 4 2 2 5 2 2 3 4" xfId="3327"/>
    <cellStyle name="Normal 4 2 2 5 2 2 3 5" xfId="3328"/>
    <cellStyle name="Normal 4 2 2 5 2 2 4" xfId="3329"/>
    <cellStyle name="Normal 4 2 2 5 2 2 4 2" xfId="3330"/>
    <cellStyle name="Normal 4 2 2 5 2 2 4 3" xfId="3331"/>
    <cellStyle name="Normal 4 2 2 5 2 2 5" xfId="3332"/>
    <cellStyle name="Normal 4 2 2 5 2 2 6" xfId="3333"/>
    <cellStyle name="Normal 4 2 2 5 2 2 7" xfId="3334"/>
    <cellStyle name="Normal 4 2 2 5 2 3" xfId="3335"/>
    <cellStyle name="Normal 4 2 2 5 2 3 2" xfId="3336"/>
    <cellStyle name="Normal 4 2 2 5 2 3 2 2" xfId="3337"/>
    <cellStyle name="Normal 4 2 2 5 2 3 2 3" xfId="3338"/>
    <cellStyle name="Normal 4 2 2 5 2 3 3" xfId="3339"/>
    <cellStyle name="Normal 4 2 2 5 2 3 4" xfId="3340"/>
    <cellStyle name="Normal 4 2 2 5 2 3 5" xfId="3341"/>
    <cellStyle name="Normal 4 2 2 5 2 4" xfId="3342"/>
    <cellStyle name="Normal 4 2 2 5 2 4 2" xfId="3343"/>
    <cellStyle name="Normal 4 2 2 5 2 4 2 2" xfId="3344"/>
    <cellStyle name="Normal 4 2 2 5 2 4 2 3" xfId="3345"/>
    <cellStyle name="Normal 4 2 2 5 2 4 3" xfId="3346"/>
    <cellStyle name="Normal 4 2 2 5 2 4 4" xfId="3347"/>
    <cellStyle name="Normal 4 2 2 5 2 4 5" xfId="3348"/>
    <cellStyle name="Normal 4 2 2 5 2 5" xfId="3349"/>
    <cellStyle name="Normal 4 2 2 5 2 5 2" xfId="3350"/>
    <cellStyle name="Normal 4 2 2 5 2 5 3" xfId="3351"/>
    <cellStyle name="Normal 4 2 2 5 2 6" xfId="3352"/>
    <cellStyle name="Normal 4 2 2 5 2 7" xfId="3353"/>
    <cellStyle name="Normal 4 2 2 5 2 8" xfId="3354"/>
    <cellStyle name="Normal 4 2 2 5 3" xfId="3355"/>
    <cellStyle name="Normal 4 2 2 5 3 2" xfId="3356"/>
    <cellStyle name="Normal 4 2 2 5 3 2 2" xfId="3357"/>
    <cellStyle name="Normal 4 2 2 5 3 2 2 2" xfId="3358"/>
    <cellStyle name="Normal 4 2 2 5 3 2 2 3" xfId="3359"/>
    <cellStyle name="Normal 4 2 2 5 3 2 3" xfId="3360"/>
    <cellStyle name="Normal 4 2 2 5 3 2 4" xfId="3361"/>
    <cellStyle name="Normal 4 2 2 5 3 2 5" xfId="3362"/>
    <cellStyle name="Normal 4 2 2 5 3 3" xfId="3363"/>
    <cellStyle name="Normal 4 2 2 5 3 3 2" xfId="3364"/>
    <cellStyle name="Normal 4 2 2 5 3 3 2 2" xfId="3365"/>
    <cellStyle name="Normal 4 2 2 5 3 3 2 3" xfId="3366"/>
    <cellStyle name="Normal 4 2 2 5 3 3 3" xfId="3367"/>
    <cellStyle name="Normal 4 2 2 5 3 3 4" xfId="3368"/>
    <cellStyle name="Normal 4 2 2 5 3 3 5" xfId="3369"/>
    <cellStyle name="Normal 4 2 2 5 3 4" xfId="3370"/>
    <cellStyle name="Normal 4 2 2 5 3 4 2" xfId="3371"/>
    <cellStyle name="Normal 4 2 2 5 3 4 3" xfId="3372"/>
    <cellStyle name="Normal 4 2 2 5 3 5" xfId="3373"/>
    <cellStyle name="Normal 4 2 2 5 3 6" xfId="3374"/>
    <cellStyle name="Normal 4 2 2 5 3 7" xfId="3375"/>
    <cellStyle name="Normal 4 2 2 5 4" xfId="3376"/>
    <cellStyle name="Normal 4 2 2 5 4 2" xfId="3377"/>
    <cellStyle name="Normal 4 2 2 5 4 2 2" xfId="3378"/>
    <cellStyle name="Normal 4 2 2 5 4 2 3" xfId="3379"/>
    <cellStyle name="Normal 4 2 2 5 4 3" xfId="3380"/>
    <cellStyle name="Normal 4 2 2 5 4 4" xfId="3381"/>
    <cellStyle name="Normal 4 2 2 5 4 5" xfId="3382"/>
    <cellStyle name="Normal 4 2 2 5 5" xfId="3383"/>
    <cellStyle name="Normal 4 2 2 5 5 2" xfId="3384"/>
    <cellStyle name="Normal 4 2 2 5 5 2 2" xfId="3385"/>
    <cellStyle name="Normal 4 2 2 5 5 2 3" xfId="3386"/>
    <cellStyle name="Normal 4 2 2 5 5 3" xfId="3387"/>
    <cellStyle name="Normal 4 2 2 5 5 4" xfId="3388"/>
    <cellStyle name="Normal 4 2 2 5 5 5" xfId="3389"/>
    <cellStyle name="Normal 4 2 2 5 6" xfId="3390"/>
    <cellStyle name="Normal 4 2 2 5 6 2" xfId="3391"/>
    <cellStyle name="Normal 4 2 2 5 6 3" xfId="3392"/>
    <cellStyle name="Normal 4 2 2 5 7" xfId="3393"/>
    <cellStyle name="Normal 4 2 2 5 8" xfId="3394"/>
    <cellStyle name="Normal 4 2 2 5 9" xfId="3395"/>
    <cellStyle name="Normal 4 2 2 6" xfId="3396"/>
    <cellStyle name="Normal 4 2 2 6 2" xfId="3397"/>
    <cellStyle name="Normal 4 2 2 6 2 2" xfId="3398"/>
    <cellStyle name="Normal 4 2 2 6 2 2 2" xfId="3399"/>
    <cellStyle name="Normal 4 2 2 6 2 2 2 2" xfId="3400"/>
    <cellStyle name="Normal 4 2 2 6 2 2 2 3" xfId="3401"/>
    <cellStyle name="Normal 4 2 2 6 2 2 3" xfId="3402"/>
    <cellStyle name="Normal 4 2 2 6 2 2 4" xfId="3403"/>
    <cellStyle name="Normal 4 2 2 6 2 2 5" xfId="3404"/>
    <cellStyle name="Normal 4 2 2 6 2 3" xfId="3405"/>
    <cellStyle name="Normal 4 2 2 6 2 3 2" xfId="3406"/>
    <cellStyle name="Normal 4 2 2 6 2 3 2 2" xfId="3407"/>
    <cellStyle name="Normal 4 2 2 6 2 3 2 3" xfId="3408"/>
    <cellStyle name="Normal 4 2 2 6 2 3 3" xfId="3409"/>
    <cellStyle name="Normal 4 2 2 6 2 3 4" xfId="3410"/>
    <cellStyle name="Normal 4 2 2 6 2 3 5" xfId="3411"/>
    <cellStyle name="Normal 4 2 2 6 2 4" xfId="3412"/>
    <cellStyle name="Normal 4 2 2 6 2 4 2" xfId="3413"/>
    <cellStyle name="Normal 4 2 2 6 2 4 3" xfId="3414"/>
    <cellStyle name="Normal 4 2 2 6 2 5" xfId="3415"/>
    <cellStyle name="Normal 4 2 2 6 2 6" xfId="3416"/>
    <cellStyle name="Normal 4 2 2 6 2 7" xfId="3417"/>
    <cellStyle name="Normal 4 2 2 6 3" xfId="3418"/>
    <cellStyle name="Normal 4 2 2 6 3 2" xfId="3419"/>
    <cellStyle name="Normal 4 2 2 6 3 2 2" xfId="3420"/>
    <cellStyle name="Normal 4 2 2 6 3 2 3" xfId="3421"/>
    <cellStyle name="Normal 4 2 2 6 3 3" xfId="3422"/>
    <cellStyle name="Normal 4 2 2 6 3 4" xfId="3423"/>
    <cellStyle name="Normal 4 2 2 6 3 5" xfId="3424"/>
    <cellStyle name="Normal 4 2 2 6 4" xfId="3425"/>
    <cellStyle name="Normal 4 2 2 6 4 2" xfId="3426"/>
    <cellStyle name="Normal 4 2 2 6 4 2 2" xfId="3427"/>
    <cellStyle name="Normal 4 2 2 6 4 2 3" xfId="3428"/>
    <cellStyle name="Normal 4 2 2 6 4 3" xfId="3429"/>
    <cellStyle name="Normal 4 2 2 6 4 4" xfId="3430"/>
    <cellStyle name="Normal 4 2 2 6 4 5" xfId="3431"/>
    <cellStyle name="Normal 4 2 2 6 5" xfId="3432"/>
    <cellStyle name="Normal 4 2 2 6 5 2" xfId="3433"/>
    <cellStyle name="Normal 4 2 2 6 5 3" xfId="3434"/>
    <cellStyle name="Normal 4 2 2 6 6" xfId="3435"/>
    <cellStyle name="Normal 4 2 2 6 7" xfId="3436"/>
    <cellStyle name="Normal 4 2 2 6 8" xfId="3437"/>
    <cellStyle name="Normal 4 2 2 7" xfId="3438"/>
    <cellStyle name="Normal 4 2 2 7 2" xfId="3439"/>
    <cellStyle name="Normal 4 2 2 7 2 2" xfId="3440"/>
    <cellStyle name="Normal 4 2 2 7 2 2 2" xfId="3441"/>
    <cellStyle name="Normal 4 2 2 7 2 2 3" xfId="3442"/>
    <cellStyle name="Normal 4 2 2 7 2 3" xfId="3443"/>
    <cellStyle name="Normal 4 2 2 7 2 4" xfId="3444"/>
    <cellStyle name="Normal 4 2 2 7 2 5" xfId="3445"/>
    <cellStyle name="Normal 4 2 2 7 3" xfId="3446"/>
    <cellStyle name="Normal 4 2 2 7 3 2" xfId="3447"/>
    <cellStyle name="Normal 4 2 2 7 3 2 2" xfId="3448"/>
    <cellStyle name="Normal 4 2 2 7 3 2 3" xfId="3449"/>
    <cellStyle name="Normal 4 2 2 7 3 3" xfId="3450"/>
    <cellStyle name="Normal 4 2 2 7 3 4" xfId="3451"/>
    <cellStyle name="Normal 4 2 2 7 3 5" xfId="3452"/>
    <cellStyle name="Normal 4 2 2 7 4" xfId="3453"/>
    <cellStyle name="Normal 4 2 2 7 4 2" xfId="3454"/>
    <cellStyle name="Normal 4 2 2 7 4 3" xfId="3455"/>
    <cellStyle name="Normal 4 2 2 7 5" xfId="3456"/>
    <cellStyle name="Normal 4 2 2 7 6" xfId="3457"/>
    <cellStyle name="Normal 4 2 2 7 7" xfId="3458"/>
    <cellStyle name="Normal 4 2 2 8" xfId="3459"/>
    <cellStyle name="Normal 4 2 2 8 2" xfId="3460"/>
    <cellStyle name="Normal 4 2 2 8 2 2" xfId="3461"/>
    <cellStyle name="Normal 4 2 2 8 2 2 2" xfId="3462"/>
    <cellStyle name="Normal 4 2 2 8 2 2 3" xfId="3463"/>
    <cellStyle name="Normal 4 2 2 8 2 3" xfId="3464"/>
    <cellStyle name="Normal 4 2 2 8 2 4" xfId="3465"/>
    <cellStyle name="Normal 4 2 2 8 2 5" xfId="3466"/>
    <cellStyle name="Normal 4 2 2 8 3" xfId="3467"/>
    <cellStyle name="Normal 4 2 2 8 3 2" xfId="3468"/>
    <cellStyle name="Normal 4 2 2 8 3 2 2" xfId="3469"/>
    <cellStyle name="Normal 4 2 2 8 3 2 3" xfId="3470"/>
    <cellStyle name="Normal 4 2 2 8 3 3" xfId="3471"/>
    <cellStyle name="Normal 4 2 2 8 3 4" xfId="3472"/>
    <cellStyle name="Normal 4 2 2 8 3 5" xfId="3473"/>
    <cellStyle name="Normal 4 2 2 8 4" xfId="3474"/>
    <cellStyle name="Normal 4 2 2 8 4 2" xfId="3475"/>
    <cellStyle name="Normal 4 2 2 8 4 3" xfId="3476"/>
    <cellStyle name="Normal 4 2 2 8 5" xfId="3477"/>
    <cellStyle name="Normal 4 2 2 8 6" xfId="3478"/>
    <cellStyle name="Normal 4 2 2 8 7" xfId="3479"/>
    <cellStyle name="Normal 4 2 2 9" xfId="3480"/>
    <cellStyle name="Normal 4 2 2 9 2" xfId="3481"/>
    <cellStyle name="Normal 4 2 2 9 2 2" xfId="3482"/>
    <cellStyle name="Normal 4 2 2 9 2 3" xfId="3483"/>
    <cellStyle name="Normal 4 2 2 9 3" xfId="3484"/>
    <cellStyle name="Normal 4 2 2 9 4" xfId="3485"/>
    <cellStyle name="Normal 4 2 2 9 5" xfId="3486"/>
    <cellStyle name="Normal 4 2 3" xfId="3487"/>
    <cellStyle name="Normal 4 2 3 10" xfId="3488"/>
    <cellStyle name="Normal 4 2 3 10 2" xfId="3489"/>
    <cellStyle name="Normal 4 2 3 10 2 2" xfId="3490"/>
    <cellStyle name="Normal 4 2 3 10 2 3" xfId="3491"/>
    <cellStyle name="Normal 4 2 3 10 3" xfId="3492"/>
    <cellStyle name="Normal 4 2 3 10 4" xfId="3493"/>
    <cellStyle name="Normal 4 2 3 10 5" xfId="3494"/>
    <cellStyle name="Normal 4 2 3 11" xfId="3495"/>
    <cellStyle name="Normal 4 2 3 11 2" xfId="3496"/>
    <cellStyle name="Normal 4 2 3 11 3" xfId="3497"/>
    <cellStyle name="Normal 4 2 3 12" xfId="3498"/>
    <cellStyle name="Normal 4 2 3 13" xfId="3499"/>
    <cellStyle name="Normal 4 2 3 14" xfId="3500"/>
    <cellStyle name="Normal 4 2 3 2" xfId="3501"/>
    <cellStyle name="Normal 4 2 3 2 10" xfId="3502"/>
    <cellStyle name="Normal 4 2 3 2 11" xfId="3503"/>
    <cellStyle name="Normal 4 2 3 2 12" xfId="3504"/>
    <cellStyle name="Normal 4 2 3 2 2" xfId="3505"/>
    <cellStyle name="Normal 4 2 3 2 2 2" xfId="3506"/>
    <cellStyle name="Normal 4 2 3 2 2 2 2" xfId="3507"/>
    <cellStyle name="Normal 4 2 3 2 2 2 2 2" xfId="3508"/>
    <cellStyle name="Normal 4 2 3 2 2 2 2 2 2" xfId="3509"/>
    <cellStyle name="Normal 4 2 3 2 2 2 2 2 2 2" xfId="3510"/>
    <cellStyle name="Normal 4 2 3 2 2 2 2 2 2 3" xfId="3511"/>
    <cellStyle name="Normal 4 2 3 2 2 2 2 2 3" xfId="3512"/>
    <cellStyle name="Normal 4 2 3 2 2 2 2 2 4" xfId="3513"/>
    <cellStyle name="Normal 4 2 3 2 2 2 2 2 5" xfId="3514"/>
    <cellStyle name="Normal 4 2 3 2 2 2 2 3" xfId="3515"/>
    <cellStyle name="Normal 4 2 3 2 2 2 2 3 2" xfId="3516"/>
    <cellStyle name="Normal 4 2 3 2 2 2 2 3 2 2" xfId="3517"/>
    <cellStyle name="Normal 4 2 3 2 2 2 2 3 2 3" xfId="3518"/>
    <cellStyle name="Normal 4 2 3 2 2 2 2 3 3" xfId="3519"/>
    <cellStyle name="Normal 4 2 3 2 2 2 2 3 4" xfId="3520"/>
    <cellStyle name="Normal 4 2 3 2 2 2 2 3 5" xfId="3521"/>
    <cellStyle name="Normal 4 2 3 2 2 2 2 4" xfId="3522"/>
    <cellStyle name="Normal 4 2 3 2 2 2 2 4 2" xfId="3523"/>
    <cellStyle name="Normal 4 2 3 2 2 2 2 4 3" xfId="3524"/>
    <cellStyle name="Normal 4 2 3 2 2 2 2 5" xfId="3525"/>
    <cellStyle name="Normal 4 2 3 2 2 2 2 6" xfId="3526"/>
    <cellStyle name="Normal 4 2 3 2 2 2 2 7" xfId="3527"/>
    <cellStyle name="Normal 4 2 3 2 2 2 3" xfId="3528"/>
    <cellStyle name="Normal 4 2 3 2 2 2 3 2" xfId="3529"/>
    <cellStyle name="Normal 4 2 3 2 2 2 3 2 2" xfId="3530"/>
    <cellStyle name="Normal 4 2 3 2 2 2 3 2 3" xfId="3531"/>
    <cellStyle name="Normal 4 2 3 2 2 2 3 3" xfId="3532"/>
    <cellStyle name="Normal 4 2 3 2 2 2 3 4" xfId="3533"/>
    <cellStyle name="Normal 4 2 3 2 2 2 3 5" xfId="3534"/>
    <cellStyle name="Normal 4 2 3 2 2 2 4" xfId="3535"/>
    <cellStyle name="Normal 4 2 3 2 2 2 4 2" xfId="3536"/>
    <cellStyle name="Normal 4 2 3 2 2 2 4 2 2" xfId="3537"/>
    <cellStyle name="Normal 4 2 3 2 2 2 4 2 3" xfId="3538"/>
    <cellStyle name="Normal 4 2 3 2 2 2 4 3" xfId="3539"/>
    <cellStyle name="Normal 4 2 3 2 2 2 4 4" xfId="3540"/>
    <cellStyle name="Normal 4 2 3 2 2 2 4 5" xfId="3541"/>
    <cellStyle name="Normal 4 2 3 2 2 2 5" xfId="3542"/>
    <cellStyle name="Normal 4 2 3 2 2 2 5 2" xfId="3543"/>
    <cellStyle name="Normal 4 2 3 2 2 2 5 3" xfId="3544"/>
    <cellStyle name="Normal 4 2 3 2 2 2 6" xfId="3545"/>
    <cellStyle name="Normal 4 2 3 2 2 2 7" xfId="3546"/>
    <cellStyle name="Normal 4 2 3 2 2 2 8" xfId="3547"/>
    <cellStyle name="Normal 4 2 3 2 2 3" xfId="3548"/>
    <cellStyle name="Normal 4 2 3 2 2 3 2" xfId="3549"/>
    <cellStyle name="Normal 4 2 3 2 2 3 2 2" xfId="3550"/>
    <cellStyle name="Normal 4 2 3 2 2 3 2 2 2" xfId="3551"/>
    <cellStyle name="Normal 4 2 3 2 2 3 2 2 3" xfId="3552"/>
    <cellStyle name="Normal 4 2 3 2 2 3 2 3" xfId="3553"/>
    <cellStyle name="Normal 4 2 3 2 2 3 2 4" xfId="3554"/>
    <cellStyle name="Normal 4 2 3 2 2 3 2 5" xfId="3555"/>
    <cellStyle name="Normal 4 2 3 2 2 3 3" xfId="3556"/>
    <cellStyle name="Normal 4 2 3 2 2 3 3 2" xfId="3557"/>
    <cellStyle name="Normal 4 2 3 2 2 3 3 2 2" xfId="3558"/>
    <cellStyle name="Normal 4 2 3 2 2 3 3 2 3" xfId="3559"/>
    <cellStyle name="Normal 4 2 3 2 2 3 3 3" xfId="3560"/>
    <cellStyle name="Normal 4 2 3 2 2 3 3 4" xfId="3561"/>
    <cellStyle name="Normal 4 2 3 2 2 3 3 5" xfId="3562"/>
    <cellStyle name="Normal 4 2 3 2 2 3 4" xfId="3563"/>
    <cellStyle name="Normal 4 2 3 2 2 3 4 2" xfId="3564"/>
    <cellStyle name="Normal 4 2 3 2 2 3 4 3" xfId="3565"/>
    <cellStyle name="Normal 4 2 3 2 2 3 5" xfId="3566"/>
    <cellStyle name="Normal 4 2 3 2 2 3 6" xfId="3567"/>
    <cellStyle name="Normal 4 2 3 2 2 3 7" xfId="3568"/>
    <cellStyle name="Normal 4 2 3 2 2 4" xfId="3569"/>
    <cellStyle name="Normal 4 2 3 2 2 4 2" xfId="3570"/>
    <cellStyle name="Normal 4 2 3 2 2 4 2 2" xfId="3571"/>
    <cellStyle name="Normal 4 2 3 2 2 4 2 3" xfId="3572"/>
    <cellStyle name="Normal 4 2 3 2 2 4 3" xfId="3573"/>
    <cellStyle name="Normal 4 2 3 2 2 4 4" xfId="3574"/>
    <cellStyle name="Normal 4 2 3 2 2 4 5" xfId="3575"/>
    <cellStyle name="Normal 4 2 3 2 2 5" xfId="3576"/>
    <cellStyle name="Normal 4 2 3 2 2 5 2" xfId="3577"/>
    <cellStyle name="Normal 4 2 3 2 2 5 2 2" xfId="3578"/>
    <cellStyle name="Normal 4 2 3 2 2 5 2 3" xfId="3579"/>
    <cellStyle name="Normal 4 2 3 2 2 5 3" xfId="3580"/>
    <cellStyle name="Normal 4 2 3 2 2 5 4" xfId="3581"/>
    <cellStyle name="Normal 4 2 3 2 2 5 5" xfId="3582"/>
    <cellStyle name="Normal 4 2 3 2 2 6" xfId="3583"/>
    <cellStyle name="Normal 4 2 3 2 2 6 2" xfId="3584"/>
    <cellStyle name="Normal 4 2 3 2 2 6 3" xfId="3585"/>
    <cellStyle name="Normal 4 2 3 2 2 7" xfId="3586"/>
    <cellStyle name="Normal 4 2 3 2 2 8" xfId="3587"/>
    <cellStyle name="Normal 4 2 3 2 2 9" xfId="3588"/>
    <cellStyle name="Normal 4 2 3 2 3" xfId="3589"/>
    <cellStyle name="Normal 4 2 3 2 3 2" xfId="3590"/>
    <cellStyle name="Normal 4 2 3 2 3 2 2" xfId="3591"/>
    <cellStyle name="Normal 4 2 3 2 3 2 2 2" xfId="3592"/>
    <cellStyle name="Normal 4 2 3 2 3 2 2 2 2" xfId="3593"/>
    <cellStyle name="Normal 4 2 3 2 3 2 2 2 2 2" xfId="3594"/>
    <cellStyle name="Normal 4 2 3 2 3 2 2 2 2 3" xfId="3595"/>
    <cellStyle name="Normal 4 2 3 2 3 2 2 2 3" xfId="3596"/>
    <cellStyle name="Normal 4 2 3 2 3 2 2 2 4" xfId="3597"/>
    <cellStyle name="Normal 4 2 3 2 3 2 2 2 5" xfId="3598"/>
    <cellStyle name="Normal 4 2 3 2 3 2 2 3" xfId="3599"/>
    <cellStyle name="Normal 4 2 3 2 3 2 2 3 2" xfId="3600"/>
    <cellStyle name="Normal 4 2 3 2 3 2 2 3 2 2" xfId="3601"/>
    <cellStyle name="Normal 4 2 3 2 3 2 2 3 2 3" xfId="3602"/>
    <cellStyle name="Normal 4 2 3 2 3 2 2 3 3" xfId="3603"/>
    <cellStyle name="Normal 4 2 3 2 3 2 2 3 4" xfId="3604"/>
    <cellStyle name="Normal 4 2 3 2 3 2 2 3 5" xfId="3605"/>
    <cellStyle name="Normal 4 2 3 2 3 2 2 4" xfId="3606"/>
    <cellStyle name="Normal 4 2 3 2 3 2 2 4 2" xfId="3607"/>
    <cellStyle name="Normal 4 2 3 2 3 2 2 4 3" xfId="3608"/>
    <cellStyle name="Normal 4 2 3 2 3 2 2 5" xfId="3609"/>
    <cellStyle name="Normal 4 2 3 2 3 2 2 6" xfId="3610"/>
    <cellStyle name="Normal 4 2 3 2 3 2 2 7" xfId="3611"/>
    <cellStyle name="Normal 4 2 3 2 3 2 3" xfId="3612"/>
    <cellStyle name="Normal 4 2 3 2 3 2 3 2" xfId="3613"/>
    <cellStyle name="Normal 4 2 3 2 3 2 3 2 2" xfId="3614"/>
    <cellStyle name="Normal 4 2 3 2 3 2 3 2 3" xfId="3615"/>
    <cellStyle name="Normal 4 2 3 2 3 2 3 3" xfId="3616"/>
    <cellStyle name="Normal 4 2 3 2 3 2 3 4" xfId="3617"/>
    <cellStyle name="Normal 4 2 3 2 3 2 3 5" xfId="3618"/>
    <cellStyle name="Normal 4 2 3 2 3 2 4" xfId="3619"/>
    <cellStyle name="Normal 4 2 3 2 3 2 4 2" xfId="3620"/>
    <cellStyle name="Normal 4 2 3 2 3 2 4 2 2" xfId="3621"/>
    <cellStyle name="Normal 4 2 3 2 3 2 4 2 3" xfId="3622"/>
    <cellStyle name="Normal 4 2 3 2 3 2 4 3" xfId="3623"/>
    <cellStyle name="Normal 4 2 3 2 3 2 4 4" xfId="3624"/>
    <cellStyle name="Normal 4 2 3 2 3 2 4 5" xfId="3625"/>
    <cellStyle name="Normal 4 2 3 2 3 2 5" xfId="3626"/>
    <cellStyle name="Normal 4 2 3 2 3 2 5 2" xfId="3627"/>
    <cellStyle name="Normal 4 2 3 2 3 2 5 3" xfId="3628"/>
    <cellStyle name="Normal 4 2 3 2 3 2 6" xfId="3629"/>
    <cellStyle name="Normal 4 2 3 2 3 2 7" xfId="3630"/>
    <cellStyle name="Normal 4 2 3 2 3 2 8" xfId="3631"/>
    <cellStyle name="Normal 4 2 3 2 3 3" xfId="3632"/>
    <cellStyle name="Normal 4 2 3 2 3 3 2" xfId="3633"/>
    <cellStyle name="Normal 4 2 3 2 3 3 2 2" xfId="3634"/>
    <cellStyle name="Normal 4 2 3 2 3 3 2 2 2" xfId="3635"/>
    <cellStyle name="Normal 4 2 3 2 3 3 2 2 3" xfId="3636"/>
    <cellStyle name="Normal 4 2 3 2 3 3 2 3" xfId="3637"/>
    <cellStyle name="Normal 4 2 3 2 3 3 2 4" xfId="3638"/>
    <cellStyle name="Normal 4 2 3 2 3 3 2 5" xfId="3639"/>
    <cellStyle name="Normal 4 2 3 2 3 3 3" xfId="3640"/>
    <cellStyle name="Normal 4 2 3 2 3 3 3 2" xfId="3641"/>
    <cellStyle name="Normal 4 2 3 2 3 3 3 2 2" xfId="3642"/>
    <cellStyle name="Normal 4 2 3 2 3 3 3 2 3" xfId="3643"/>
    <cellStyle name="Normal 4 2 3 2 3 3 3 3" xfId="3644"/>
    <cellStyle name="Normal 4 2 3 2 3 3 3 4" xfId="3645"/>
    <cellStyle name="Normal 4 2 3 2 3 3 3 5" xfId="3646"/>
    <cellStyle name="Normal 4 2 3 2 3 3 4" xfId="3647"/>
    <cellStyle name="Normal 4 2 3 2 3 3 4 2" xfId="3648"/>
    <cellStyle name="Normal 4 2 3 2 3 3 4 3" xfId="3649"/>
    <cellStyle name="Normal 4 2 3 2 3 3 5" xfId="3650"/>
    <cellStyle name="Normal 4 2 3 2 3 3 6" xfId="3651"/>
    <cellStyle name="Normal 4 2 3 2 3 3 7" xfId="3652"/>
    <cellStyle name="Normal 4 2 3 2 3 4" xfId="3653"/>
    <cellStyle name="Normal 4 2 3 2 3 4 2" xfId="3654"/>
    <cellStyle name="Normal 4 2 3 2 3 4 2 2" xfId="3655"/>
    <cellStyle name="Normal 4 2 3 2 3 4 2 3" xfId="3656"/>
    <cellStyle name="Normal 4 2 3 2 3 4 3" xfId="3657"/>
    <cellStyle name="Normal 4 2 3 2 3 4 4" xfId="3658"/>
    <cellStyle name="Normal 4 2 3 2 3 4 5" xfId="3659"/>
    <cellStyle name="Normal 4 2 3 2 3 5" xfId="3660"/>
    <cellStyle name="Normal 4 2 3 2 3 5 2" xfId="3661"/>
    <cellStyle name="Normal 4 2 3 2 3 5 2 2" xfId="3662"/>
    <cellStyle name="Normal 4 2 3 2 3 5 2 3" xfId="3663"/>
    <cellStyle name="Normal 4 2 3 2 3 5 3" xfId="3664"/>
    <cellStyle name="Normal 4 2 3 2 3 5 4" xfId="3665"/>
    <cellStyle name="Normal 4 2 3 2 3 5 5" xfId="3666"/>
    <cellStyle name="Normal 4 2 3 2 3 6" xfId="3667"/>
    <cellStyle name="Normal 4 2 3 2 3 6 2" xfId="3668"/>
    <cellStyle name="Normal 4 2 3 2 3 6 3" xfId="3669"/>
    <cellStyle name="Normal 4 2 3 2 3 7" xfId="3670"/>
    <cellStyle name="Normal 4 2 3 2 3 8" xfId="3671"/>
    <cellStyle name="Normal 4 2 3 2 3 9" xfId="3672"/>
    <cellStyle name="Normal 4 2 3 2 4" xfId="3673"/>
    <cellStyle name="Normal 4 2 3 2 4 2" xfId="3674"/>
    <cellStyle name="Normal 4 2 3 2 4 2 2" xfId="3675"/>
    <cellStyle name="Normal 4 2 3 2 4 2 2 2" xfId="3676"/>
    <cellStyle name="Normal 4 2 3 2 4 2 2 2 2" xfId="3677"/>
    <cellStyle name="Normal 4 2 3 2 4 2 2 2 2 2" xfId="3678"/>
    <cellStyle name="Normal 4 2 3 2 4 2 2 2 2 3" xfId="3679"/>
    <cellStyle name="Normal 4 2 3 2 4 2 2 2 3" xfId="3680"/>
    <cellStyle name="Normal 4 2 3 2 4 2 2 2 4" xfId="3681"/>
    <cellStyle name="Normal 4 2 3 2 4 2 2 2 5" xfId="3682"/>
    <cellStyle name="Normal 4 2 3 2 4 2 2 3" xfId="3683"/>
    <cellStyle name="Normal 4 2 3 2 4 2 2 3 2" xfId="3684"/>
    <cellStyle name="Normal 4 2 3 2 4 2 2 3 2 2" xfId="3685"/>
    <cellStyle name="Normal 4 2 3 2 4 2 2 3 2 3" xfId="3686"/>
    <cellStyle name="Normal 4 2 3 2 4 2 2 3 3" xfId="3687"/>
    <cellStyle name="Normal 4 2 3 2 4 2 2 3 4" xfId="3688"/>
    <cellStyle name="Normal 4 2 3 2 4 2 2 3 5" xfId="3689"/>
    <cellStyle name="Normal 4 2 3 2 4 2 2 4" xfId="3690"/>
    <cellStyle name="Normal 4 2 3 2 4 2 2 4 2" xfId="3691"/>
    <cellStyle name="Normal 4 2 3 2 4 2 2 4 3" xfId="3692"/>
    <cellStyle name="Normal 4 2 3 2 4 2 2 5" xfId="3693"/>
    <cellStyle name="Normal 4 2 3 2 4 2 2 6" xfId="3694"/>
    <cellStyle name="Normal 4 2 3 2 4 2 2 7" xfId="3695"/>
    <cellStyle name="Normal 4 2 3 2 4 2 3" xfId="3696"/>
    <cellStyle name="Normal 4 2 3 2 4 2 3 2" xfId="3697"/>
    <cellStyle name="Normal 4 2 3 2 4 2 3 2 2" xfId="3698"/>
    <cellStyle name="Normal 4 2 3 2 4 2 3 2 3" xfId="3699"/>
    <cellStyle name="Normal 4 2 3 2 4 2 3 3" xfId="3700"/>
    <cellStyle name="Normal 4 2 3 2 4 2 3 4" xfId="3701"/>
    <cellStyle name="Normal 4 2 3 2 4 2 3 5" xfId="3702"/>
    <cellStyle name="Normal 4 2 3 2 4 2 4" xfId="3703"/>
    <cellStyle name="Normal 4 2 3 2 4 2 4 2" xfId="3704"/>
    <cellStyle name="Normal 4 2 3 2 4 2 4 2 2" xfId="3705"/>
    <cellStyle name="Normal 4 2 3 2 4 2 4 2 3" xfId="3706"/>
    <cellStyle name="Normal 4 2 3 2 4 2 4 3" xfId="3707"/>
    <cellStyle name="Normal 4 2 3 2 4 2 4 4" xfId="3708"/>
    <cellStyle name="Normal 4 2 3 2 4 2 4 5" xfId="3709"/>
    <cellStyle name="Normal 4 2 3 2 4 2 5" xfId="3710"/>
    <cellStyle name="Normal 4 2 3 2 4 2 5 2" xfId="3711"/>
    <cellStyle name="Normal 4 2 3 2 4 2 5 3" xfId="3712"/>
    <cellStyle name="Normal 4 2 3 2 4 2 6" xfId="3713"/>
    <cellStyle name="Normal 4 2 3 2 4 2 7" xfId="3714"/>
    <cellStyle name="Normal 4 2 3 2 4 2 8" xfId="3715"/>
    <cellStyle name="Normal 4 2 3 2 4 3" xfId="3716"/>
    <cellStyle name="Normal 4 2 3 2 4 3 2" xfId="3717"/>
    <cellStyle name="Normal 4 2 3 2 4 3 2 2" xfId="3718"/>
    <cellStyle name="Normal 4 2 3 2 4 3 2 2 2" xfId="3719"/>
    <cellStyle name="Normal 4 2 3 2 4 3 2 2 3" xfId="3720"/>
    <cellStyle name="Normal 4 2 3 2 4 3 2 3" xfId="3721"/>
    <cellStyle name="Normal 4 2 3 2 4 3 2 4" xfId="3722"/>
    <cellStyle name="Normal 4 2 3 2 4 3 2 5" xfId="3723"/>
    <cellStyle name="Normal 4 2 3 2 4 3 3" xfId="3724"/>
    <cellStyle name="Normal 4 2 3 2 4 3 3 2" xfId="3725"/>
    <cellStyle name="Normal 4 2 3 2 4 3 3 2 2" xfId="3726"/>
    <cellStyle name="Normal 4 2 3 2 4 3 3 2 3" xfId="3727"/>
    <cellStyle name="Normal 4 2 3 2 4 3 3 3" xfId="3728"/>
    <cellStyle name="Normal 4 2 3 2 4 3 3 4" xfId="3729"/>
    <cellStyle name="Normal 4 2 3 2 4 3 3 5" xfId="3730"/>
    <cellStyle name="Normal 4 2 3 2 4 3 4" xfId="3731"/>
    <cellStyle name="Normal 4 2 3 2 4 3 4 2" xfId="3732"/>
    <cellStyle name="Normal 4 2 3 2 4 3 4 3" xfId="3733"/>
    <cellStyle name="Normal 4 2 3 2 4 3 5" xfId="3734"/>
    <cellStyle name="Normal 4 2 3 2 4 3 6" xfId="3735"/>
    <cellStyle name="Normal 4 2 3 2 4 3 7" xfId="3736"/>
    <cellStyle name="Normal 4 2 3 2 4 4" xfId="3737"/>
    <cellStyle name="Normal 4 2 3 2 4 4 2" xfId="3738"/>
    <cellStyle name="Normal 4 2 3 2 4 4 2 2" xfId="3739"/>
    <cellStyle name="Normal 4 2 3 2 4 4 2 3" xfId="3740"/>
    <cellStyle name="Normal 4 2 3 2 4 4 3" xfId="3741"/>
    <cellStyle name="Normal 4 2 3 2 4 4 4" xfId="3742"/>
    <cellStyle name="Normal 4 2 3 2 4 4 5" xfId="3743"/>
    <cellStyle name="Normal 4 2 3 2 4 5" xfId="3744"/>
    <cellStyle name="Normal 4 2 3 2 4 5 2" xfId="3745"/>
    <cellStyle name="Normal 4 2 3 2 4 5 2 2" xfId="3746"/>
    <cellStyle name="Normal 4 2 3 2 4 5 2 3" xfId="3747"/>
    <cellStyle name="Normal 4 2 3 2 4 5 3" xfId="3748"/>
    <cellStyle name="Normal 4 2 3 2 4 5 4" xfId="3749"/>
    <cellStyle name="Normal 4 2 3 2 4 5 5" xfId="3750"/>
    <cellStyle name="Normal 4 2 3 2 4 6" xfId="3751"/>
    <cellStyle name="Normal 4 2 3 2 4 6 2" xfId="3752"/>
    <cellStyle name="Normal 4 2 3 2 4 6 3" xfId="3753"/>
    <cellStyle name="Normal 4 2 3 2 4 7" xfId="3754"/>
    <cellStyle name="Normal 4 2 3 2 4 8" xfId="3755"/>
    <cellStyle name="Normal 4 2 3 2 4 9" xfId="3756"/>
    <cellStyle name="Normal 4 2 3 2 5" xfId="3757"/>
    <cellStyle name="Normal 4 2 3 2 5 2" xfId="3758"/>
    <cellStyle name="Normal 4 2 3 2 5 2 2" xfId="3759"/>
    <cellStyle name="Normal 4 2 3 2 5 2 2 2" xfId="3760"/>
    <cellStyle name="Normal 4 2 3 2 5 2 2 2 2" xfId="3761"/>
    <cellStyle name="Normal 4 2 3 2 5 2 2 2 3" xfId="3762"/>
    <cellStyle name="Normal 4 2 3 2 5 2 2 3" xfId="3763"/>
    <cellStyle name="Normal 4 2 3 2 5 2 2 4" xfId="3764"/>
    <cellStyle name="Normal 4 2 3 2 5 2 2 5" xfId="3765"/>
    <cellStyle name="Normal 4 2 3 2 5 2 3" xfId="3766"/>
    <cellStyle name="Normal 4 2 3 2 5 2 3 2" xfId="3767"/>
    <cellStyle name="Normal 4 2 3 2 5 2 3 2 2" xfId="3768"/>
    <cellStyle name="Normal 4 2 3 2 5 2 3 2 3" xfId="3769"/>
    <cellStyle name="Normal 4 2 3 2 5 2 3 3" xfId="3770"/>
    <cellStyle name="Normal 4 2 3 2 5 2 3 4" xfId="3771"/>
    <cellStyle name="Normal 4 2 3 2 5 2 3 5" xfId="3772"/>
    <cellStyle name="Normal 4 2 3 2 5 2 4" xfId="3773"/>
    <cellStyle name="Normal 4 2 3 2 5 2 4 2" xfId="3774"/>
    <cellStyle name="Normal 4 2 3 2 5 2 4 3" xfId="3775"/>
    <cellStyle name="Normal 4 2 3 2 5 2 5" xfId="3776"/>
    <cellStyle name="Normal 4 2 3 2 5 2 6" xfId="3777"/>
    <cellStyle name="Normal 4 2 3 2 5 2 7" xfId="3778"/>
    <cellStyle name="Normal 4 2 3 2 5 3" xfId="3779"/>
    <cellStyle name="Normal 4 2 3 2 5 3 2" xfId="3780"/>
    <cellStyle name="Normal 4 2 3 2 5 3 2 2" xfId="3781"/>
    <cellStyle name="Normal 4 2 3 2 5 3 2 3" xfId="3782"/>
    <cellStyle name="Normal 4 2 3 2 5 3 3" xfId="3783"/>
    <cellStyle name="Normal 4 2 3 2 5 3 4" xfId="3784"/>
    <cellStyle name="Normal 4 2 3 2 5 3 5" xfId="3785"/>
    <cellStyle name="Normal 4 2 3 2 5 4" xfId="3786"/>
    <cellStyle name="Normal 4 2 3 2 5 4 2" xfId="3787"/>
    <cellStyle name="Normal 4 2 3 2 5 4 2 2" xfId="3788"/>
    <cellStyle name="Normal 4 2 3 2 5 4 2 3" xfId="3789"/>
    <cellStyle name="Normal 4 2 3 2 5 4 3" xfId="3790"/>
    <cellStyle name="Normal 4 2 3 2 5 4 4" xfId="3791"/>
    <cellStyle name="Normal 4 2 3 2 5 4 5" xfId="3792"/>
    <cellStyle name="Normal 4 2 3 2 5 5" xfId="3793"/>
    <cellStyle name="Normal 4 2 3 2 5 5 2" xfId="3794"/>
    <cellStyle name="Normal 4 2 3 2 5 5 3" xfId="3795"/>
    <cellStyle name="Normal 4 2 3 2 5 6" xfId="3796"/>
    <cellStyle name="Normal 4 2 3 2 5 7" xfId="3797"/>
    <cellStyle name="Normal 4 2 3 2 5 8" xfId="3798"/>
    <cellStyle name="Normal 4 2 3 2 6" xfId="3799"/>
    <cellStyle name="Normal 4 2 3 2 6 2" xfId="3800"/>
    <cellStyle name="Normal 4 2 3 2 6 2 2" xfId="3801"/>
    <cellStyle name="Normal 4 2 3 2 6 2 2 2" xfId="3802"/>
    <cellStyle name="Normal 4 2 3 2 6 2 2 3" xfId="3803"/>
    <cellStyle name="Normal 4 2 3 2 6 2 3" xfId="3804"/>
    <cellStyle name="Normal 4 2 3 2 6 2 4" xfId="3805"/>
    <cellStyle name="Normal 4 2 3 2 6 2 5" xfId="3806"/>
    <cellStyle name="Normal 4 2 3 2 6 3" xfId="3807"/>
    <cellStyle name="Normal 4 2 3 2 6 3 2" xfId="3808"/>
    <cellStyle name="Normal 4 2 3 2 6 3 2 2" xfId="3809"/>
    <cellStyle name="Normal 4 2 3 2 6 3 2 3" xfId="3810"/>
    <cellStyle name="Normal 4 2 3 2 6 3 3" xfId="3811"/>
    <cellStyle name="Normal 4 2 3 2 6 3 4" xfId="3812"/>
    <cellStyle name="Normal 4 2 3 2 6 3 5" xfId="3813"/>
    <cellStyle name="Normal 4 2 3 2 6 4" xfId="3814"/>
    <cellStyle name="Normal 4 2 3 2 6 4 2" xfId="3815"/>
    <cellStyle name="Normal 4 2 3 2 6 4 3" xfId="3816"/>
    <cellStyle name="Normal 4 2 3 2 6 5" xfId="3817"/>
    <cellStyle name="Normal 4 2 3 2 6 6" xfId="3818"/>
    <cellStyle name="Normal 4 2 3 2 6 7" xfId="3819"/>
    <cellStyle name="Normal 4 2 3 2 7" xfId="3820"/>
    <cellStyle name="Normal 4 2 3 2 7 2" xfId="3821"/>
    <cellStyle name="Normal 4 2 3 2 7 2 2" xfId="3822"/>
    <cellStyle name="Normal 4 2 3 2 7 2 3" xfId="3823"/>
    <cellStyle name="Normal 4 2 3 2 7 3" xfId="3824"/>
    <cellStyle name="Normal 4 2 3 2 7 4" xfId="3825"/>
    <cellStyle name="Normal 4 2 3 2 7 5" xfId="3826"/>
    <cellStyle name="Normal 4 2 3 2 8" xfId="3827"/>
    <cellStyle name="Normal 4 2 3 2 8 2" xfId="3828"/>
    <cellStyle name="Normal 4 2 3 2 8 2 2" xfId="3829"/>
    <cellStyle name="Normal 4 2 3 2 8 2 3" xfId="3830"/>
    <cellStyle name="Normal 4 2 3 2 8 3" xfId="3831"/>
    <cellStyle name="Normal 4 2 3 2 8 4" xfId="3832"/>
    <cellStyle name="Normal 4 2 3 2 8 5" xfId="3833"/>
    <cellStyle name="Normal 4 2 3 2 9" xfId="3834"/>
    <cellStyle name="Normal 4 2 3 2 9 2" xfId="3835"/>
    <cellStyle name="Normal 4 2 3 2 9 3" xfId="3836"/>
    <cellStyle name="Normal 4 2 3 3" xfId="3837"/>
    <cellStyle name="Normal 4 2 3 3 2" xfId="3838"/>
    <cellStyle name="Normal 4 2 3 3 2 2" xfId="3839"/>
    <cellStyle name="Normal 4 2 3 3 2 2 2" xfId="3840"/>
    <cellStyle name="Normal 4 2 3 3 2 2 2 2" xfId="3841"/>
    <cellStyle name="Normal 4 2 3 3 2 2 2 2 2" xfId="3842"/>
    <cellStyle name="Normal 4 2 3 3 2 2 2 2 3" xfId="3843"/>
    <cellStyle name="Normal 4 2 3 3 2 2 2 3" xfId="3844"/>
    <cellStyle name="Normal 4 2 3 3 2 2 2 4" xfId="3845"/>
    <cellStyle name="Normal 4 2 3 3 2 2 2 5" xfId="3846"/>
    <cellStyle name="Normal 4 2 3 3 2 2 3" xfId="3847"/>
    <cellStyle name="Normal 4 2 3 3 2 2 3 2" xfId="3848"/>
    <cellStyle name="Normal 4 2 3 3 2 2 3 2 2" xfId="3849"/>
    <cellStyle name="Normal 4 2 3 3 2 2 3 2 3" xfId="3850"/>
    <cellStyle name="Normal 4 2 3 3 2 2 3 3" xfId="3851"/>
    <cellStyle name="Normal 4 2 3 3 2 2 3 4" xfId="3852"/>
    <cellStyle name="Normal 4 2 3 3 2 2 3 5" xfId="3853"/>
    <cellStyle name="Normal 4 2 3 3 2 2 4" xfId="3854"/>
    <cellStyle name="Normal 4 2 3 3 2 2 4 2" xfId="3855"/>
    <cellStyle name="Normal 4 2 3 3 2 2 4 3" xfId="3856"/>
    <cellStyle name="Normal 4 2 3 3 2 2 5" xfId="3857"/>
    <cellStyle name="Normal 4 2 3 3 2 2 6" xfId="3858"/>
    <cellStyle name="Normal 4 2 3 3 2 2 7" xfId="3859"/>
    <cellStyle name="Normal 4 2 3 3 2 3" xfId="3860"/>
    <cellStyle name="Normal 4 2 3 3 2 3 2" xfId="3861"/>
    <cellStyle name="Normal 4 2 3 3 2 3 2 2" xfId="3862"/>
    <cellStyle name="Normal 4 2 3 3 2 3 2 3" xfId="3863"/>
    <cellStyle name="Normal 4 2 3 3 2 3 3" xfId="3864"/>
    <cellStyle name="Normal 4 2 3 3 2 3 4" xfId="3865"/>
    <cellStyle name="Normal 4 2 3 3 2 3 5" xfId="3866"/>
    <cellStyle name="Normal 4 2 3 3 2 4" xfId="3867"/>
    <cellStyle name="Normal 4 2 3 3 2 4 2" xfId="3868"/>
    <cellStyle name="Normal 4 2 3 3 2 4 2 2" xfId="3869"/>
    <cellStyle name="Normal 4 2 3 3 2 4 2 3" xfId="3870"/>
    <cellStyle name="Normal 4 2 3 3 2 4 3" xfId="3871"/>
    <cellStyle name="Normal 4 2 3 3 2 4 4" xfId="3872"/>
    <cellStyle name="Normal 4 2 3 3 2 4 5" xfId="3873"/>
    <cellStyle name="Normal 4 2 3 3 2 5" xfId="3874"/>
    <cellStyle name="Normal 4 2 3 3 2 5 2" xfId="3875"/>
    <cellStyle name="Normal 4 2 3 3 2 5 3" xfId="3876"/>
    <cellStyle name="Normal 4 2 3 3 2 6" xfId="3877"/>
    <cellStyle name="Normal 4 2 3 3 2 7" xfId="3878"/>
    <cellStyle name="Normal 4 2 3 3 2 8" xfId="3879"/>
    <cellStyle name="Normal 4 2 3 3 3" xfId="3880"/>
    <cellStyle name="Normal 4 2 3 3 3 2" xfId="3881"/>
    <cellStyle name="Normal 4 2 3 3 3 2 2" xfId="3882"/>
    <cellStyle name="Normal 4 2 3 3 3 2 2 2" xfId="3883"/>
    <cellStyle name="Normal 4 2 3 3 3 2 2 3" xfId="3884"/>
    <cellStyle name="Normal 4 2 3 3 3 2 3" xfId="3885"/>
    <cellStyle name="Normal 4 2 3 3 3 2 4" xfId="3886"/>
    <cellStyle name="Normal 4 2 3 3 3 2 5" xfId="3887"/>
    <cellStyle name="Normal 4 2 3 3 3 3" xfId="3888"/>
    <cellStyle name="Normal 4 2 3 3 3 3 2" xfId="3889"/>
    <cellStyle name="Normal 4 2 3 3 3 3 2 2" xfId="3890"/>
    <cellStyle name="Normal 4 2 3 3 3 3 2 3" xfId="3891"/>
    <cellStyle name="Normal 4 2 3 3 3 3 3" xfId="3892"/>
    <cellStyle name="Normal 4 2 3 3 3 3 4" xfId="3893"/>
    <cellStyle name="Normal 4 2 3 3 3 3 5" xfId="3894"/>
    <cellStyle name="Normal 4 2 3 3 3 4" xfId="3895"/>
    <cellStyle name="Normal 4 2 3 3 3 4 2" xfId="3896"/>
    <cellStyle name="Normal 4 2 3 3 3 4 3" xfId="3897"/>
    <cellStyle name="Normal 4 2 3 3 3 5" xfId="3898"/>
    <cellStyle name="Normal 4 2 3 3 3 6" xfId="3899"/>
    <cellStyle name="Normal 4 2 3 3 3 7" xfId="3900"/>
    <cellStyle name="Normal 4 2 3 3 4" xfId="3901"/>
    <cellStyle name="Normal 4 2 3 3 4 2" xfId="3902"/>
    <cellStyle name="Normal 4 2 3 3 4 2 2" xfId="3903"/>
    <cellStyle name="Normal 4 2 3 3 4 2 3" xfId="3904"/>
    <cellStyle name="Normal 4 2 3 3 4 3" xfId="3905"/>
    <cellStyle name="Normal 4 2 3 3 4 4" xfId="3906"/>
    <cellStyle name="Normal 4 2 3 3 4 5" xfId="3907"/>
    <cellStyle name="Normal 4 2 3 3 5" xfId="3908"/>
    <cellStyle name="Normal 4 2 3 3 5 2" xfId="3909"/>
    <cellStyle name="Normal 4 2 3 3 5 2 2" xfId="3910"/>
    <cellStyle name="Normal 4 2 3 3 5 2 3" xfId="3911"/>
    <cellStyle name="Normal 4 2 3 3 5 3" xfId="3912"/>
    <cellStyle name="Normal 4 2 3 3 5 4" xfId="3913"/>
    <cellStyle name="Normal 4 2 3 3 5 5" xfId="3914"/>
    <cellStyle name="Normal 4 2 3 3 6" xfId="3915"/>
    <cellStyle name="Normal 4 2 3 3 6 2" xfId="3916"/>
    <cellStyle name="Normal 4 2 3 3 6 3" xfId="3917"/>
    <cellStyle name="Normal 4 2 3 3 7" xfId="3918"/>
    <cellStyle name="Normal 4 2 3 3 8" xfId="3919"/>
    <cellStyle name="Normal 4 2 3 3 9" xfId="3920"/>
    <cellStyle name="Normal 4 2 3 4" xfId="3921"/>
    <cellStyle name="Normal 4 2 3 4 2" xfId="3922"/>
    <cellStyle name="Normal 4 2 3 4 2 2" xfId="3923"/>
    <cellStyle name="Normal 4 2 3 4 2 2 2" xfId="3924"/>
    <cellStyle name="Normal 4 2 3 4 2 2 2 2" xfId="3925"/>
    <cellStyle name="Normal 4 2 3 4 2 2 2 2 2" xfId="3926"/>
    <cellStyle name="Normal 4 2 3 4 2 2 2 2 3" xfId="3927"/>
    <cellStyle name="Normal 4 2 3 4 2 2 2 3" xfId="3928"/>
    <cellStyle name="Normal 4 2 3 4 2 2 2 4" xfId="3929"/>
    <cellStyle name="Normal 4 2 3 4 2 2 2 5" xfId="3930"/>
    <cellStyle name="Normal 4 2 3 4 2 2 3" xfId="3931"/>
    <cellStyle name="Normal 4 2 3 4 2 2 3 2" xfId="3932"/>
    <cellStyle name="Normal 4 2 3 4 2 2 3 2 2" xfId="3933"/>
    <cellStyle name="Normal 4 2 3 4 2 2 3 2 3" xfId="3934"/>
    <cellStyle name="Normal 4 2 3 4 2 2 3 3" xfId="3935"/>
    <cellStyle name="Normal 4 2 3 4 2 2 3 4" xfId="3936"/>
    <cellStyle name="Normal 4 2 3 4 2 2 3 5" xfId="3937"/>
    <cellStyle name="Normal 4 2 3 4 2 2 4" xfId="3938"/>
    <cellStyle name="Normal 4 2 3 4 2 2 4 2" xfId="3939"/>
    <cellStyle name="Normal 4 2 3 4 2 2 4 3" xfId="3940"/>
    <cellStyle name="Normal 4 2 3 4 2 2 5" xfId="3941"/>
    <cellStyle name="Normal 4 2 3 4 2 2 6" xfId="3942"/>
    <cellStyle name="Normal 4 2 3 4 2 2 7" xfId="3943"/>
    <cellStyle name="Normal 4 2 3 4 2 3" xfId="3944"/>
    <cellStyle name="Normal 4 2 3 4 2 3 2" xfId="3945"/>
    <cellStyle name="Normal 4 2 3 4 2 3 2 2" xfId="3946"/>
    <cellStyle name="Normal 4 2 3 4 2 3 2 3" xfId="3947"/>
    <cellStyle name="Normal 4 2 3 4 2 3 3" xfId="3948"/>
    <cellStyle name="Normal 4 2 3 4 2 3 4" xfId="3949"/>
    <cellStyle name="Normal 4 2 3 4 2 3 5" xfId="3950"/>
    <cellStyle name="Normal 4 2 3 4 2 4" xfId="3951"/>
    <cellStyle name="Normal 4 2 3 4 2 4 2" xfId="3952"/>
    <cellStyle name="Normal 4 2 3 4 2 4 2 2" xfId="3953"/>
    <cellStyle name="Normal 4 2 3 4 2 4 2 3" xfId="3954"/>
    <cellStyle name="Normal 4 2 3 4 2 4 3" xfId="3955"/>
    <cellStyle name="Normal 4 2 3 4 2 4 4" xfId="3956"/>
    <cellStyle name="Normal 4 2 3 4 2 4 5" xfId="3957"/>
    <cellStyle name="Normal 4 2 3 4 2 5" xfId="3958"/>
    <cellStyle name="Normal 4 2 3 4 2 5 2" xfId="3959"/>
    <cellStyle name="Normal 4 2 3 4 2 5 3" xfId="3960"/>
    <cellStyle name="Normal 4 2 3 4 2 6" xfId="3961"/>
    <cellStyle name="Normal 4 2 3 4 2 7" xfId="3962"/>
    <cellStyle name="Normal 4 2 3 4 2 8" xfId="3963"/>
    <cellStyle name="Normal 4 2 3 4 3" xfId="3964"/>
    <cellStyle name="Normal 4 2 3 4 3 2" xfId="3965"/>
    <cellStyle name="Normal 4 2 3 4 3 2 2" xfId="3966"/>
    <cellStyle name="Normal 4 2 3 4 3 2 2 2" xfId="3967"/>
    <cellStyle name="Normal 4 2 3 4 3 2 2 3" xfId="3968"/>
    <cellStyle name="Normal 4 2 3 4 3 2 3" xfId="3969"/>
    <cellStyle name="Normal 4 2 3 4 3 2 4" xfId="3970"/>
    <cellStyle name="Normal 4 2 3 4 3 2 5" xfId="3971"/>
    <cellStyle name="Normal 4 2 3 4 3 3" xfId="3972"/>
    <cellStyle name="Normal 4 2 3 4 3 3 2" xfId="3973"/>
    <cellStyle name="Normal 4 2 3 4 3 3 2 2" xfId="3974"/>
    <cellStyle name="Normal 4 2 3 4 3 3 2 3" xfId="3975"/>
    <cellStyle name="Normal 4 2 3 4 3 3 3" xfId="3976"/>
    <cellStyle name="Normal 4 2 3 4 3 3 4" xfId="3977"/>
    <cellStyle name="Normal 4 2 3 4 3 3 5" xfId="3978"/>
    <cellStyle name="Normal 4 2 3 4 3 4" xfId="3979"/>
    <cellStyle name="Normal 4 2 3 4 3 4 2" xfId="3980"/>
    <cellStyle name="Normal 4 2 3 4 3 4 3" xfId="3981"/>
    <cellStyle name="Normal 4 2 3 4 3 5" xfId="3982"/>
    <cellStyle name="Normal 4 2 3 4 3 6" xfId="3983"/>
    <cellStyle name="Normal 4 2 3 4 3 7" xfId="3984"/>
    <cellStyle name="Normal 4 2 3 4 4" xfId="3985"/>
    <cellStyle name="Normal 4 2 3 4 4 2" xfId="3986"/>
    <cellStyle name="Normal 4 2 3 4 4 2 2" xfId="3987"/>
    <cellStyle name="Normal 4 2 3 4 4 2 3" xfId="3988"/>
    <cellStyle name="Normal 4 2 3 4 4 3" xfId="3989"/>
    <cellStyle name="Normal 4 2 3 4 4 4" xfId="3990"/>
    <cellStyle name="Normal 4 2 3 4 4 5" xfId="3991"/>
    <cellStyle name="Normal 4 2 3 4 5" xfId="3992"/>
    <cellStyle name="Normal 4 2 3 4 5 2" xfId="3993"/>
    <cellStyle name="Normal 4 2 3 4 5 2 2" xfId="3994"/>
    <cellStyle name="Normal 4 2 3 4 5 2 3" xfId="3995"/>
    <cellStyle name="Normal 4 2 3 4 5 3" xfId="3996"/>
    <cellStyle name="Normal 4 2 3 4 5 4" xfId="3997"/>
    <cellStyle name="Normal 4 2 3 4 5 5" xfId="3998"/>
    <cellStyle name="Normal 4 2 3 4 6" xfId="3999"/>
    <cellStyle name="Normal 4 2 3 4 6 2" xfId="4000"/>
    <cellStyle name="Normal 4 2 3 4 6 3" xfId="4001"/>
    <cellStyle name="Normal 4 2 3 4 7" xfId="4002"/>
    <cellStyle name="Normal 4 2 3 4 8" xfId="4003"/>
    <cellStyle name="Normal 4 2 3 4 9" xfId="4004"/>
    <cellStyle name="Normal 4 2 3 5" xfId="4005"/>
    <cellStyle name="Normal 4 2 3 5 2" xfId="4006"/>
    <cellStyle name="Normal 4 2 3 5 2 2" xfId="4007"/>
    <cellStyle name="Normal 4 2 3 5 2 2 2" xfId="4008"/>
    <cellStyle name="Normal 4 2 3 5 2 2 2 2" xfId="4009"/>
    <cellStyle name="Normal 4 2 3 5 2 2 2 2 2" xfId="4010"/>
    <cellStyle name="Normal 4 2 3 5 2 2 2 2 3" xfId="4011"/>
    <cellStyle name="Normal 4 2 3 5 2 2 2 3" xfId="4012"/>
    <cellStyle name="Normal 4 2 3 5 2 2 2 4" xfId="4013"/>
    <cellStyle name="Normal 4 2 3 5 2 2 2 5" xfId="4014"/>
    <cellStyle name="Normal 4 2 3 5 2 2 3" xfId="4015"/>
    <cellStyle name="Normal 4 2 3 5 2 2 3 2" xfId="4016"/>
    <cellStyle name="Normal 4 2 3 5 2 2 3 2 2" xfId="4017"/>
    <cellStyle name="Normal 4 2 3 5 2 2 3 2 3" xfId="4018"/>
    <cellStyle name="Normal 4 2 3 5 2 2 3 3" xfId="4019"/>
    <cellStyle name="Normal 4 2 3 5 2 2 3 4" xfId="4020"/>
    <cellStyle name="Normal 4 2 3 5 2 2 3 5" xfId="4021"/>
    <cellStyle name="Normal 4 2 3 5 2 2 4" xfId="4022"/>
    <cellStyle name="Normal 4 2 3 5 2 2 4 2" xfId="4023"/>
    <cellStyle name="Normal 4 2 3 5 2 2 4 3" xfId="4024"/>
    <cellStyle name="Normal 4 2 3 5 2 2 5" xfId="4025"/>
    <cellStyle name="Normal 4 2 3 5 2 2 6" xfId="4026"/>
    <cellStyle name="Normal 4 2 3 5 2 2 7" xfId="4027"/>
    <cellStyle name="Normal 4 2 3 5 2 3" xfId="4028"/>
    <cellStyle name="Normal 4 2 3 5 2 3 2" xfId="4029"/>
    <cellStyle name="Normal 4 2 3 5 2 3 2 2" xfId="4030"/>
    <cellStyle name="Normal 4 2 3 5 2 3 2 3" xfId="4031"/>
    <cellStyle name="Normal 4 2 3 5 2 3 3" xfId="4032"/>
    <cellStyle name="Normal 4 2 3 5 2 3 4" xfId="4033"/>
    <cellStyle name="Normal 4 2 3 5 2 3 5" xfId="4034"/>
    <cellStyle name="Normal 4 2 3 5 2 4" xfId="4035"/>
    <cellStyle name="Normal 4 2 3 5 2 4 2" xfId="4036"/>
    <cellStyle name="Normal 4 2 3 5 2 4 2 2" xfId="4037"/>
    <cellStyle name="Normal 4 2 3 5 2 4 2 3" xfId="4038"/>
    <cellStyle name="Normal 4 2 3 5 2 4 3" xfId="4039"/>
    <cellStyle name="Normal 4 2 3 5 2 4 4" xfId="4040"/>
    <cellStyle name="Normal 4 2 3 5 2 4 5" xfId="4041"/>
    <cellStyle name="Normal 4 2 3 5 2 5" xfId="4042"/>
    <cellStyle name="Normal 4 2 3 5 2 5 2" xfId="4043"/>
    <cellStyle name="Normal 4 2 3 5 2 5 3" xfId="4044"/>
    <cellStyle name="Normal 4 2 3 5 2 6" xfId="4045"/>
    <cellStyle name="Normal 4 2 3 5 2 7" xfId="4046"/>
    <cellStyle name="Normal 4 2 3 5 2 8" xfId="4047"/>
    <cellStyle name="Normal 4 2 3 5 3" xfId="4048"/>
    <cellStyle name="Normal 4 2 3 5 3 2" xfId="4049"/>
    <cellStyle name="Normal 4 2 3 5 3 2 2" xfId="4050"/>
    <cellStyle name="Normal 4 2 3 5 3 2 2 2" xfId="4051"/>
    <cellStyle name="Normal 4 2 3 5 3 2 2 3" xfId="4052"/>
    <cellStyle name="Normal 4 2 3 5 3 2 3" xfId="4053"/>
    <cellStyle name="Normal 4 2 3 5 3 2 4" xfId="4054"/>
    <cellStyle name="Normal 4 2 3 5 3 2 5" xfId="4055"/>
    <cellStyle name="Normal 4 2 3 5 3 3" xfId="4056"/>
    <cellStyle name="Normal 4 2 3 5 3 3 2" xfId="4057"/>
    <cellStyle name="Normal 4 2 3 5 3 3 2 2" xfId="4058"/>
    <cellStyle name="Normal 4 2 3 5 3 3 2 3" xfId="4059"/>
    <cellStyle name="Normal 4 2 3 5 3 3 3" xfId="4060"/>
    <cellStyle name="Normal 4 2 3 5 3 3 4" xfId="4061"/>
    <cellStyle name="Normal 4 2 3 5 3 3 5" xfId="4062"/>
    <cellStyle name="Normal 4 2 3 5 3 4" xfId="4063"/>
    <cellStyle name="Normal 4 2 3 5 3 4 2" xfId="4064"/>
    <cellStyle name="Normal 4 2 3 5 3 4 3" xfId="4065"/>
    <cellStyle name="Normal 4 2 3 5 3 5" xfId="4066"/>
    <cellStyle name="Normal 4 2 3 5 3 6" xfId="4067"/>
    <cellStyle name="Normal 4 2 3 5 3 7" xfId="4068"/>
    <cellStyle name="Normal 4 2 3 5 4" xfId="4069"/>
    <cellStyle name="Normal 4 2 3 5 4 2" xfId="4070"/>
    <cellStyle name="Normal 4 2 3 5 4 2 2" xfId="4071"/>
    <cellStyle name="Normal 4 2 3 5 4 2 3" xfId="4072"/>
    <cellStyle name="Normal 4 2 3 5 4 3" xfId="4073"/>
    <cellStyle name="Normal 4 2 3 5 4 4" xfId="4074"/>
    <cellStyle name="Normal 4 2 3 5 4 5" xfId="4075"/>
    <cellStyle name="Normal 4 2 3 5 5" xfId="4076"/>
    <cellStyle name="Normal 4 2 3 5 5 2" xfId="4077"/>
    <cellStyle name="Normal 4 2 3 5 5 2 2" xfId="4078"/>
    <cellStyle name="Normal 4 2 3 5 5 2 3" xfId="4079"/>
    <cellStyle name="Normal 4 2 3 5 5 3" xfId="4080"/>
    <cellStyle name="Normal 4 2 3 5 5 4" xfId="4081"/>
    <cellStyle name="Normal 4 2 3 5 5 5" xfId="4082"/>
    <cellStyle name="Normal 4 2 3 5 6" xfId="4083"/>
    <cellStyle name="Normal 4 2 3 5 6 2" xfId="4084"/>
    <cellStyle name="Normal 4 2 3 5 6 3" xfId="4085"/>
    <cellStyle name="Normal 4 2 3 5 7" xfId="4086"/>
    <cellStyle name="Normal 4 2 3 5 8" xfId="4087"/>
    <cellStyle name="Normal 4 2 3 5 9" xfId="4088"/>
    <cellStyle name="Normal 4 2 3 6" xfId="4089"/>
    <cellStyle name="Normal 4 2 3 6 2" xfId="4090"/>
    <cellStyle name="Normal 4 2 3 6 2 2" xfId="4091"/>
    <cellStyle name="Normal 4 2 3 6 2 2 2" xfId="4092"/>
    <cellStyle name="Normal 4 2 3 6 2 2 2 2" xfId="4093"/>
    <cellStyle name="Normal 4 2 3 6 2 2 2 3" xfId="4094"/>
    <cellStyle name="Normal 4 2 3 6 2 2 3" xfId="4095"/>
    <cellStyle name="Normal 4 2 3 6 2 2 4" xfId="4096"/>
    <cellStyle name="Normal 4 2 3 6 2 2 5" xfId="4097"/>
    <cellStyle name="Normal 4 2 3 6 2 3" xfId="4098"/>
    <cellStyle name="Normal 4 2 3 6 2 3 2" xfId="4099"/>
    <cellStyle name="Normal 4 2 3 6 2 3 2 2" xfId="4100"/>
    <cellStyle name="Normal 4 2 3 6 2 3 2 3" xfId="4101"/>
    <cellStyle name="Normal 4 2 3 6 2 3 3" xfId="4102"/>
    <cellStyle name="Normal 4 2 3 6 2 3 4" xfId="4103"/>
    <cellStyle name="Normal 4 2 3 6 2 3 5" xfId="4104"/>
    <cellStyle name="Normal 4 2 3 6 2 4" xfId="4105"/>
    <cellStyle name="Normal 4 2 3 6 2 4 2" xfId="4106"/>
    <cellStyle name="Normal 4 2 3 6 2 4 3" xfId="4107"/>
    <cellStyle name="Normal 4 2 3 6 2 5" xfId="4108"/>
    <cellStyle name="Normal 4 2 3 6 2 6" xfId="4109"/>
    <cellStyle name="Normal 4 2 3 6 2 7" xfId="4110"/>
    <cellStyle name="Normal 4 2 3 6 3" xfId="4111"/>
    <cellStyle name="Normal 4 2 3 6 3 2" xfId="4112"/>
    <cellStyle name="Normal 4 2 3 6 3 2 2" xfId="4113"/>
    <cellStyle name="Normal 4 2 3 6 3 2 3" xfId="4114"/>
    <cellStyle name="Normal 4 2 3 6 3 3" xfId="4115"/>
    <cellStyle name="Normal 4 2 3 6 3 4" xfId="4116"/>
    <cellStyle name="Normal 4 2 3 6 3 5" xfId="4117"/>
    <cellStyle name="Normal 4 2 3 6 4" xfId="4118"/>
    <cellStyle name="Normal 4 2 3 6 4 2" xfId="4119"/>
    <cellStyle name="Normal 4 2 3 6 4 2 2" xfId="4120"/>
    <cellStyle name="Normal 4 2 3 6 4 2 3" xfId="4121"/>
    <cellStyle name="Normal 4 2 3 6 4 3" xfId="4122"/>
    <cellStyle name="Normal 4 2 3 6 4 4" xfId="4123"/>
    <cellStyle name="Normal 4 2 3 6 4 5" xfId="4124"/>
    <cellStyle name="Normal 4 2 3 6 5" xfId="4125"/>
    <cellStyle name="Normal 4 2 3 6 5 2" xfId="4126"/>
    <cellStyle name="Normal 4 2 3 6 5 3" xfId="4127"/>
    <cellStyle name="Normal 4 2 3 6 6" xfId="4128"/>
    <cellStyle name="Normal 4 2 3 6 7" xfId="4129"/>
    <cellStyle name="Normal 4 2 3 6 8" xfId="4130"/>
    <cellStyle name="Normal 4 2 3 7" xfId="4131"/>
    <cellStyle name="Normal 4 2 3 7 2" xfId="4132"/>
    <cellStyle name="Normal 4 2 3 7 2 2" xfId="4133"/>
    <cellStyle name="Normal 4 2 3 7 2 2 2" xfId="4134"/>
    <cellStyle name="Normal 4 2 3 7 2 2 3" xfId="4135"/>
    <cellStyle name="Normal 4 2 3 7 2 3" xfId="4136"/>
    <cellStyle name="Normal 4 2 3 7 2 4" xfId="4137"/>
    <cellStyle name="Normal 4 2 3 7 2 5" xfId="4138"/>
    <cellStyle name="Normal 4 2 3 7 3" xfId="4139"/>
    <cellStyle name="Normal 4 2 3 7 3 2" xfId="4140"/>
    <cellStyle name="Normal 4 2 3 7 3 2 2" xfId="4141"/>
    <cellStyle name="Normal 4 2 3 7 3 2 3" xfId="4142"/>
    <cellStyle name="Normal 4 2 3 7 3 3" xfId="4143"/>
    <cellStyle name="Normal 4 2 3 7 3 4" xfId="4144"/>
    <cellStyle name="Normal 4 2 3 7 3 5" xfId="4145"/>
    <cellStyle name="Normal 4 2 3 7 4" xfId="4146"/>
    <cellStyle name="Normal 4 2 3 7 4 2" xfId="4147"/>
    <cellStyle name="Normal 4 2 3 7 4 3" xfId="4148"/>
    <cellStyle name="Normal 4 2 3 7 5" xfId="4149"/>
    <cellStyle name="Normal 4 2 3 7 6" xfId="4150"/>
    <cellStyle name="Normal 4 2 3 7 7" xfId="4151"/>
    <cellStyle name="Normal 4 2 3 8" xfId="4152"/>
    <cellStyle name="Normal 4 2 3 8 2" xfId="4153"/>
    <cellStyle name="Normal 4 2 3 8 2 2" xfId="4154"/>
    <cellStyle name="Normal 4 2 3 8 2 2 2" xfId="4155"/>
    <cellStyle name="Normal 4 2 3 8 2 2 3" xfId="4156"/>
    <cellStyle name="Normal 4 2 3 8 2 3" xfId="4157"/>
    <cellStyle name="Normal 4 2 3 8 2 4" xfId="4158"/>
    <cellStyle name="Normal 4 2 3 8 2 5" xfId="4159"/>
    <cellStyle name="Normal 4 2 3 8 3" xfId="4160"/>
    <cellStyle name="Normal 4 2 3 8 3 2" xfId="4161"/>
    <cellStyle name="Normal 4 2 3 8 3 2 2" xfId="4162"/>
    <cellStyle name="Normal 4 2 3 8 3 2 3" xfId="4163"/>
    <cellStyle name="Normal 4 2 3 8 3 3" xfId="4164"/>
    <cellStyle name="Normal 4 2 3 8 3 4" xfId="4165"/>
    <cellStyle name="Normal 4 2 3 8 3 5" xfId="4166"/>
    <cellStyle name="Normal 4 2 3 8 4" xfId="4167"/>
    <cellStyle name="Normal 4 2 3 8 4 2" xfId="4168"/>
    <cellStyle name="Normal 4 2 3 8 4 3" xfId="4169"/>
    <cellStyle name="Normal 4 2 3 8 5" xfId="4170"/>
    <cellStyle name="Normal 4 2 3 8 6" xfId="4171"/>
    <cellStyle name="Normal 4 2 3 8 7" xfId="4172"/>
    <cellStyle name="Normal 4 2 3 9" xfId="4173"/>
    <cellStyle name="Normal 4 2 3 9 2" xfId="4174"/>
    <cellStyle name="Normal 4 2 3 9 2 2" xfId="4175"/>
    <cellStyle name="Normal 4 2 3 9 2 3" xfId="4176"/>
    <cellStyle name="Normal 4 2 3 9 3" xfId="4177"/>
    <cellStyle name="Normal 4 2 3 9 4" xfId="4178"/>
    <cellStyle name="Normal 4 2 3 9 5" xfId="4179"/>
    <cellStyle name="Normal 4 2 4" xfId="4180"/>
    <cellStyle name="Normal 4 2 4 10" xfId="4181"/>
    <cellStyle name="Normal 4 2 4 11" xfId="4182"/>
    <cellStyle name="Normal 4 2 4 12" xfId="4183"/>
    <cellStyle name="Normal 4 2 4 2" xfId="4184"/>
    <cellStyle name="Normal 4 2 4 2 2" xfId="4185"/>
    <cellStyle name="Normal 4 2 4 2 2 2" xfId="4186"/>
    <cellStyle name="Normal 4 2 4 2 2 2 2" xfId="4187"/>
    <cellStyle name="Normal 4 2 4 2 2 2 2 2" xfId="4188"/>
    <cellStyle name="Normal 4 2 4 2 2 2 2 2 2" xfId="4189"/>
    <cellStyle name="Normal 4 2 4 2 2 2 2 2 3" xfId="4190"/>
    <cellStyle name="Normal 4 2 4 2 2 2 2 3" xfId="4191"/>
    <cellStyle name="Normal 4 2 4 2 2 2 2 4" xfId="4192"/>
    <cellStyle name="Normal 4 2 4 2 2 2 2 5" xfId="4193"/>
    <cellStyle name="Normal 4 2 4 2 2 2 3" xfId="4194"/>
    <cellStyle name="Normal 4 2 4 2 2 2 3 2" xfId="4195"/>
    <cellStyle name="Normal 4 2 4 2 2 2 3 2 2" xfId="4196"/>
    <cellStyle name="Normal 4 2 4 2 2 2 3 2 3" xfId="4197"/>
    <cellStyle name="Normal 4 2 4 2 2 2 3 3" xfId="4198"/>
    <cellStyle name="Normal 4 2 4 2 2 2 3 4" xfId="4199"/>
    <cellStyle name="Normal 4 2 4 2 2 2 3 5" xfId="4200"/>
    <cellStyle name="Normal 4 2 4 2 2 2 4" xfId="4201"/>
    <cellStyle name="Normal 4 2 4 2 2 2 4 2" xfId="4202"/>
    <cellStyle name="Normal 4 2 4 2 2 2 4 3" xfId="4203"/>
    <cellStyle name="Normal 4 2 4 2 2 2 5" xfId="4204"/>
    <cellStyle name="Normal 4 2 4 2 2 2 6" xfId="4205"/>
    <cellStyle name="Normal 4 2 4 2 2 2 7" xfId="4206"/>
    <cellStyle name="Normal 4 2 4 2 2 3" xfId="4207"/>
    <cellStyle name="Normal 4 2 4 2 2 3 2" xfId="4208"/>
    <cellStyle name="Normal 4 2 4 2 2 3 2 2" xfId="4209"/>
    <cellStyle name="Normal 4 2 4 2 2 3 2 3" xfId="4210"/>
    <cellStyle name="Normal 4 2 4 2 2 3 3" xfId="4211"/>
    <cellStyle name="Normal 4 2 4 2 2 3 4" xfId="4212"/>
    <cellStyle name="Normal 4 2 4 2 2 3 5" xfId="4213"/>
    <cellStyle name="Normal 4 2 4 2 2 4" xfId="4214"/>
    <cellStyle name="Normal 4 2 4 2 2 4 2" xfId="4215"/>
    <cellStyle name="Normal 4 2 4 2 2 4 2 2" xfId="4216"/>
    <cellStyle name="Normal 4 2 4 2 2 4 2 3" xfId="4217"/>
    <cellStyle name="Normal 4 2 4 2 2 4 3" xfId="4218"/>
    <cellStyle name="Normal 4 2 4 2 2 4 4" xfId="4219"/>
    <cellStyle name="Normal 4 2 4 2 2 4 5" xfId="4220"/>
    <cellStyle name="Normal 4 2 4 2 2 5" xfId="4221"/>
    <cellStyle name="Normal 4 2 4 2 2 5 2" xfId="4222"/>
    <cellStyle name="Normal 4 2 4 2 2 5 3" xfId="4223"/>
    <cellStyle name="Normal 4 2 4 2 2 6" xfId="4224"/>
    <cellStyle name="Normal 4 2 4 2 2 7" xfId="4225"/>
    <cellStyle name="Normal 4 2 4 2 2 8" xfId="4226"/>
    <cellStyle name="Normal 4 2 4 2 3" xfId="4227"/>
    <cellStyle name="Normal 4 2 4 2 3 2" xfId="4228"/>
    <cellStyle name="Normal 4 2 4 2 3 2 2" xfId="4229"/>
    <cellStyle name="Normal 4 2 4 2 3 2 2 2" xfId="4230"/>
    <cellStyle name="Normal 4 2 4 2 3 2 2 3" xfId="4231"/>
    <cellStyle name="Normal 4 2 4 2 3 2 3" xfId="4232"/>
    <cellStyle name="Normal 4 2 4 2 3 2 4" xfId="4233"/>
    <cellStyle name="Normal 4 2 4 2 3 2 5" xfId="4234"/>
    <cellStyle name="Normal 4 2 4 2 3 3" xfId="4235"/>
    <cellStyle name="Normal 4 2 4 2 3 3 2" xfId="4236"/>
    <cellStyle name="Normal 4 2 4 2 3 3 2 2" xfId="4237"/>
    <cellStyle name="Normal 4 2 4 2 3 3 2 3" xfId="4238"/>
    <cellStyle name="Normal 4 2 4 2 3 3 3" xfId="4239"/>
    <cellStyle name="Normal 4 2 4 2 3 3 4" xfId="4240"/>
    <cellStyle name="Normal 4 2 4 2 3 3 5" xfId="4241"/>
    <cellStyle name="Normal 4 2 4 2 3 4" xfId="4242"/>
    <cellStyle name="Normal 4 2 4 2 3 4 2" xfId="4243"/>
    <cellStyle name="Normal 4 2 4 2 3 4 3" xfId="4244"/>
    <cellStyle name="Normal 4 2 4 2 3 5" xfId="4245"/>
    <cellStyle name="Normal 4 2 4 2 3 6" xfId="4246"/>
    <cellStyle name="Normal 4 2 4 2 3 7" xfId="4247"/>
    <cellStyle name="Normal 4 2 4 2 4" xfId="4248"/>
    <cellStyle name="Normal 4 2 4 2 4 2" xfId="4249"/>
    <cellStyle name="Normal 4 2 4 2 4 2 2" xfId="4250"/>
    <cellStyle name="Normal 4 2 4 2 4 2 3" xfId="4251"/>
    <cellStyle name="Normal 4 2 4 2 4 3" xfId="4252"/>
    <cellStyle name="Normal 4 2 4 2 4 4" xfId="4253"/>
    <cellStyle name="Normal 4 2 4 2 4 5" xfId="4254"/>
    <cellStyle name="Normal 4 2 4 2 5" xfId="4255"/>
    <cellStyle name="Normal 4 2 4 2 5 2" xfId="4256"/>
    <cellStyle name="Normal 4 2 4 2 5 2 2" xfId="4257"/>
    <cellStyle name="Normal 4 2 4 2 5 2 3" xfId="4258"/>
    <cellStyle name="Normal 4 2 4 2 5 3" xfId="4259"/>
    <cellStyle name="Normal 4 2 4 2 5 4" xfId="4260"/>
    <cellStyle name="Normal 4 2 4 2 5 5" xfId="4261"/>
    <cellStyle name="Normal 4 2 4 2 6" xfId="4262"/>
    <cellStyle name="Normal 4 2 4 2 6 2" xfId="4263"/>
    <cellStyle name="Normal 4 2 4 2 6 3" xfId="4264"/>
    <cellStyle name="Normal 4 2 4 2 7" xfId="4265"/>
    <cellStyle name="Normal 4 2 4 2 8" xfId="4266"/>
    <cellStyle name="Normal 4 2 4 2 9" xfId="4267"/>
    <cellStyle name="Normal 4 2 4 3" xfId="4268"/>
    <cellStyle name="Normal 4 2 4 3 2" xfId="4269"/>
    <cellStyle name="Normal 4 2 4 3 2 2" xfId="4270"/>
    <cellStyle name="Normal 4 2 4 3 2 2 2" xfId="4271"/>
    <cellStyle name="Normal 4 2 4 3 2 2 2 2" xfId="4272"/>
    <cellStyle name="Normal 4 2 4 3 2 2 2 2 2" xfId="4273"/>
    <cellStyle name="Normal 4 2 4 3 2 2 2 2 3" xfId="4274"/>
    <cellStyle name="Normal 4 2 4 3 2 2 2 3" xfId="4275"/>
    <cellStyle name="Normal 4 2 4 3 2 2 2 4" xfId="4276"/>
    <cellStyle name="Normal 4 2 4 3 2 2 2 5" xfId="4277"/>
    <cellStyle name="Normal 4 2 4 3 2 2 3" xfId="4278"/>
    <cellStyle name="Normal 4 2 4 3 2 2 3 2" xfId="4279"/>
    <cellStyle name="Normal 4 2 4 3 2 2 3 2 2" xfId="4280"/>
    <cellStyle name="Normal 4 2 4 3 2 2 3 2 3" xfId="4281"/>
    <cellStyle name="Normal 4 2 4 3 2 2 3 3" xfId="4282"/>
    <cellStyle name="Normal 4 2 4 3 2 2 3 4" xfId="4283"/>
    <cellStyle name="Normal 4 2 4 3 2 2 3 5" xfId="4284"/>
    <cellStyle name="Normal 4 2 4 3 2 2 4" xfId="4285"/>
    <cellStyle name="Normal 4 2 4 3 2 2 4 2" xfId="4286"/>
    <cellStyle name="Normal 4 2 4 3 2 2 4 3" xfId="4287"/>
    <cellStyle name="Normal 4 2 4 3 2 2 5" xfId="4288"/>
    <cellStyle name="Normal 4 2 4 3 2 2 6" xfId="4289"/>
    <cellStyle name="Normal 4 2 4 3 2 2 7" xfId="4290"/>
    <cellStyle name="Normal 4 2 4 3 2 3" xfId="4291"/>
    <cellStyle name="Normal 4 2 4 3 2 3 2" xfId="4292"/>
    <cellStyle name="Normal 4 2 4 3 2 3 2 2" xfId="4293"/>
    <cellStyle name="Normal 4 2 4 3 2 3 2 3" xfId="4294"/>
    <cellStyle name="Normal 4 2 4 3 2 3 3" xfId="4295"/>
    <cellStyle name="Normal 4 2 4 3 2 3 4" xfId="4296"/>
    <cellStyle name="Normal 4 2 4 3 2 3 5" xfId="4297"/>
    <cellStyle name="Normal 4 2 4 3 2 4" xfId="4298"/>
    <cellStyle name="Normal 4 2 4 3 2 4 2" xfId="4299"/>
    <cellStyle name="Normal 4 2 4 3 2 4 2 2" xfId="4300"/>
    <cellStyle name="Normal 4 2 4 3 2 4 2 3" xfId="4301"/>
    <cellStyle name="Normal 4 2 4 3 2 4 3" xfId="4302"/>
    <cellStyle name="Normal 4 2 4 3 2 4 4" xfId="4303"/>
    <cellStyle name="Normal 4 2 4 3 2 4 5" xfId="4304"/>
    <cellStyle name="Normal 4 2 4 3 2 5" xfId="4305"/>
    <cellStyle name="Normal 4 2 4 3 2 5 2" xfId="4306"/>
    <cellStyle name="Normal 4 2 4 3 2 5 3" xfId="4307"/>
    <cellStyle name="Normal 4 2 4 3 2 6" xfId="4308"/>
    <cellStyle name="Normal 4 2 4 3 2 7" xfId="4309"/>
    <cellStyle name="Normal 4 2 4 3 2 8" xfId="4310"/>
    <cellStyle name="Normal 4 2 4 3 3" xfId="4311"/>
    <cellStyle name="Normal 4 2 4 3 3 2" xfId="4312"/>
    <cellStyle name="Normal 4 2 4 3 3 2 2" xfId="4313"/>
    <cellStyle name="Normal 4 2 4 3 3 2 2 2" xfId="4314"/>
    <cellStyle name="Normal 4 2 4 3 3 2 2 3" xfId="4315"/>
    <cellStyle name="Normal 4 2 4 3 3 2 3" xfId="4316"/>
    <cellStyle name="Normal 4 2 4 3 3 2 4" xfId="4317"/>
    <cellStyle name="Normal 4 2 4 3 3 2 5" xfId="4318"/>
    <cellStyle name="Normal 4 2 4 3 3 3" xfId="4319"/>
    <cellStyle name="Normal 4 2 4 3 3 3 2" xfId="4320"/>
    <cellStyle name="Normal 4 2 4 3 3 3 2 2" xfId="4321"/>
    <cellStyle name="Normal 4 2 4 3 3 3 2 3" xfId="4322"/>
    <cellStyle name="Normal 4 2 4 3 3 3 3" xfId="4323"/>
    <cellStyle name="Normal 4 2 4 3 3 3 4" xfId="4324"/>
    <cellStyle name="Normal 4 2 4 3 3 3 5" xfId="4325"/>
    <cellStyle name="Normal 4 2 4 3 3 4" xfId="4326"/>
    <cellStyle name="Normal 4 2 4 3 3 4 2" xfId="4327"/>
    <cellStyle name="Normal 4 2 4 3 3 4 3" xfId="4328"/>
    <cellStyle name="Normal 4 2 4 3 3 5" xfId="4329"/>
    <cellStyle name="Normal 4 2 4 3 3 6" xfId="4330"/>
    <cellStyle name="Normal 4 2 4 3 3 7" xfId="4331"/>
    <cellStyle name="Normal 4 2 4 3 4" xfId="4332"/>
    <cellStyle name="Normal 4 2 4 3 4 2" xfId="4333"/>
    <cellStyle name="Normal 4 2 4 3 4 2 2" xfId="4334"/>
    <cellStyle name="Normal 4 2 4 3 4 2 3" xfId="4335"/>
    <cellStyle name="Normal 4 2 4 3 4 3" xfId="4336"/>
    <cellStyle name="Normal 4 2 4 3 4 4" xfId="4337"/>
    <cellStyle name="Normal 4 2 4 3 4 5" xfId="4338"/>
    <cellStyle name="Normal 4 2 4 3 5" xfId="4339"/>
    <cellStyle name="Normal 4 2 4 3 5 2" xfId="4340"/>
    <cellStyle name="Normal 4 2 4 3 5 2 2" xfId="4341"/>
    <cellStyle name="Normal 4 2 4 3 5 2 3" xfId="4342"/>
    <cellStyle name="Normal 4 2 4 3 5 3" xfId="4343"/>
    <cellStyle name="Normal 4 2 4 3 5 4" xfId="4344"/>
    <cellStyle name="Normal 4 2 4 3 5 5" xfId="4345"/>
    <cellStyle name="Normal 4 2 4 3 6" xfId="4346"/>
    <cellStyle name="Normal 4 2 4 3 6 2" xfId="4347"/>
    <cellStyle name="Normal 4 2 4 3 6 3" xfId="4348"/>
    <cellStyle name="Normal 4 2 4 3 7" xfId="4349"/>
    <cellStyle name="Normal 4 2 4 3 8" xfId="4350"/>
    <cellStyle name="Normal 4 2 4 3 9" xfId="4351"/>
    <cellStyle name="Normal 4 2 4 4" xfId="4352"/>
    <cellStyle name="Normal 4 2 4 4 2" xfId="4353"/>
    <cellStyle name="Normal 4 2 4 4 2 2" xfId="4354"/>
    <cellStyle name="Normal 4 2 4 4 2 2 2" xfId="4355"/>
    <cellStyle name="Normal 4 2 4 4 2 2 2 2" xfId="4356"/>
    <cellStyle name="Normal 4 2 4 4 2 2 2 2 2" xfId="4357"/>
    <cellStyle name="Normal 4 2 4 4 2 2 2 2 3" xfId="4358"/>
    <cellStyle name="Normal 4 2 4 4 2 2 2 3" xfId="4359"/>
    <cellStyle name="Normal 4 2 4 4 2 2 2 4" xfId="4360"/>
    <cellStyle name="Normal 4 2 4 4 2 2 2 5" xfId="4361"/>
    <cellStyle name="Normal 4 2 4 4 2 2 3" xfId="4362"/>
    <cellStyle name="Normal 4 2 4 4 2 2 3 2" xfId="4363"/>
    <cellStyle name="Normal 4 2 4 4 2 2 3 2 2" xfId="4364"/>
    <cellStyle name="Normal 4 2 4 4 2 2 3 2 3" xfId="4365"/>
    <cellStyle name="Normal 4 2 4 4 2 2 3 3" xfId="4366"/>
    <cellStyle name="Normal 4 2 4 4 2 2 3 4" xfId="4367"/>
    <cellStyle name="Normal 4 2 4 4 2 2 3 5" xfId="4368"/>
    <cellStyle name="Normal 4 2 4 4 2 2 4" xfId="4369"/>
    <cellStyle name="Normal 4 2 4 4 2 2 4 2" xfId="4370"/>
    <cellStyle name="Normal 4 2 4 4 2 2 4 3" xfId="4371"/>
    <cellStyle name="Normal 4 2 4 4 2 2 5" xfId="4372"/>
    <cellStyle name="Normal 4 2 4 4 2 2 6" xfId="4373"/>
    <cellStyle name="Normal 4 2 4 4 2 2 7" xfId="4374"/>
    <cellStyle name="Normal 4 2 4 4 2 3" xfId="4375"/>
    <cellStyle name="Normal 4 2 4 4 2 3 2" xfId="4376"/>
    <cellStyle name="Normal 4 2 4 4 2 3 2 2" xfId="4377"/>
    <cellStyle name="Normal 4 2 4 4 2 3 2 3" xfId="4378"/>
    <cellStyle name="Normal 4 2 4 4 2 3 3" xfId="4379"/>
    <cellStyle name="Normal 4 2 4 4 2 3 4" xfId="4380"/>
    <cellStyle name="Normal 4 2 4 4 2 3 5" xfId="4381"/>
    <cellStyle name="Normal 4 2 4 4 2 4" xfId="4382"/>
    <cellStyle name="Normal 4 2 4 4 2 4 2" xfId="4383"/>
    <cellStyle name="Normal 4 2 4 4 2 4 2 2" xfId="4384"/>
    <cellStyle name="Normal 4 2 4 4 2 4 2 3" xfId="4385"/>
    <cellStyle name="Normal 4 2 4 4 2 4 3" xfId="4386"/>
    <cellStyle name="Normal 4 2 4 4 2 4 4" xfId="4387"/>
    <cellStyle name="Normal 4 2 4 4 2 4 5" xfId="4388"/>
    <cellStyle name="Normal 4 2 4 4 2 5" xfId="4389"/>
    <cellStyle name="Normal 4 2 4 4 2 5 2" xfId="4390"/>
    <cellStyle name="Normal 4 2 4 4 2 5 3" xfId="4391"/>
    <cellStyle name="Normal 4 2 4 4 2 6" xfId="4392"/>
    <cellStyle name="Normal 4 2 4 4 2 7" xfId="4393"/>
    <cellStyle name="Normal 4 2 4 4 2 8" xfId="4394"/>
    <cellStyle name="Normal 4 2 4 4 3" xfId="4395"/>
    <cellStyle name="Normal 4 2 4 4 3 2" xfId="4396"/>
    <cellStyle name="Normal 4 2 4 4 3 2 2" xfId="4397"/>
    <cellStyle name="Normal 4 2 4 4 3 2 2 2" xfId="4398"/>
    <cellStyle name="Normal 4 2 4 4 3 2 2 3" xfId="4399"/>
    <cellStyle name="Normal 4 2 4 4 3 2 3" xfId="4400"/>
    <cellStyle name="Normal 4 2 4 4 3 2 4" xfId="4401"/>
    <cellStyle name="Normal 4 2 4 4 3 2 5" xfId="4402"/>
    <cellStyle name="Normal 4 2 4 4 3 3" xfId="4403"/>
    <cellStyle name="Normal 4 2 4 4 3 3 2" xfId="4404"/>
    <cellStyle name="Normal 4 2 4 4 3 3 2 2" xfId="4405"/>
    <cellStyle name="Normal 4 2 4 4 3 3 2 3" xfId="4406"/>
    <cellStyle name="Normal 4 2 4 4 3 3 3" xfId="4407"/>
    <cellStyle name="Normal 4 2 4 4 3 3 4" xfId="4408"/>
    <cellStyle name="Normal 4 2 4 4 3 3 5" xfId="4409"/>
    <cellStyle name="Normal 4 2 4 4 3 4" xfId="4410"/>
    <cellStyle name="Normal 4 2 4 4 3 4 2" xfId="4411"/>
    <cellStyle name="Normal 4 2 4 4 3 4 3" xfId="4412"/>
    <cellStyle name="Normal 4 2 4 4 3 5" xfId="4413"/>
    <cellStyle name="Normal 4 2 4 4 3 6" xfId="4414"/>
    <cellStyle name="Normal 4 2 4 4 3 7" xfId="4415"/>
    <cellStyle name="Normal 4 2 4 4 4" xfId="4416"/>
    <cellStyle name="Normal 4 2 4 4 4 2" xfId="4417"/>
    <cellStyle name="Normal 4 2 4 4 4 2 2" xfId="4418"/>
    <cellStyle name="Normal 4 2 4 4 4 2 3" xfId="4419"/>
    <cellStyle name="Normal 4 2 4 4 4 3" xfId="4420"/>
    <cellStyle name="Normal 4 2 4 4 4 4" xfId="4421"/>
    <cellStyle name="Normal 4 2 4 4 4 5" xfId="4422"/>
    <cellStyle name="Normal 4 2 4 4 5" xfId="4423"/>
    <cellStyle name="Normal 4 2 4 4 5 2" xfId="4424"/>
    <cellStyle name="Normal 4 2 4 4 5 2 2" xfId="4425"/>
    <cellStyle name="Normal 4 2 4 4 5 2 3" xfId="4426"/>
    <cellStyle name="Normal 4 2 4 4 5 3" xfId="4427"/>
    <cellStyle name="Normal 4 2 4 4 5 4" xfId="4428"/>
    <cellStyle name="Normal 4 2 4 4 5 5" xfId="4429"/>
    <cellStyle name="Normal 4 2 4 4 6" xfId="4430"/>
    <cellStyle name="Normal 4 2 4 4 6 2" xfId="4431"/>
    <cellStyle name="Normal 4 2 4 4 6 3" xfId="4432"/>
    <cellStyle name="Normal 4 2 4 4 7" xfId="4433"/>
    <cellStyle name="Normal 4 2 4 4 8" xfId="4434"/>
    <cellStyle name="Normal 4 2 4 4 9" xfId="4435"/>
    <cellStyle name="Normal 4 2 4 5" xfId="4436"/>
    <cellStyle name="Normal 4 2 4 5 2" xfId="4437"/>
    <cellStyle name="Normal 4 2 4 5 2 2" xfId="4438"/>
    <cellStyle name="Normal 4 2 4 5 2 2 2" xfId="4439"/>
    <cellStyle name="Normal 4 2 4 5 2 2 2 2" xfId="4440"/>
    <cellStyle name="Normal 4 2 4 5 2 2 2 3" xfId="4441"/>
    <cellStyle name="Normal 4 2 4 5 2 2 3" xfId="4442"/>
    <cellStyle name="Normal 4 2 4 5 2 2 4" xfId="4443"/>
    <cellStyle name="Normal 4 2 4 5 2 2 5" xfId="4444"/>
    <cellStyle name="Normal 4 2 4 5 2 3" xfId="4445"/>
    <cellStyle name="Normal 4 2 4 5 2 3 2" xfId="4446"/>
    <cellStyle name="Normal 4 2 4 5 2 3 2 2" xfId="4447"/>
    <cellStyle name="Normal 4 2 4 5 2 3 2 3" xfId="4448"/>
    <cellStyle name="Normal 4 2 4 5 2 3 3" xfId="4449"/>
    <cellStyle name="Normal 4 2 4 5 2 3 4" xfId="4450"/>
    <cellStyle name="Normal 4 2 4 5 2 3 5" xfId="4451"/>
    <cellStyle name="Normal 4 2 4 5 2 4" xfId="4452"/>
    <cellStyle name="Normal 4 2 4 5 2 4 2" xfId="4453"/>
    <cellStyle name="Normal 4 2 4 5 2 4 3" xfId="4454"/>
    <cellStyle name="Normal 4 2 4 5 2 5" xfId="4455"/>
    <cellStyle name="Normal 4 2 4 5 2 6" xfId="4456"/>
    <cellStyle name="Normal 4 2 4 5 2 7" xfId="4457"/>
    <cellStyle name="Normal 4 2 4 5 3" xfId="4458"/>
    <cellStyle name="Normal 4 2 4 5 3 2" xfId="4459"/>
    <cellStyle name="Normal 4 2 4 5 3 2 2" xfId="4460"/>
    <cellStyle name="Normal 4 2 4 5 3 2 3" xfId="4461"/>
    <cellStyle name="Normal 4 2 4 5 3 3" xfId="4462"/>
    <cellStyle name="Normal 4 2 4 5 3 4" xfId="4463"/>
    <cellStyle name="Normal 4 2 4 5 3 5" xfId="4464"/>
    <cellStyle name="Normal 4 2 4 5 4" xfId="4465"/>
    <cellStyle name="Normal 4 2 4 5 4 2" xfId="4466"/>
    <cellStyle name="Normal 4 2 4 5 4 2 2" xfId="4467"/>
    <cellStyle name="Normal 4 2 4 5 4 2 3" xfId="4468"/>
    <cellStyle name="Normal 4 2 4 5 4 3" xfId="4469"/>
    <cellStyle name="Normal 4 2 4 5 4 4" xfId="4470"/>
    <cellStyle name="Normal 4 2 4 5 4 5" xfId="4471"/>
    <cellStyle name="Normal 4 2 4 5 5" xfId="4472"/>
    <cellStyle name="Normal 4 2 4 5 5 2" xfId="4473"/>
    <cellStyle name="Normal 4 2 4 5 5 3" xfId="4474"/>
    <cellStyle name="Normal 4 2 4 5 6" xfId="4475"/>
    <cellStyle name="Normal 4 2 4 5 7" xfId="4476"/>
    <cellStyle name="Normal 4 2 4 5 8" xfId="4477"/>
    <cellStyle name="Normal 4 2 4 6" xfId="4478"/>
    <cellStyle name="Normal 4 2 4 6 2" xfId="4479"/>
    <cellStyle name="Normal 4 2 4 6 2 2" xfId="4480"/>
    <cellStyle name="Normal 4 2 4 6 2 2 2" xfId="4481"/>
    <cellStyle name="Normal 4 2 4 6 2 2 3" xfId="4482"/>
    <cellStyle name="Normal 4 2 4 6 2 3" xfId="4483"/>
    <cellStyle name="Normal 4 2 4 6 2 4" xfId="4484"/>
    <cellStyle name="Normal 4 2 4 6 2 5" xfId="4485"/>
    <cellStyle name="Normal 4 2 4 6 3" xfId="4486"/>
    <cellStyle name="Normal 4 2 4 6 3 2" xfId="4487"/>
    <cellStyle name="Normal 4 2 4 6 3 2 2" xfId="4488"/>
    <cellStyle name="Normal 4 2 4 6 3 2 3" xfId="4489"/>
    <cellStyle name="Normal 4 2 4 6 3 3" xfId="4490"/>
    <cellStyle name="Normal 4 2 4 6 3 4" xfId="4491"/>
    <cellStyle name="Normal 4 2 4 6 3 5" xfId="4492"/>
    <cellStyle name="Normal 4 2 4 6 4" xfId="4493"/>
    <cellStyle name="Normal 4 2 4 6 4 2" xfId="4494"/>
    <cellStyle name="Normal 4 2 4 6 4 3" xfId="4495"/>
    <cellStyle name="Normal 4 2 4 6 5" xfId="4496"/>
    <cellStyle name="Normal 4 2 4 6 6" xfId="4497"/>
    <cellStyle name="Normal 4 2 4 6 7" xfId="4498"/>
    <cellStyle name="Normal 4 2 4 7" xfId="4499"/>
    <cellStyle name="Normal 4 2 4 7 2" xfId="4500"/>
    <cellStyle name="Normal 4 2 4 7 2 2" xfId="4501"/>
    <cellStyle name="Normal 4 2 4 7 2 3" xfId="4502"/>
    <cellStyle name="Normal 4 2 4 7 3" xfId="4503"/>
    <cellStyle name="Normal 4 2 4 7 4" xfId="4504"/>
    <cellStyle name="Normal 4 2 4 7 5" xfId="4505"/>
    <cellStyle name="Normal 4 2 4 8" xfId="4506"/>
    <cellStyle name="Normal 4 2 4 8 2" xfId="4507"/>
    <cellStyle name="Normal 4 2 4 8 2 2" xfId="4508"/>
    <cellStyle name="Normal 4 2 4 8 2 3" xfId="4509"/>
    <cellStyle name="Normal 4 2 4 8 3" xfId="4510"/>
    <cellStyle name="Normal 4 2 4 8 4" xfId="4511"/>
    <cellStyle name="Normal 4 2 4 8 5" xfId="4512"/>
    <cellStyle name="Normal 4 2 4 9" xfId="4513"/>
    <cellStyle name="Normal 4 2 4 9 2" xfId="4514"/>
    <cellStyle name="Normal 4 2 4 9 3" xfId="4515"/>
    <cellStyle name="Normal 4 2 5" xfId="4516"/>
    <cellStyle name="Normal 4 2 5 2" xfId="4517"/>
    <cellStyle name="Normal 4 2 5 2 2" xfId="4518"/>
    <cellStyle name="Normal 4 2 5 2 2 2" xfId="4519"/>
    <cellStyle name="Normal 4 2 5 2 2 2 2" xfId="4520"/>
    <cellStyle name="Normal 4 2 5 2 2 2 2 2" xfId="4521"/>
    <cellStyle name="Normal 4 2 5 2 2 2 2 3" xfId="4522"/>
    <cellStyle name="Normal 4 2 5 2 2 2 3" xfId="4523"/>
    <cellStyle name="Normal 4 2 5 2 2 2 4" xfId="4524"/>
    <cellStyle name="Normal 4 2 5 2 2 2 5" xfId="4525"/>
    <cellStyle name="Normal 4 2 5 2 2 3" xfId="4526"/>
    <cellStyle name="Normal 4 2 5 2 2 3 2" xfId="4527"/>
    <cellStyle name="Normal 4 2 5 2 2 3 2 2" xfId="4528"/>
    <cellStyle name="Normal 4 2 5 2 2 3 2 3" xfId="4529"/>
    <cellStyle name="Normal 4 2 5 2 2 3 3" xfId="4530"/>
    <cellStyle name="Normal 4 2 5 2 2 3 4" xfId="4531"/>
    <cellStyle name="Normal 4 2 5 2 2 3 5" xfId="4532"/>
    <cellStyle name="Normal 4 2 5 2 2 4" xfId="4533"/>
    <cellStyle name="Normal 4 2 5 2 2 4 2" xfId="4534"/>
    <cellStyle name="Normal 4 2 5 2 2 4 3" xfId="4535"/>
    <cellStyle name="Normal 4 2 5 2 2 5" xfId="4536"/>
    <cellStyle name="Normal 4 2 5 2 2 6" xfId="4537"/>
    <cellStyle name="Normal 4 2 5 2 2 7" xfId="4538"/>
    <cellStyle name="Normal 4 2 5 2 3" xfId="4539"/>
    <cellStyle name="Normal 4 2 5 2 3 2" xfId="4540"/>
    <cellStyle name="Normal 4 2 5 2 3 2 2" xfId="4541"/>
    <cellStyle name="Normal 4 2 5 2 3 2 3" xfId="4542"/>
    <cellStyle name="Normal 4 2 5 2 3 3" xfId="4543"/>
    <cellStyle name="Normal 4 2 5 2 3 4" xfId="4544"/>
    <cellStyle name="Normal 4 2 5 2 3 5" xfId="4545"/>
    <cellStyle name="Normal 4 2 5 2 4" xfId="4546"/>
    <cellStyle name="Normal 4 2 5 2 4 2" xfId="4547"/>
    <cellStyle name="Normal 4 2 5 2 4 2 2" xfId="4548"/>
    <cellStyle name="Normal 4 2 5 2 4 2 3" xfId="4549"/>
    <cellStyle name="Normal 4 2 5 2 4 3" xfId="4550"/>
    <cellStyle name="Normal 4 2 5 2 4 4" xfId="4551"/>
    <cellStyle name="Normal 4 2 5 2 4 5" xfId="4552"/>
    <cellStyle name="Normal 4 2 5 2 5" xfId="4553"/>
    <cellStyle name="Normal 4 2 5 2 5 2" xfId="4554"/>
    <cellStyle name="Normal 4 2 5 2 5 3" xfId="4555"/>
    <cellStyle name="Normal 4 2 5 2 6" xfId="4556"/>
    <cellStyle name="Normal 4 2 5 2 7" xfId="4557"/>
    <cellStyle name="Normal 4 2 5 2 8" xfId="4558"/>
    <cellStyle name="Normal 4 2 5 3" xfId="4559"/>
    <cellStyle name="Normal 4 2 5 3 2" xfId="4560"/>
    <cellStyle name="Normal 4 2 5 3 2 2" xfId="4561"/>
    <cellStyle name="Normal 4 2 5 3 2 2 2" xfId="4562"/>
    <cellStyle name="Normal 4 2 5 3 2 2 3" xfId="4563"/>
    <cellStyle name="Normal 4 2 5 3 2 3" xfId="4564"/>
    <cellStyle name="Normal 4 2 5 3 2 4" xfId="4565"/>
    <cellStyle name="Normal 4 2 5 3 2 5" xfId="4566"/>
    <cellStyle name="Normal 4 2 5 3 3" xfId="4567"/>
    <cellStyle name="Normal 4 2 5 3 3 2" xfId="4568"/>
    <cellStyle name="Normal 4 2 5 3 3 2 2" xfId="4569"/>
    <cellStyle name="Normal 4 2 5 3 3 2 3" xfId="4570"/>
    <cellStyle name="Normal 4 2 5 3 3 3" xfId="4571"/>
    <cellStyle name="Normal 4 2 5 3 3 4" xfId="4572"/>
    <cellStyle name="Normal 4 2 5 3 3 5" xfId="4573"/>
    <cellStyle name="Normal 4 2 5 3 4" xfId="4574"/>
    <cellStyle name="Normal 4 2 5 3 4 2" xfId="4575"/>
    <cellStyle name="Normal 4 2 5 3 4 3" xfId="4576"/>
    <cellStyle name="Normal 4 2 5 3 5" xfId="4577"/>
    <cellStyle name="Normal 4 2 5 3 6" xfId="4578"/>
    <cellStyle name="Normal 4 2 5 3 7" xfId="4579"/>
    <cellStyle name="Normal 4 2 5 4" xfId="4580"/>
    <cellStyle name="Normal 4 2 5 4 2" xfId="4581"/>
    <cellStyle name="Normal 4 2 5 4 2 2" xfId="4582"/>
    <cellStyle name="Normal 4 2 5 4 2 3" xfId="4583"/>
    <cellStyle name="Normal 4 2 5 4 3" xfId="4584"/>
    <cellStyle name="Normal 4 2 5 4 4" xfId="4585"/>
    <cellStyle name="Normal 4 2 5 4 5" xfId="4586"/>
    <cellStyle name="Normal 4 2 5 5" xfId="4587"/>
    <cellStyle name="Normal 4 2 5 5 2" xfId="4588"/>
    <cellStyle name="Normal 4 2 5 5 2 2" xfId="4589"/>
    <cellStyle name="Normal 4 2 5 5 2 3" xfId="4590"/>
    <cellStyle name="Normal 4 2 5 5 3" xfId="4591"/>
    <cellStyle name="Normal 4 2 5 5 4" xfId="4592"/>
    <cellStyle name="Normal 4 2 5 5 5" xfId="4593"/>
    <cellStyle name="Normal 4 2 5 6" xfId="4594"/>
    <cellStyle name="Normal 4 2 5 6 2" xfId="4595"/>
    <cellStyle name="Normal 4 2 5 6 3" xfId="4596"/>
    <cellStyle name="Normal 4 2 5 7" xfId="4597"/>
    <cellStyle name="Normal 4 2 5 8" xfId="4598"/>
    <cellStyle name="Normal 4 2 5 9" xfId="4599"/>
    <cellStyle name="Normal 4 2 6" xfId="4600"/>
    <cellStyle name="Normal 4 2 6 2" xfId="4601"/>
    <cellStyle name="Normal 4 2 6 2 2" xfId="4602"/>
    <cellStyle name="Normal 4 2 6 2 2 2" xfId="4603"/>
    <cellStyle name="Normal 4 2 6 2 2 2 2" xfId="4604"/>
    <cellStyle name="Normal 4 2 6 2 2 2 2 2" xfId="4605"/>
    <cellStyle name="Normal 4 2 6 2 2 2 2 3" xfId="4606"/>
    <cellStyle name="Normal 4 2 6 2 2 2 3" xfId="4607"/>
    <cellStyle name="Normal 4 2 6 2 2 2 4" xfId="4608"/>
    <cellStyle name="Normal 4 2 6 2 2 2 5" xfId="4609"/>
    <cellStyle name="Normal 4 2 6 2 2 3" xfId="4610"/>
    <cellStyle name="Normal 4 2 6 2 2 3 2" xfId="4611"/>
    <cellStyle name="Normal 4 2 6 2 2 3 2 2" xfId="4612"/>
    <cellStyle name="Normal 4 2 6 2 2 3 2 3" xfId="4613"/>
    <cellStyle name="Normal 4 2 6 2 2 3 3" xfId="4614"/>
    <cellStyle name="Normal 4 2 6 2 2 3 4" xfId="4615"/>
    <cellStyle name="Normal 4 2 6 2 2 3 5" xfId="4616"/>
    <cellStyle name="Normal 4 2 6 2 2 4" xfId="4617"/>
    <cellStyle name="Normal 4 2 6 2 2 4 2" xfId="4618"/>
    <cellStyle name="Normal 4 2 6 2 2 4 3" xfId="4619"/>
    <cellStyle name="Normal 4 2 6 2 2 5" xfId="4620"/>
    <cellStyle name="Normal 4 2 6 2 2 6" xfId="4621"/>
    <cellStyle name="Normal 4 2 6 2 2 7" xfId="4622"/>
    <cellStyle name="Normal 4 2 6 2 3" xfId="4623"/>
    <cellStyle name="Normal 4 2 6 2 3 2" xfId="4624"/>
    <cellStyle name="Normal 4 2 6 2 3 2 2" xfId="4625"/>
    <cellStyle name="Normal 4 2 6 2 3 2 3" xfId="4626"/>
    <cellStyle name="Normal 4 2 6 2 3 3" xfId="4627"/>
    <cellStyle name="Normal 4 2 6 2 3 4" xfId="4628"/>
    <cellStyle name="Normal 4 2 6 2 3 5" xfId="4629"/>
    <cellStyle name="Normal 4 2 6 2 4" xfId="4630"/>
    <cellStyle name="Normal 4 2 6 2 4 2" xfId="4631"/>
    <cellStyle name="Normal 4 2 6 2 4 2 2" xfId="4632"/>
    <cellStyle name="Normal 4 2 6 2 4 2 3" xfId="4633"/>
    <cellStyle name="Normal 4 2 6 2 4 3" xfId="4634"/>
    <cellStyle name="Normal 4 2 6 2 4 4" xfId="4635"/>
    <cellStyle name="Normal 4 2 6 2 4 5" xfId="4636"/>
    <cellStyle name="Normal 4 2 6 2 5" xfId="4637"/>
    <cellStyle name="Normal 4 2 6 2 5 2" xfId="4638"/>
    <cellStyle name="Normal 4 2 6 2 5 3" xfId="4639"/>
    <cellStyle name="Normal 4 2 6 2 6" xfId="4640"/>
    <cellStyle name="Normal 4 2 6 2 7" xfId="4641"/>
    <cellStyle name="Normal 4 2 6 2 8" xfId="4642"/>
    <cellStyle name="Normal 4 2 6 3" xfId="4643"/>
    <cellStyle name="Normal 4 2 6 3 2" xfId="4644"/>
    <cellStyle name="Normal 4 2 6 3 2 2" xfId="4645"/>
    <cellStyle name="Normal 4 2 6 3 2 2 2" xfId="4646"/>
    <cellStyle name="Normal 4 2 6 3 2 2 3" xfId="4647"/>
    <cellStyle name="Normal 4 2 6 3 2 3" xfId="4648"/>
    <cellStyle name="Normal 4 2 6 3 2 4" xfId="4649"/>
    <cellStyle name="Normal 4 2 6 3 2 5" xfId="4650"/>
    <cellStyle name="Normal 4 2 6 3 3" xfId="4651"/>
    <cellStyle name="Normal 4 2 6 3 3 2" xfId="4652"/>
    <cellStyle name="Normal 4 2 6 3 3 2 2" xfId="4653"/>
    <cellStyle name="Normal 4 2 6 3 3 2 3" xfId="4654"/>
    <cellStyle name="Normal 4 2 6 3 3 3" xfId="4655"/>
    <cellStyle name="Normal 4 2 6 3 3 4" xfId="4656"/>
    <cellStyle name="Normal 4 2 6 3 3 5" xfId="4657"/>
    <cellStyle name="Normal 4 2 6 3 4" xfId="4658"/>
    <cellStyle name="Normal 4 2 6 3 4 2" xfId="4659"/>
    <cellStyle name="Normal 4 2 6 3 4 3" xfId="4660"/>
    <cellStyle name="Normal 4 2 6 3 5" xfId="4661"/>
    <cellStyle name="Normal 4 2 6 3 6" xfId="4662"/>
    <cellStyle name="Normal 4 2 6 3 7" xfId="4663"/>
    <cellStyle name="Normal 4 2 6 4" xfId="4664"/>
    <cellStyle name="Normal 4 2 6 4 2" xfId="4665"/>
    <cellStyle name="Normal 4 2 6 4 2 2" xfId="4666"/>
    <cellStyle name="Normal 4 2 6 4 2 3" xfId="4667"/>
    <cellStyle name="Normal 4 2 6 4 3" xfId="4668"/>
    <cellStyle name="Normal 4 2 6 4 4" xfId="4669"/>
    <cellStyle name="Normal 4 2 6 4 5" xfId="4670"/>
    <cellStyle name="Normal 4 2 6 5" xfId="4671"/>
    <cellStyle name="Normal 4 2 6 5 2" xfId="4672"/>
    <cellStyle name="Normal 4 2 6 5 2 2" xfId="4673"/>
    <cellStyle name="Normal 4 2 6 5 2 3" xfId="4674"/>
    <cellStyle name="Normal 4 2 6 5 3" xfId="4675"/>
    <cellStyle name="Normal 4 2 6 5 4" xfId="4676"/>
    <cellStyle name="Normal 4 2 6 5 5" xfId="4677"/>
    <cellStyle name="Normal 4 2 6 6" xfId="4678"/>
    <cellStyle name="Normal 4 2 6 6 2" xfId="4679"/>
    <cellStyle name="Normal 4 2 6 6 3" xfId="4680"/>
    <cellStyle name="Normal 4 2 6 7" xfId="4681"/>
    <cellStyle name="Normal 4 2 6 8" xfId="4682"/>
    <cellStyle name="Normal 4 2 6 9" xfId="4683"/>
    <cellStyle name="Normal 4 2 7" xfId="4684"/>
    <cellStyle name="Normal 4 2 7 2" xfId="4685"/>
    <cellStyle name="Normal 4 2 7 2 2" xfId="4686"/>
    <cellStyle name="Normal 4 2 7 2 2 2" xfId="4687"/>
    <cellStyle name="Normal 4 2 7 2 2 2 2" xfId="4688"/>
    <cellStyle name="Normal 4 2 7 2 2 2 2 2" xfId="4689"/>
    <cellStyle name="Normal 4 2 7 2 2 2 2 3" xfId="4690"/>
    <cellStyle name="Normal 4 2 7 2 2 2 3" xfId="4691"/>
    <cellStyle name="Normal 4 2 7 2 2 2 4" xfId="4692"/>
    <cellStyle name="Normal 4 2 7 2 2 2 5" xfId="4693"/>
    <cellStyle name="Normal 4 2 7 2 2 3" xfId="4694"/>
    <cellStyle name="Normal 4 2 7 2 2 3 2" xfId="4695"/>
    <cellStyle name="Normal 4 2 7 2 2 3 2 2" xfId="4696"/>
    <cellStyle name="Normal 4 2 7 2 2 3 2 3" xfId="4697"/>
    <cellStyle name="Normal 4 2 7 2 2 3 3" xfId="4698"/>
    <cellStyle name="Normal 4 2 7 2 2 3 4" xfId="4699"/>
    <cellStyle name="Normal 4 2 7 2 2 3 5" xfId="4700"/>
    <cellStyle name="Normal 4 2 7 2 2 4" xfId="4701"/>
    <cellStyle name="Normal 4 2 7 2 2 4 2" xfId="4702"/>
    <cellStyle name="Normal 4 2 7 2 2 4 3" xfId="4703"/>
    <cellStyle name="Normal 4 2 7 2 2 5" xfId="4704"/>
    <cellStyle name="Normal 4 2 7 2 2 6" xfId="4705"/>
    <cellStyle name="Normal 4 2 7 2 2 7" xfId="4706"/>
    <cellStyle name="Normal 4 2 7 2 3" xfId="4707"/>
    <cellStyle name="Normal 4 2 7 2 3 2" xfId="4708"/>
    <cellStyle name="Normal 4 2 7 2 3 2 2" xfId="4709"/>
    <cellStyle name="Normal 4 2 7 2 3 2 3" xfId="4710"/>
    <cellStyle name="Normal 4 2 7 2 3 3" xfId="4711"/>
    <cellStyle name="Normal 4 2 7 2 3 4" xfId="4712"/>
    <cellStyle name="Normal 4 2 7 2 3 5" xfId="4713"/>
    <cellStyle name="Normal 4 2 7 2 4" xfId="4714"/>
    <cellStyle name="Normal 4 2 7 2 4 2" xfId="4715"/>
    <cellStyle name="Normal 4 2 7 2 4 2 2" xfId="4716"/>
    <cellStyle name="Normal 4 2 7 2 4 2 3" xfId="4717"/>
    <cellStyle name="Normal 4 2 7 2 4 3" xfId="4718"/>
    <cellStyle name="Normal 4 2 7 2 4 4" xfId="4719"/>
    <cellStyle name="Normal 4 2 7 2 4 5" xfId="4720"/>
    <cellStyle name="Normal 4 2 7 2 5" xfId="4721"/>
    <cellStyle name="Normal 4 2 7 2 5 2" xfId="4722"/>
    <cellStyle name="Normal 4 2 7 2 5 3" xfId="4723"/>
    <cellStyle name="Normal 4 2 7 2 6" xfId="4724"/>
    <cellStyle name="Normal 4 2 7 2 7" xfId="4725"/>
    <cellStyle name="Normal 4 2 7 2 8" xfId="4726"/>
    <cellStyle name="Normal 4 2 7 3" xfId="4727"/>
    <cellStyle name="Normal 4 2 7 3 2" xfId="4728"/>
    <cellStyle name="Normal 4 2 7 3 2 2" xfId="4729"/>
    <cellStyle name="Normal 4 2 7 3 2 2 2" xfId="4730"/>
    <cellStyle name="Normal 4 2 7 3 2 2 3" xfId="4731"/>
    <cellStyle name="Normal 4 2 7 3 2 3" xfId="4732"/>
    <cellStyle name="Normal 4 2 7 3 2 4" xfId="4733"/>
    <cellStyle name="Normal 4 2 7 3 2 5" xfId="4734"/>
    <cellStyle name="Normal 4 2 7 3 3" xfId="4735"/>
    <cellStyle name="Normal 4 2 7 3 3 2" xfId="4736"/>
    <cellStyle name="Normal 4 2 7 3 3 2 2" xfId="4737"/>
    <cellStyle name="Normal 4 2 7 3 3 2 3" xfId="4738"/>
    <cellStyle name="Normal 4 2 7 3 3 3" xfId="4739"/>
    <cellStyle name="Normal 4 2 7 3 3 4" xfId="4740"/>
    <cellStyle name="Normal 4 2 7 3 3 5" xfId="4741"/>
    <cellStyle name="Normal 4 2 7 3 4" xfId="4742"/>
    <cellStyle name="Normal 4 2 7 3 4 2" xfId="4743"/>
    <cellStyle name="Normal 4 2 7 3 4 3" xfId="4744"/>
    <cellStyle name="Normal 4 2 7 3 5" xfId="4745"/>
    <cellStyle name="Normal 4 2 7 3 6" xfId="4746"/>
    <cellStyle name="Normal 4 2 7 3 7" xfId="4747"/>
    <cellStyle name="Normal 4 2 7 4" xfId="4748"/>
    <cellStyle name="Normal 4 2 7 4 2" xfId="4749"/>
    <cellStyle name="Normal 4 2 7 4 2 2" xfId="4750"/>
    <cellStyle name="Normal 4 2 7 4 2 3" xfId="4751"/>
    <cellStyle name="Normal 4 2 7 4 3" xfId="4752"/>
    <cellStyle name="Normal 4 2 7 4 4" xfId="4753"/>
    <cellStyle name="Normal 4 2 7 4 5" xfId="4754"/>
    <cellStyle name="Normal 4 2 7 5" xfId="4755"/>
    <cellStyle name="Normal 4 2 7 5 2" xfId="4756"/>
    <cellStyle name="Normal 4 2 7 5 2 2" xfId="4757"/>
    <cellStyle name="Normal 4 2 7 5 2 3" xfId="4758"/>
    <cellStyle name="Normal 4 2 7 5 3" xfId="4759"/>
    <cellStyle name="Normal 4 2 7 5 4" xfId="4760"/>
    <cellStyle name="Normal 4 2 7 5 5" xfId="4761"/>
    <cellStyle name="Normal 4 2 7 6" xfId="4762"/>
    <cellStyle name="Normal 4 2 7 6 2" xfId="4763"/>
    <cellStyle name="Normal 4 2 7 6 3" xfId="4764"/>
    <cellStyle name="Normal 4 2 7 7" xfId="4765"/>
    <cellStyle name="Normal 4 2 7 8" xfId="4766"/>
    <cellStyle name="Normal 4 2 7 9" xfId="4767"/>
    <cellStyle name="Normal 4 2 8" xfId="4768"/>
    <cellStyle name="Normal 4 2 8 2" xfId="4769"/>
    <cellStyle name="Normal 4 2 8 2 2" xfId="4770"/>
    <cellStyle name="Normal 4 2 8 2 2 2" xfId="4771"/>
    <cellStyle name="Normal 4 2 8 2 2 2 2" xfId="4772"/>
    <cellStyle name="Normal 4 2 8 2 2 2 3" xfId="4773"/>
    <cellStyle name="Normal 4 2 8 2 2 3" xfId="4774"/>
    <cellStyle name="Normal 4 2 8 2 2 4" xfId="4775"/>
    <cellStyle name="Normal 4 2 8 2 2 5" xfId="4776"/>
    <cellStyle name="Normal 4 2 8 2 3" xfId="4777"/>
    <cellStyle name="Normal 4 2 8 2 3 2" xfId="4778"/>
    <cellStyle name="Normal 4 2 8 2 3 2 2" xfId="4779"/>
    <cellStyle name="Normal 4 2 8 2 3 2 3" xfId="4780"/>
    <cellStyle name="Normal 4 2 8 2 3 3" xfId="4781"/>
    <cellStyle name="Normal 4 2 8 2 3 4" xfId="4782"/>
    <cellStyle name="Normal 4 2 8 2 3 5" xfId="4783"/>
    <cellStyle name="Normal 4 2 8 2 4" xfId="4784"/>
    <cellStyle name="Normal 4 2 8 2 4 2" xfId="4785"/>
    <cellStyle name="Normal 4 2 8 2 4 3" xfId="4786"/>
    <cellStyle name="Normal 4 2 8 2 5" xfId="4787"/>
    <cellStyle name="Normal 4 2 8 2 6" xfId="4788"/>
    <cellStyle name="Normal 4 2 8 2 7" xfId="4789"/>
    <cellStyle name="Normal 4 2 8 3" xfId="4790"/>
    <cellStyle name="Normal 4 2 8 3 2" xfId="4791"/>
    <cellStyle name="Normal 4 2 8 3 2 2" xfId="4792"/>
    <cellStyle name="Normal 4 2 8 3 2 3" xfId="4793"/>
    <cellStyle name="Normal 4 2 8 3 3" xfId="4794"/>
    <cellStyle name="Normal 4 2 8 3 4" xfId="4795"/>
    <cellStyle name="Normal 4 2 8 3 5" xfId="4796"/>
    <cellStyle name="Normal 4 2 8 4" xfId="4797"/>
    <cellStyle name="Normal 4 2 8 4 2" xfId="4798"/>
    <cellStyle name="Normal 4 2 8 4 2 2" xfId="4799"/>
    <cellStyle name="Normal 4 2 8 4 2 3" xfId="4800"/>
    <cellStyle name="Normal 4 2 8 4 3" xfId="4801"/>
    <cellStyle name="Normal 4 2 8 4 4" xfId="4802"/>
    <cellStyle name="Normal 4 2 8 4 5" xfId="4803"/>
    <cellStyle name="Normal 4 2 8 5" xfId="4804"/>
    <cellStyle name="Normal 4 2 8 5 2" xfId="4805"/>
    <cellStyle name="Normal 4 2 8 5 3" xfId="4806"/>
    <cellStyle name="Normal 4 2 8 6" xfId="4807"/>
    <cellStyle name="Normal 4 2 8 7" xfId="4808"/>
    <cellStyle name="Normal 4 2 8 8" xfId="4809"/>
    <cellStyle name="Normal 4 2 9" xfId="4810"/>
    <cellStyle name="Normal 4 2 9 2" xfId="4811"/>
    <cellStyle name="Normal 4 2 9 2 2" xfId="4812"/>
    <cellStyle name="Normal 4 2 9 2 2 2" xfId="4813"/>
    <cellStyle name="Normal 4 2 9 2 2 3" xfId="4814"/>
    <cellStyle name="Normal 4 2 9 2 3" xfId="4815"/>
    <cellStyle name="Normal 4 2 9 2 4" xfId="4816"/>
    <cellStyle name="Normal 4 2 9 2 5" xfId="4817"/>
    <cellStyle name="Normal 4 2 9 3" xfId="4818"/>
    <cellStyle name="Normal 4 2 9 3 2" xfId="4819"/>
    <cellStyle name="Normal 4 2 9 3 2 2" xfId="4820"/>
    <cellStyle name="Normal 4 2 9 3 2 3" xfId="4821"/>
    <cellStyle name="Normal 4 2 9 3 3" xfId="4822"/>
    <cellStyle name="Normal 4 2 9 3 4" xfId="4823"/>
    <cellStyle name="Normal 4 2 9 3 5" xfId="4824"/>
    <cellStyle name="Normal 4 2 9 4" xfId="4825"/>
    <cellStyle name="Normal 4 2 9 4 2" xfId="4826"/>
    <cellStyle name="Normal 4 2 9 4 3" xfId="4827"/>
    <cellStyle name="Normal 4 2 9 5" xfId="4828"/>
    <cellStyle name="Normal 4 2 9 6" xfId="4829"/>
    <cellStyle name="Normal 4 2 9 7" xfId="4830"/>
    <cellStyle name="Normal 4 3 10" xfId="4831"/>
    <cellStyle name="Normal 4 3 10 2" xfId="4832"/>
    <cellStyle name="Normal 4 3 10 2 2" xfId="4833"/>
    <cellStyle name="Normal 4 3 10 2 2 2" xfId="4834"/>
    <cellStyle name="Normal 4 3 10 2 2 3" xfId="4835"/>
    <cellStyle name="Normal 4 3 10 2 3" xfId="4836"/>
    <cellStyle name="Normal 4 3 10 2 4" xfId="4837"/>
    <cellStyle name="Normal 4 3 10 2 5" xfId="4838"/>
    <cellStyle name="Normal 4 3 10 3" xfId="4839"/>
    <cellStyle name="Normal 4 3 10 3 2" xfId="4840"/>
    <cellStyle name="Normal 4 3 10 3 2 2" xfId="4841"/>
    <cellStyle name="Normal 4 3 10 3 2 3" xfId="4842"/>
    <cellStyle name="Normal 4 3 10 3 3" xfId="4843"/>
    <cellStyle name="Normal 4 3 10 3 4" xfId="4844"/>
    <cellStyle name="Normal 4 3 10 3 5" xfId="4845"/>
    <cellStyle name="Normal 4 3 10 4" xfId="4846"/>
    <cellStyle name="Normal 4 3 10 4 2" xfId="4847"/>
    <cellStyle name="Normal 4 3 10 4 3" xfId="4848"/>
    <cellStyle name="Normal 4 3 10 5" xfId="4849"/>
    <cellStyle name="Normal 4 3 10 6" xfId="4850"/>
    <cellStyle name="Normal 4 3 10 7" xfId="4851"/>
    <cellStyle name="Normal 4 3 11" xfId="4852"/>
    <cellStyle name="Normal 4 3 11 2" xfId="4853"/>
    <cellStyle name="Normal 4 3 11 2 2" xfId="4854"/>
    <cellStyle name="Normal 4 3 11 2 3" xfId="4855"/>
    <cellStyle name="Normal 4 3 11 3" xfId="4856"/>
    <cellStyle name="Normal 4 3 11 4" xfId="4857"/>
    <cellStyle name="Normal 4 3 11 5" xfId="4858"/>
    <cellStyle name="Normal 4 3 12" xfId="4859"/>
    <cellStyle name="Normal 4 3 12 2" xfId="4860"/>
    <cellStyle name="Normal 4 3 12 2 2" xfId="4861"/>
    <cellStyle name="Normal 4 3 12 2 3" xfId="4862"/>
    <cellStyle name="Normal 4 3 12 3" xfId="4863"/>
    <cellStyle name="Normal 4 3 12 4" xfId="4864"/>
    <cellStyle name="Normal 4 3 12 5" xfId="4865"/>
    <cellStyle name="Normal 4 3 13" xfId="4866"/>
    <cellStyle name="Normal 4 3 13 2" xfId="4867"/>
    <cellStyle name="Normal 4 3 13 3" xfId="4868"/>
    <cellStyle name="Normal 4 3 14" xfId="4869"/>
    <cellStyle name="Normal 4 3 15" xfId="4870"/>
    <cellStyle name="Normal 4 3 16" xfId="4871"/>
    <cellStyle name="Normal 4 3 2 10" xfId="4872"/>
    <cellStyle name="Normal 4 3 2 10 2" xfId="4873"/>
    <cellStyle name="Normal 4 3 2 10 2 2" xfId="4874"/>
    <cellStyle name="Normal 4 3 2 10 2 3" xfId="4875"/>
    <cellStyle name="Normal 4 3 2 10 3" xfId="4876"/>
    <cellStyle name="Normal 4 3 2 10 4" xfId="4877"/>
    <cellStyle name="Normal 4 3 2 10 5" xfId="4878"/>
    <cellStyle name="Normal 4 3 2 11" xfId="4879"/>
    <cellStyle name="Normal 4 3 2 11 2" xfId="4880"/>
    <cellStyle name="Normal 4 3 2 11 3" xfId="4881"/>
    <cellStyle name="Normal 4 3 2 12" xfId="4882"/>
    <cellStyle name="Normal 4 3 2 13" xfId="4883"/>
    <cellStyle name="Normal 4 3 2 14" xfId="4884"/>
    <cellStyle name="Normal 4 3 2 2" xfId="4885"/>
    <cellStyle name="Normal 4 3 2 2 10" xfId="4886"/>
    <cellStyle name="Normal 4 3 2 2 10 2" xfId="4887"/>
    <cellStyle name="Normal 4 3 2 2 10 3" xfId="4888"/>
    <cellStyle name="Normal 4 3 2 2 11" xfId="4889"/>
    <cellStyle name="Normal 4 3 2 2 12" xfId="4890"/>
    <cellStyle name="Normal 4 3 2 2 13" xfId="4891"/>
    <cellStyle name="Normal 4 3 2 2 2" xfId="4892"/>
    <cellStyle name="Normal 4 3 2 2 2 2" xfId="4893"/>
    <cellStyle name="Normal 4 3 2 2 2 2 2" xfId="4894"/>
    <cellStyle name="Normal 4 3 2 2 2 2 2 2" xfId="4895"/>
    <cellStyle name="Normal 4 3 2 2 2 2 2 2 2" xfId="4896"/>
    <cellStyle name="Normal 4 3 2 2 2 2 2 2 2 2" xfId="4897"/>
    <cellStyle name="Normal 4 3 2 2 2 2 2 2 2 3" xfId="4898"/>
    <cellStyle name="Normal 4 3 2 2 2 2 2 2 3" xfId="4899"/>
    <cellStyle name="Normal 4 3 2 2 2 2 2 2 4" xfId="4900"/>
    <cellStyle name="Normal 4 3 2 2 2 2 2 2 5" xfId="4901"/>
    <cellStyle name="Normal 4 3 2 2 2 2 2 3" xfId="4902"/>
    <cellStyle name="Normal 4 3 2 2 2 2 2 3 2" xfId="4903"/>
    <cellStyle name="Normal 4 3 2 2 2 2 2 3 2 2" xfId="4904"/>
    <cellStyle name="Normal 4 3 2 2 2 2 2 3 2 3" xfId="4905"/>
    <cellStyle name="Normal 4 3 2 2 2 2 2 3 3" xfId="4906"/>
    <cellStyle name="Normal 4 3 2 2 2 2 2 3 4" xfId="4907"/>
    <cellStyle name="Normal 4 3 2 2 2 2 2 3 5" xfId="4908"/>
    <cellStyle name="Normal 4 3 2 2 2 2 2 4" xfId="4909"/>
    <cellStyle name="Normal 4 3 2 2 2 2 2 4 2" xfId="4910"/>
    <cellStyle name="Normal 4 3 2 2 2 2 2 4 3" xfId="4911"/>
    <cellStyle name="Normal 4 3 2 2 2 2 2 5" xfId="4912"/>
    <cellStyle name="Normal 4 3 2 2 2 2 2 6" xfId="4913"/>
    <cellStyle name="Normal 4 3 2 2 2 2 2 7" xfId="4914"/>
    <cellStyle name="Normal 4 3 2 2 2 2 3" xfId="4915"/>
    <cellStyle name="Normal 4 3 2 2 2 2 3 2" xfId="4916"/>
    <cellStyle name="Normal 4 3 2 2 2 2 3 2 2" xfId="4917"/>
    <cellStyle name="Normal 4 3 2 2 2 2 3 2 3" xfId="4918"/>
    <cellStyle name="Normal 4 3 2 2 2 2 3 3" xfId="4919"/>
    <cellStyle name="Normal 4 3 2 2 2 2 3 4" xfId="4920"/>
    <cellStyle name="Normal 4 3 2 2 2 2 3 5" xfId="4921"/>
    <cellStyle name="Normal 4 3 2 2 2 2 4" xfId="4922"/>
    <cellStyle name="Normal 4 3 2 2 2 2 4 2" xfId="4923"/>
    <cellStyle name="Normal 4 3 2 2 2 2 4 2 2" xfId="4924"/>
    <cellStyle name="Normal 4 3 2 2 2 2 4 2 3" xfId="4925"/>
    <cellStyle name="Normal 4 3 2 2 2 2 4 3" xfId="4926"/>
    <cellStyle name="Normal 4 3 2 2 2 2 4 4" xfId="4927"/>
    <cellStyle name="Normal 4 3 2 2 2 2 4 5" xfId="4928"/>
    <cellStyle name="Normal 4 3 2 2 2 2 5" xfId="4929"/>
    <cellStyle name="Normal 4 3 2 2 2 2 5 2" xfId="4930"/>
    <cellStyle name="Normal 4 3 2 2 2 2 5 3" xfId="4931"/>
    <cellStyle name="Normal 4 3 2 2 2 2 6" xfId="4932"/>
    <cellStyle name="Normal 4 3 2 2 2 2 7" xfId="4933"/>
    <cellStyle name="Normal 4 3 2 2 2 2 8" xfId="4934"/>
    <cellStyle name="Normal 4 3 2 2 2 3" xfId="4935"/>
    <cellStyle name="Normal 4 3 2 2 2 3 2" xfId="4936"/>
    <cellStyle name="Normal 4 3 2 2 2 3 2 2" xfId="4937"/>
    <cellStyle name="Normal 4 3 2 2 2 3 2 2 2" xfId="4938"/>
    <cellStyle name="Normal 4 3 2 2 2 3 2 2 3" xfId="4939"/>
    <cellStyle name="Normal 4 3 2 2 2 3 2 3" xfId="4940"/>
    <cellStyle name="Normal 4 3 2 2 2 3 2 4" xfId="4941"/>
    <cellStyle name="Normal 4 3 2 2 2 3 2 5" xfId="4942"/>
    <cellStyle name="Normal 4 3 2 2 2 3 3" xfId="4943"/>
    <cellStyle name="Normal 4 3 2 2 2 3 3 2" xfId="4944"/>
    <cellStyle name="Normal 4 3 2 2 2 3 3 2 2" xfId="4945"/>
    <cellStyle name="Normal 4 3 2 2 2 3 3 2 3" xfId="4946"/>
    <cellStyle name="Normal 4 3 2 2 2 3 3 3" xfId="4947"/>
    <cellStyle name="Normal 4 3 2 2 2 3 3 4" xfId="4948"/>
    <cellStyle name="Normal 4 3 2 2 2 3 3 5" xfId="4949"/>
    <cellStyle name="Normal 4 3 2 2 2 3 4" xfId="4950"/>
    <cellStyle name="Normal 4 3 2 2 2 3 4 2" xfId="4951"/>
    <cellStyle name="Normal 4 3 2 2 2 3 4 3" xfId="4952"/>
    <cellStyle name="Normal 4 3 2 2 2 3 5" xfId="4953"/>
    <cellStyle name="Normal 4 3 2 2 2 3 6" xfId="4954"/>
    <cellStyle name="Normal 4 3 2 2 2 3 7" xfId="4955"/>
    <cellStyle name="Normal 4 3 2 2 2 4" xfId="4956"/>
    <cellStyle name="Normal 4 3 2 2 2 4 2" xfId="4957"/>
    <cellStyle name="Normal 4 3 2 2 2 4 2 2" xfId="4958"/>
    <cellStyle name="Normal 4 3 2 2 2 4 2 3" xfId="4959"/>
    <cellStyle name="Normal 4 3 2 2 2 4 3" xfId="4960"/>
    <cellStyle name="Normal 4 3 2 2 2 4 4" xfId="4961"/>
    <cellStyle name="Normal 4 3 2 2 2 4 5" xfId="4962"/>
    <cellStyle name="Normal 4 3 2 2 2 5" xfId="4963"/>
    <cellStyle name="Normal 4 3 2 2 2 5 2" xfId="4964"/>
    <cellStyle name="Normal 4 3 2 2 2 5 2 2" xfId="4965"/>
    <cellStyle name="Normal 4 3 2 2 2 5 2 3" xfId="4966"/>
    <cellStyle name="Normal 4 3 2 2 2 5 3" xfId="4967"/>
    <cellStyle name="Normal 4 3 2 2 2 5 4" xfId="4968"/>
    <cellStyle name="Normal 4 3 2 2 2 5 5" xfId="4969"/>
    <cellStyle name="Normal 4 3 2 2 2 6" xfId="4970"/>
    <cellStyle name="Normal 4 3 2 2 2 6 2" xfId="4971"/>
    <cellStyle name="Normal 4 3 2 2 2 6 3" xfId="4972"/>
    <cellStyle name="Normal 4 3 2 2 2 7" xfId="4973"/>
    <cellStyle name="Normal 4 3 2 2 2 8" xfId="4974"/>
    <cellStyle name="Normal 4 3 2 2 2 9" xfId="4975"/>
    <cellStyle name="Normal 4 3 2 2 3" xfId="4976"/>
    <cellStyle name="Normal 4 3 2 2 3 2" xfId="4977"/>
    <cellStyle name="Normal 4 3 2 2 3 2 2" xfId="4978"/>
    <cellStyle name="Normal 4 3 2 2 3 2 2 2" xfId="4979"/>
    <cellStyle name="Normal 4 3 2 2 3 2 2 2 2" xfId="4980"/>
    <cellStyle name="Normal 4 3 2 2 3 2 2 2 2 2" xfId="4981"/>
    <cellStyle name="Normal 4 3 2 2 3 2 2 2 2 3" xfId="4982"/>
    <cellStyle name="Normal 4 3 2 2 3 2 2 2 3" xfId="4983"/>
    <cellStyle name="Normal 4 3 2 2 3 2 2 2 4" xfId="4984"/>
    <cellStyle name="Normal 4 3 2 2 3 2 2 2 5" xfId="4985"/>
    <cellStyle name="Normal 4 3 2 2 3 2 2 3" xfId="4986"/>
    <cellStyle name="Normal 4 3 2 2 3 2 2 3 2" xfId="4987"/>
    <cellStyle name="Normal 4 3 2 2 3 2 2 3 2 2" xfId="4988"/>
    <cellStyle name="Normal 4 3 2 2 3 2 2 3 2 3" xfId="4989"/>
    <cellStyle name="Normal 4 3 2 2 3 2 2 3 3" xfId="4990"/>
    <cellStyle name="Normal 4 3 2 2 3 2 2 3 4" xfId="4991"/>
    <cellStyle name="Normal 4 3 2 2 3 2 2 3 5" xfId="4992"/>
    <cellStyle name="Normal 4 3 2 2 3 2 2 4" xfId="4993"/>
    <cellStyle name="Normal 4 3 2 2 3 2 2 4 2" xfId="4994"/>
    <cellStyle name="Normal 4 3 2 2 3 2 2 4 3" xfId="4995"/>
    <cellStyle name="Normal 4 3 2 2 3 2 2 5" xfId="4996"/>
    <cellStyle name="Normal 4 3 2 2 3 2 2 6" xfId="4997"/>
    <cellStyle name="Normal 4 3 2 2 3 2 2 7" xfId="4998"/>
    <cellStyle name="Normal 4 3 2 2 3 2 3" xfId="4999"/>
    <cellStyle name="Normal 4 3 2 2 3 2 3 2" xfId="5000"/>
    <cellStyle name="Normal 4 3 2 2 3 2 3 2 2" xfId="5001"/>
    <cellStyle name="Normal 4 3 2 2 3 2 3 2 3" xfId="5002"/>
    <cellStyle name="Normal 4 3 2 2 3 2 3 3" xfId="5003"/>
    <cellStyle name="Normal 4 3 2 2 3 2 3 4" xfId="5004"/>
    <cellStyle name="Normal 4 3 2 2 3 2 3 5" xfId="5005"/>
    <cellStyle name="Normal 4 3 2 2 3 2 4" xfId="5006"/>
    <cellStyle name="Normal 4 3 2 2 3 2 4 2" xfId="5007"/>
    <cellStyle name="Normal 4 3 2 2 3 2 4 2 2" xfId="5008"/>
    <cellStyle name="Normal 4 3 2 2 3 2 4 2 3" xfId="5009"/>
    <cellStyle name="Normal 4 3 2 2 3 2 4 3" xfId="5010"/>
    <cellStyle name="Normal 4 3 2 2 3 2 4 4" xfId="5011"/>
    <cellStyle name="Normal 4 3 2 2 3 2 4 5" xfId="5012"/>
    <cellStyle name="Normal 4 3 2 2 3 2 5" xfId="5013"/>
    <cellStyle name="Normal 4 3 2 2 3 2 5 2" xfId="5014"/>
    <cellStyle name="Normal 4 3 2 2 3 2 5 3" xfId="5015"/>
    <cellStyle name="Normal 4 3 2 2 3 2 6" xfId="5016"/>
    <cellStyle name="Normal 4 3 2 2 3 2 7" xfId="5017"/>
    <cellStyle name="Normal 4 3 2 2 3 2 8" xfId="5018"/>
    <cellStyle name="Normal 4 3 2 2 3 3" xfId="5019"/>
    <cellStyle name="Normal 4 3 2 2 3 3 2" xfId="5020"/>
    <cellStyle name="Normal 4 3 2 2 3 3 2 2" xfId="5021"/>
    <cellStyle name="Normal 4 3 2 2 3 3 2 2 2" xfId="5022"/>
    <cellStyle name="Normal 4 3 2 2 3 3 2 2 3" xfId="5023"/>
    <cellStyle name="Normal 4 3 2 2 3 3 2 3" xfId="5024"/>
    <cellStyle name="Normal 4 3 2 2 3 3 2 4" xfId="5025"/>
    <cellStyle name="Normal 4 3 2 2 3 3 2 5" xfId="5026"/>
    <cellStyle name="Normal 4 3 2 2 3 3 3" xfId="5027"/>
    <cellStyle name="Normal 4 3 2 2 3 3 3 2" xfId="5028"/>
    <cellStyle name="Normal 4 3 2 2 3 3 3 2 2" xfId="5029"/>
    <cellStyle name="Normal 4 3 2 2 3 3 3 2 3" xfId="5030"/>
    <cellStyle name="Normal 4 3 2 2 3 3 3 3" xfId="5031"/>
    <cellStyle name="Normal 4 3 2 2 3 3 3 4" xfId="5032"/>
    <cellStyle name="Normal 4 3 2 2 3 3 3 5" xfId="5033"/>
    <cellStyle name="Normal 4 3 2 2 3 3 4" xfId="5034"/>
    <cellStyle name="Normal 4 3 2 2 3 3 4 2" xfId="5035"/>
    <cellStyle name="Normal 4 3 2 2 3 3 4 3" xfId="5036"/>
    <cellStyle name="Normal 4 3 2 2 3 3 5" xfId="5037"/>
    <cellStyle name="Normal 4 3 2 2 3 3 6" xfId="5038"/>
    <cellStyle name="Normal 4 3 2 2 3 3 7" xfId="5039"/>
    <cellStyle name="Normal 4 3 2 2 3 4" xfId="5040"/>
    <cellStyle name="Normal 4 3 2 2 3 4 2" xfId="5041"/>
    <cellStyle name="Normal 4 3 2 2 3 4 2 2" xfId="5042"/>
    <cellStyle name="Normal 4 3 2 2 3 4 2 3" xfId="5043"/>
    <cellStyle name="Normal 4 3 2 2 3 4 3" xfId="5044"/>
    <cellStyle name="Normal 4 3 2 2 3 4 4" xfId="5045"/>
    <cellStyle name="Normal 4 3 2 2 3 4 5" xfId="5046"/>
    <cellStyle name="Normal 4 3 2 2 3 5" xfId="5047"/>
    <cellStyle name="Normal 4 3 2 2 3 5 2" xfId="5048"/>
    <cellStyle name="Normal 4 3 2 2 3 5 2 2" xfId="5049"/>
    <cellStyle name="Normal 4 3 2 2 3 5 2 3" xfId="5050"/>
    <cellStyle name="Normal 4 3 2 2 3 5 3" xfId="5051"/>
    <cellStyle name="Normal 4 3 2 2 3 5 4" xfId="5052"/>
    <cellStyle name="Normal 4 3 2 2 3 5 5" xfId="5053"/>
    <cellStyle name="Normal 4 3 2 2 3 6" xfId="5054"/>
    <cellStyle name="Normal 4 3 2 2 3 6 2" xfId="5055"/>
    <cellStyle name="Normal 4 3 2 2 3 6 3" xfId="5056"/>
    <cellStyle name="Normal 4 3 2 2 3 7" xfId="5057"/>
    <cellStyle name="Normal 4 3 2 2 3 8" xfId="5058"/>
    <cellStyle name="Normal 4 3 2 2 3 9" xfId="5059"/>
    <cellStyle name="Normal 4 3 2 2 4" xfId="5060"/>
    <cellStyle name="Normal 4 3 2 2 4 2" xfId="5061"/>
    <cellStyle name="Normal 4 3 2 2 4 2 2" xfId="5062"/>
    <cellStyle name="Normal 4 3 2 2 4 2 2 2" xfId="5063"/>
    <cellStyle name="Normal 4 3 2 2 4 2 2 2 2" xfId="5064"/>
    <cellStyle name="Normal 4 3 2 2 4 2 2 2 2 2" xfId="5065"/>
    <cellStyle name="Normal 4 3 2 2 4 2 2 2 2 3" xfId="5066"/>
    <cellStyle name="Normal 4 3 2 2 4 2 2 2 3" xfId="5067"/>
    <cellStyle name="Normal 4 3 2 2 4 2 2 2 4" xfId="5068"/>
    <cellStyle name="Normal 4 3 2 2 4 2 2 2 5" xfId="5069"/>
    <cellStyle name="Normal 4 3 2 2 4 2 2 3" xfId="5070"/>
    <cellStyle name="Normal 4 3 2 2 4 2 2 3 2" xfId="5071"/>
    <cellStyle name="Normal 4 3 2 2 4 2 2 3 2 2" xfId="5072"/>
    <cellStyle name="Normal 4 3 2 2 4 2 2 3 2 3" xfId="5073"/>
    <cellStyle name="Normal 4 3 2 2 4 2 2 3 3" xfId="5074"/>
    <cellStyle name="Normal 4 3 2 2 4 2 2 3 4" xfId="5075"/>
    <cellStyle name="Normal 4 3 2 2 4 2 2 3 5" xfId="5076"/>
    <cellStyle name="Normal 4 3 2 2 4 2 2 4" xfId="5077"/>
    <cellStyle name="Normal 4 3 2 2 4 2 2 4 2" xfId="5078"/>
    <cellStyle name="Normal 4 3 2 2 4 2 2 4 3" xfId="5079"/>
    <cellStyle name="Normal 4 3 2 2 4 2 2 5" xfId="5080"/>
    <cellStyle name="Normal 4 3 2 2 4 2 2 6" xfId="5081"/>
    <cellStyle name="Normal 4 3 2 2 4 2 2 7" xfId="5082"/>
    <cellStyle name="Normal 4 3 2 2 4 2 3" xfId="5083"/>
    <cellStyle name="Normal 4 3 2 2 4 2 3 2" xfId="5084"/>
    <cellStyle name="Normal 4 3 2 2 4 2 3 2 2" xfId="5085"/>
    <cellStyle name="Normal 4 3 2 2 4 2 3 2 3" xfId="5086"/>
    <cellStyle name="Normal 4 3 2 2 4 2 3 3" xfId="5087"/>
    <cellStyle name="Normal 4 3 2 2 4 2 3 4" xfId="5088"/>
    <cellStyle name="Normal 4 3 2 2 4 2 3 5" xfId="5089"/>
    <cellStyle name="Normal 4 3 2 2 4 2 4" xfId="5090"/>
    <cellStyle name="Normal 4 3 2 2 4 2 4 2" xfId="5091"/>
    <cellStyle name="Normal 4 3 2 2 4 2 4 2 2" xfId="5092"/>
    <cellStyle name="Normal 4 3 2 2 4 2 4 2 3" xfId="5093"/>
    <cellStyle name="Normal 4 3 2 2 4 2 4 3" xfId="5094"/>
    <cellStyle name="Normal 4 3 2 2 4 2 4 4" xfId="5095"/>
    <cellStyle name="Normal 4 3 2 2 4 2 4 5" xfId="5096"/>
    <cellStyle name="Normal 4 3 2 2 4 2 5" xfId="5097"/>
    <cellStyle name="Normal 4 3 2 2 4 2 5 2" xfId="5098"/>
    <cellStyle name="Normal 4 3 2 2 4 2 5 3" xfId="5099"/>
    <cellStyle name="Normal 4 3 2 2 4 2 6" xfId="5100"/>
    <cellStyle name="Normal 4 3 2 2 4 2 7" xfId="5101"/>
    <cellStyle name="Normal 4 3 2 2 4 2 8" xfId="5102"/>
    <cellStyle name="Normal 4 3 2 2 4 3" xfId="5103"/>
    <cellStyle name="Normal 4 3 2 2 4 3 2" xfId="5104"/>
    <cellStyle name="Normal 4 3 2 2 4 3 2 2" xfId="5105"/>
    <cellStyle name="Normal 4 3 2 2 4 3 2 2 2" xfId="5106"/>
    <cellStyle name="Normal 4 3 2 2 4 3 2 2 3" xfId="5107"/>
    <cellStyle name="Normal 4 3 2 2 4 3 2 3" xfId="5108"/>
    <cellStyle name="Normal 4 3 2 2 4 3 2 4" xfId="5109"/>
    <cellStyle name="Normal 4 3 2 2 4 3 2 5" xfId="5110"/>
    <cellStyle name="Normal 4 3 2 2 4 3 3" xfId="5111"/>
    <cellStyle name="Normal 4 3 2 2 4 3 3 2" xfId="5112"/>
    <cellStyle name="Normal 4 3 2 2 4 3 3 2 2" xfId="5113"/>
    <cellStyle name="Normal 4 3 2 2 4 3 3 2 3" xfId="5114"/>
    <cellStyle name="Normal 4 3 2 2 4 3 3 3" xfId="5115"/>
    <cellStyle name="Normal 4 3 2 2 4 3 3 4" xfId="5116"/>
    <cellStyle name="Normal 4 3 2 2 4 3 3 5" xfId="5117"/>
    <cellStyle name="Normal 4 3 2 2 4 3 4" xfId="5118"/>
    <cellStyle name="Normal 4 3 2 2 4 3 4 2" xfId="5119"/>
    <cellStyle name="Normal 4 3 2 2 4 3 4 3" xfId="5120"/>
    <cellStyle name="Normal 4 3 2 2 4 3 5" xfId="5121"/>
    <cellStyle name="Normal 4 3 2 2 4 3 6" xfId="5122"/>
    <cellStyle name="Normal 4 3 2 2 4 3 7" xfId="5123"/>
    <cellStyle name="Normal 4 3 2 2 4 4" xfId="5124"/>
    <cellStyle name="Normal 4 3 2 2 4 4 2" xfId="5125"/>
    <cellStyle name="Normal 4 3 2 2 4 4 2 2" xfId="5126"/>
    <cellStyle name="Normal 4 3 2 2 4 4 2 3" xfId="5127"/>
    <cellStyle name="Normal 4 3 2 2 4 4 3" xfId="5128"/>
    <cellStyle name="Normal 4 3 2 2 4 4 4" xfId="5129"/>
    <cellStyle name="Normal 4 3 2 2 4 4 5" xfId="5130"/>
    <cellStyle name="Normal 4 3 2 2 4 5" xfId="5131"/>
    <cellStyle name="Normal 4 3 2 2 4 5 2" xfId="5132"/>
    <cellStyle name="Normal 4 3 2 2 4 5 2 2" xfId="5133"/>
    <cellStyle name="Normal 4 3 2 2 4 5 2 3" xfId="5134"/>
    <cellStyle name="Normal 4 3 2 2 4 5 3" xfId="5135"/>
    <cellStyle name="Normal 4 3 2 2 4 5 4" xfId="5136"/>
    <cellStyle name="Normal 4 3 2 2 4 5 5" xfId="5137"/>
    <cellStyle name="Normal 4 3 2 2 4 6" xfId="5138"/>
    <cellStyle name="Normal 4 3 2 2 4 6 2" xfId="5139"/>
    <cellStyle name="Normal 4 3 2 2 4 6 3" xfId="5140"/>
    <cellStyle name="Normal 4 3 2 2 4 7" xfId="5141"/>
    <cellStyle name="Normal 4 3 2 2 4 8" xfId="5142"/>
    <cellStyle name="Normal 4 3 2 2 4 9" xfId="5143"/>
    <cellStyle name="Normal 4 3 2 2 5" xfId="5144"/>
    <cellStyle name="Normal 4 3 2 2 5 2" xfId="5145"/>
    <cellStyle name="Normal 4 3 2 2 5 2 2" xfId="5146"/>
    <cellStyle name="Normal 4 3 2 2 5 2 2 2" xfId="5147"/>
    <cellStyle name="Normal 4 3 2 2 5 2 2 2 2" xfId="5148"/>
    <cellStyle name="Normal 4 3 2 2 5 2 2 2 3" xfId="5149"/>
    <cellStyle name="Normal 4 3 2 2 5 2 2 3" xfId="5150"/>
    <cellStyle name="Normal 4 3 2 2 5 2 2 4" xfId="5151"/>
    <cellStyle name="Normal 4 3 2 2 5 2 2 5" xfId="5152"/>
    <cellStyle name="Normal 4 3 2 2 5 2 3" xfId="5153"/>
    <cellStyle name="Normal 4 3 2 2 5 2 3 2" xfId="5154"/>
    <cellStyle name="Normal 4 3 2 2 5 2 3 2 2" xfId="5155"/>
    <cellStyle name="Normal 4 3 2 2 5 2 3 2 3" xfId="5156"/>
    <cellStyle name="Normal 4 3 2 2 5 2 3 3" xfId="5157"/>
    <cellStyle name="Normal 4 3 2 2 5 2 3 4" xfId="5158"/>
    <cellStyle name="Normal 4 3 2 2 5 2 3 5" xfId="5159"/>
    <cellStyle name="Normal 4 3 2 2 5 2 4" xfId="5160"/>
    <cellStyle name="Normal 4 3 2 2 5 2 4 2" xfId="5161"/>
    <cellStyle name="Normal 4 3 2 2 5 2 4 3" xfId="5162"/>
    <cellStyle name="Normal 4 3 2 2 5 2 5" xfId="5163"/>
    <cellStyle name="Normal 4 3 2 2 5 2 6" xfId="5164"/>
    <cellStyle name="Normal 4 3 2 2 5 2 7" xfId="5165"/>
    <cellStyle name="Normal 4 3 2 2 5 3" xfId="5166"/>
    <cellStyle name="Normal 4 3 2 2 5 3 2" xfId="5167"/>
    <cellStyle name="Normal 4 3 2 2 5 3 2 2" xfId="5168"/>
    <cellStyle name="Normal 4 3 2 2 5 3 2 3" xfId="5169"/>
    <cellStyle name="Normal 4 3 2 2 5 3 3" xfId="5170"/>
    <cellStyle name="Normal 4 3 2 2 5 3 4" xfId="5171"/>
    <cellStyle name="Normal 4 3 2 2 5 3 5" xfId="5172"/>
    <cellStyle name="Normal 4 3 2 2 5 4" xfId="5173"/>
    <cellStyle name="Normal 4 3 2 2 5 4 2" xfId="5174"/>
    <cellStyle name="Normal 4 3 2 2 5 4 2 2" xfId="5175"/>
    <cellStyle name="Normal 4 3 2 2 5 4 2 3" xfId="5176"/>
    <cellStyle name="Normal 4 3 2 2 5 4 3" xfId="5177"/>
    <cellStyle name="Normal 4 3 2 2 5 4 4" xfId="5178"/>
    <cellStyle name="Normal 4 3 2 2 5 4 5" xfId="5179"/>
    <cellStyle name="Normal 4 3 2 2 5 5" xfId="5180"/>
    <cellStyle name="Normal 4 3 2 2 5 5 2" xfId="5181"/>
    <cellStyle name="Normal 4 3 2 2 5 5 3" xfId="5182"/>
    <cellStyle name="Normal 4 3 2 2 5 6" xfId="5183"/>
    <cellStyle name="Normal 4 3 2 2 5 7" xfId="5184"/>
    <cellStyle name="Normal 4 3 2 2 5 8" xfId="5185"/>
    <cellStyle name="Normal 4 3 2 2 6" xfId="5186"/>
    <cellStyle name="Normal 4 3 2 2 6 2" xfId="5187"/>
    <cellStyle name="Normal 4 3 2 2 6 2 2" xfId="5188"/>
    <cellStyle name="Normal 4 3 2 2 6 2 2 2" xfId="5189"/>
    <cellStyle name="Normal 4 3 2 2 6 2 2 3" xfId="5190"/>
    <cellStyle name="Normal 4 3 2 2 6 2 3" xfId="5191"/>
    <cellStyle name="Normal 4 3 2 2 6 2 4" xfId="5192"/>
    <cellStyle name="Normal 4 3 2 2 6 2 5" xfId="5193"/>
    <cellStyle name="Normal 4 3 2 2 6 3" xfId="5194"/>
    <cellStyle name="Normal 4 3 2 2 6 3 2" xfId="5195"/>
    <cellStyle name="Normal 4 3 2 2 6 3 2 2" xfId="5196"/>
    <cellStyle name="Normal 4 3 2 2 6 3 2 3" xfId="5197"/>
    <cellStyle name="Normal 4 3 2 2 6 3 3" xfId="5198"/>
    <cellStyle name="Normal 4 3 2 2 6 3 4" xfId="5199"/>
    <cellStyle name="Normal 4 3 2 2 6 3 5" xfId="5200"/>
    <cellStyle name="Normal 4 3 2 2 6 4" xfId="5201"/>
    <cellStyle name="Normal 4 3 2 2 6 4 2" xfId="5202"/>
    <cellStyle name="Normal 4 3 2 2 6 4 3" xfId="5203"/>
    <cellStyle name="Normal 4 3 2 2 6 5" xfId="5204"/>
    <cellStyle name="Normal 4 3 2 2 6 6" xfId="5205"/>
    <cellStyle name="Normal 4 3 2 2 6 7" xfId="5206"/>
    <cellStyle name="Normal 4 3 2 2 7" xfId="5207"/>
    <cellStyle name="Normal 4 3 2 2 7 2" xfId="5208"/>
    <cellStyle name="Normal 4 3 2 2 7 2 2" xfId="5209"/>
    <cellStyle name="Normal 4 3 2 2 7 2 2 2" xfId="5210"/>
    <cellStyle name="Normal 4 3 2 2 7 2 2 3" xfId="5211"/>
    <cellStyle name="Normal 4 3 2 2 7 2 3" xfId="5212"/>
    <cellStyle name="Normal 4 3 2 2 7 2 4" xfId="5213"/>
    <cellStyle name="Normal 4 3 2 2 7 2 5" xfId="5214"/>
    <cellStyle name="Normal 4 3 2 2 7 3" xfId="5215"/>
    <cellStyle name="Normal 4 3 2 2 7 3 2" xfId="5216"/>
    <cellStyle name="Normal 4 3 2 2 7 3 2 2" xfId="5217"/>
    <cellStyle name="Normal 4 3 2 2 7 3 2 3" xfId="5218"/>
    <cellStyle name="Normal 4 3 2 2 7 3 3" xfId="5219"/>
    <cellStyle name="Normal 4 3 2 2 7 3 4" xfId="5220"/>
    <cellStyle name="Normal 4 3 2 2 7 3 5" xfId="5221"/>
    <cellStyle name="Normal 4 3 2 2 7 4" xfId="5222"/>
    <cellStyle name="Normal 4 3 2 2 7 4 2" xfId="5223"/>
    <cellStyle name="Normal 4 3 2 2 7 4 3" xfId="5224"/>
    <cellStyle name="Normal 4 3 2 2 7 5" xfId="5225"/>
    <cellStyle name="Normal 4 3 2 2 7 6" xfId="5226"/>
    <cellStyle name="Normal 4 3 2 2 7 7" xfId="5227"/>
    <cellStyle name="Normal 4 3 2 2 8" xfId="5228"/>
    <cellStyle name="Normal 4 3 2 2 8 2" xfId="5229"/>
    <cellStyle name="Normal 4 3 2 2 8 2 2" xfId="5230"/>
    <cellStyle name="Normal 4 3 2 2 8 2 3" xfId="5231"/>
    <cellStyle name="Normal 4 3 2 2 8 3" xfId="5232"/>
    <cellStyle name="Normal 4 3 2 2 8 4" xfId="5233"/>
    <cellStyle name="Normal 4 3 2 2 8 5" xfId="5234"/>
    <cellStyle name="Normal 4 3 2 2 9" xfId="5235"/>
    <cellStyle name="Normal 4 3 2 2 9 2" xfId="5236"/>
    <cellStyle name="Normal 4 3 2 2 9 2 2" xfId="5237"/>
    <cellStyle name="Normal 4 3 2 2 9 2 3" xfId="5238"/>
    <cellStyle name="Normal 4 3 2 2 9 3" xfId="5239"/>
    <cellStyle name="Normal 4 3 2 2 9 4" xfId="5240"/>
    <cellStyle name="Normal 4 3 2 2 9 5" xfId="5241"/>
    <cellStyle name="Normal 4 3 2 3" xfId="5242"/>
    <cellStyle name="Normal 4 3 2 3 2" xfId="5243"/>
    <cellStyle name="Normal 4 3 2 3 2 2" xfId="5244"/>
    <cellStyle name="Normal 4 3 2 3 2 2 2" xfId="5245"/>
    <cellStyle name="Normal 4 3 2 3 2 2 2 2" xfId="5246"/>
    <cellStyle name="Normal 4 3 2 3 2 2 2 2 2" xfId="5247"/>
    <cellStyle name="Normal 4 3 2 3 2 2 2 2 3" xfId="5248"/>
    <cellStyle name="Normal 4 3 2 3 2 2 2 3" xfId="5249"/>
    <cellStyle name="Normal 4 3 2 3 2 2 2 4" xfId="5250"/>
    <cellStyle name="Normal 4 3 2 3 2 2 2 5" xfId="5251"/>
    <cellStyle name="Normal 4 3 2 3 2 2 3" xfId="5252"/>
    <cellStyle name="Normal 4 3 2 3 2 2 3 2" xfId="5253"/>
    <cellStyle name="Normal 4 3 2 3 2 2 3 2 2" xfId="5254"/>
    <cellStyle name="Normal 4 3 2 3 2 2 3 2 3" xfId="5255"/>
    <cellStyle name="Normal 4 3 2 3 2 2 3 3" xfId="5256"/>
    <cellStyle name="Normal 4 3 2 3 2 2 3 4" xfId="5257"/>
    <cellStyle name="Normal 4 3 2 3 2 2 3 5" xfId="5258"/>
    <cellStyle name="Normal 4 3 2 3 2 2 4" xfId="5259"/>
    <cellStyle name="Normal 4 3 2 3 2 2 4 2" xfId="5260"/>
    <cellStyle name="Normal 4 3 2 3 2 2 4 3" xfId="5261"/>
    <cellStyle name="Normal 4 3 2 3 2 2 5" xfId="5262"/>
    <cellStyle name="Normal 4 3 2 3 2 2 6" xfId="5263"/>
    <cellStyle name="Normal 4 3 2 3 2 2 7" xfId="5264"/>
    <cellStyle name="Normal 4 3 2 3 2 3" xfId="5265"/>
    <cellStyle name="Normal 4 3 2 3 2 3 2" xfId="5266"/>
    <cellStyle name="Normal 4 3 2 3 2 3 2 2" xfId="5267"/>
    <cellStyle name="Normal 4 3 2 3 2 3 2 3" xfId="5268"/>
    <cellStyle name="Normal 4 3 2 3 2 3 3" xfId="5269"/>
    <cellStyle name="Normal 4 3 2 3 2 3 4" xfId="5270"/>
    <cellStyle name="Normal 4 3 2 3 2 3 5" xfId="5271"/>
    <cellStyle name="Normal 4 3 2 3 2 4" xfId="5272"/>
    <cellStyle name="Normal 4 3 2 3 2 4 2" xfId="5273"/>
    <cellStyle name="Normal 4 3 2 3 2 4 2 2" xfId="5274"/>
    <cellStyle name="Normal 4 3 2 3 2 4 2 3" xfId="5275"/>
    <cellStyle name="Normal 4 3 2 3 2 4 3" xfId="5276"/>
    <cellStyle name="Normal 4 3 2 3 2 4 4" xfId="5277"/>
    <cellStyle name="Normal 4 3 2 3 2 4 5" xfId="5278"/>
    <cellStyle name="Normal 4 3 2 3 2 5" xfId="5279"/>
    <cellStyle name="Normal 4 3 2 3 2 5 2" xfId="5280"/>
    <cellStyle name="Normal 4 3 2 3 2 5 3" xfId="5281"/>
    <cellStyle name="Normal 4 3 2 3 2 6" xfId="5282"/>
    <cellStyle name="Normal 4 3 2 3 2 7" xfId="5283"/>
    <cellStyle name="Normal 4 3 2 3 2 8" xfId="5284"/>
    <cellStyle name="Normal 4 3 2 3 3" xfId="5285"/>
    <cellStyle name="Normal 4 3 2 3 3 2" xfId="5286"/>
    <cellStyle name="Normal 4 3 2 3 3 2 2" xfId="5287"/>
    <cellStyle name="Normal 4 3 2 3 3 2 2 2" xfId="5288"/>
    <cellStyle name="Normal 4 3 2 3 3 2 2 3" xfId="5289"/>
    <cellStyle name="Normal 4 3 2 3 3 2 3" xfId="5290"/>
    <cellStyle name="Normal 4 3 2 3 3 2 4" xfId="5291"/>
    <cellStyle name="Normal 4 3 2 3 3 2 5" xfId="5292"/>
    <cellStyle name="Normal 4 3 2 3 3 3" xfId="5293"/>
    <cellStyle name="Normal 4 3 2 3 3 3 2" xfId="5294"/>
    <cellStyle name="Normal 4 3 2 3 3 3 2 2" xfId="5295"/>
    <cellStyle name="Normal 4 3 2 3 3 3 2 3" xfId="5296"/>
    <cellStyle name="Normal 4 3 2 3 3 3 3" xfId="5297"/>
    <cellStyle name="Normal 4 3 2 3 3 3 4" xfId="5298"/>
    <cellStyle name="Normal 4 3 2 3 3 3 5" xfId="5299"/>
    <cellStyle name="Normal 4 3 2 3 3 4" xfId="5300"/>
    <cellStyle name="Normal 4 3 2 3 3 4 2" xfId="5301"/>
    <cellStyle name="Normal 4 3 2 3 3 4 3" xfId="5302"/>
    <cellStyle name="Normal 4 3 2 3 3 5" xfId="5303"/>
    <cellStyle name="Normal 4 3 2 3 3 6" xfId="5304"/>
    <cellStyle name="Normal 4 3 2 3 3 7" xfId="5305"/>
    <cellStyle name="Normal 4 3 2 3 4" xfId="5306"/>
    <cellStyle name="Normal 4 3 2 3 4 2" xfId="5307"/>
    <cellStyle name="Normal 4 3 2 3 4 2 2" xfId="5308"/>
    <cellStyle name="Normal 4 3 2 3 4 2 3" xfId="5309"/>
    <cellStyle name="Normal 4 3 2 3 4 3" xfId="5310"/>
    <cellStyle name="Normal 4 3 2 3 4 4" xfId="5311"/>
    <cellStyle name="Normal 4 3 2 3 4 5" xfId="5312"/>
    <cellStyle name="Normal 4 3 2 3 5" xfId="5313"/>
    <cellStyle name="Normal 4 3 2 3 5 2" xfId="5314"/>
    <cellStyle name="Normal 4 3 2 3 5 2 2" xfId="5315"/>
    <cellStyle name="Normal 4 3 2 3 5 2 3" xfId="5316"/>
    <cellStyle name="Normal 4 3 2 3 5 3" xfId="5317"/>
    <cellStyle name="Normal 4 3 2 3 5 4" xfId="5318"/>
    <cellStyle name="Normal 4 3 2 3 5 5" xfId="5319"/>
    <cellStyle name="Normal 4 3 2 3 6" xfId="5320"/>
    <cellStyle name="Normal 4 3 2 3 6 2" xfId="5321"/>
    <cellStyle name="Normal 4 3 2 3 6 3" xfId="5322"/>
    <cellStyle name="Normal 4 3 2 3 7" xfId="5323"/>
    <cellStyle name="Normal 4 3 2 3 8" xfId="5324"/>
    <cellStyle name="Normal 4 3 2 3 9" xfId="5325"/>
    <cellStyle name="Normal 4 3 2 4" xfId="5326"/>
    <cellStyle name="Normal 4 3 2 4 2" xfId="5327"/>
    <cellStyle name="Normal 4 3 2 4 2 2" xfId="5328"/>
    <cellStyle name="Normal 4 3 2 4 2 2 2" xfId="5329"/>
    <cellStyle name="Normal 4 3 2 4 2 2 2 2" xfId="5330"/>
    <cellStyle name="Normal 4 3 2 4 2 2 2 2 2" xfId="5331"/>
    <cellStyle name="Normal 4 3 2 4 2 2 2 2 3" xfId="5332"/>
    <cellStyle name="Normal 4 3 2 4 2 2 2 3" xfId="5333"/>
    <cellStyle name="Normal 4 3 2 4 2 2 2 4" xfId="5334"/>
    <cellStyle name="Normal 4 3 2 4 2 2 2 5" xfId="5335"/>
    <cellStyle name="Normal 4 3 2 4 2 2 3" xfId="5336"/>
    <cellStyle name="Normal 4 3 2 4 2 2 3 2" xfId="5337"/>
    <cellStyle name="Normal 4 3 2 4 2 2 3 2 2" xfId="5338"/>
    <cellStyle name="Normal 4 3 2 4 2 2 3 2 3" xfId="5339"/>
    <cellStyle name="Normal 4 3 2 4 2 2 3 3" xfId="5340"/>
    <cellStyle name="Normal 4 3 2 4 2 2 3 4" xfId="5341"/>
    <cellStyle name="Normal 4 3 2 4 2 2 3 5" xfId="5342"/>
    <cellStyle name="Normal 4 3 2 4 2 2 4" xfId="5343"/>
    <cellStyle name="Normal 4 3 2 4 2 2 4 2" xfId="5344"/>
    <cellStyle name="Normal 4 3 2 4 2 2 4 3" xfId="5345"/>
    <cellStyle name="Normal 4 3 2 4 2 2 5" xfId="5346"/>
    <cellStyle name="Normal 4 3 2 4 2 2 6" xfId="5347"/>
    <cellStyle name="Normal 4 3 2 4 2 2 7" xfId="5348"/>
    <cellStyle name="Normal 4 3 2 4 2 3" xfId="5349"/>
    <cellStyle name="Normal 4 3 2 4 2 3 2" xfId="5350"/>
    <cellStyle name="Normal 4 3 2 4 2 3 2 2" xfId="5351"/>
    <cellStyle name="Normal 4 3 2 4 2 3 2 3" xfId="5352"/>
    <cellStyle name="Normal 4 3 2 4 2 3 3" xfId="5353"/>
    <cellStyle name="Normal 4 3 2 4 2 3 4" xfId="5354"/>
    <cellStyle name="Normal 4 3 2 4 2 3 5" xfId="5355"/>
    <cellStyle name="Normal 4 3 2 4 2 4" xfId="5356"/>
    <cellStyle name="Normal 4 3 2 4 2 4 2" xfId="5357"/>
    <cellStyle name="Normal 4 3 2 4 2 4 2 2" xfId="5358"/>
    <cellStyle name="Normal 4 3 2 4 2 4 2 3" xfId="5359"/>
    <cellStyle name="Normal 4 3 2 4 2 4 3" xfId="5360"/>
    <cellStyle name="Normal 4 3 2 4 2 4 4" xfId="5361"/>
    <cellStyle name="Normal 4 3 2 4 2 4 5" xfId="5362"/>
    <cellStyle name="Normal 4 3 2 4 2 5" xfId="5363"/>
    <cellStyle name="Normal 4 3 2 4 2 5 2" xfId="5364"/>
    <cellStyle name="Normal 4 3 2 4 2 5 3" xfId="5365"/>
    <cellStyle name="Normal 4 3 2 4 2 6" xfId="5366"/>
    <cellStyle name="Normal 4 3 2 4 2 7" xfId="5367"/>
    <cellStyle name="Normal 4 3 2 4 2 8" xfId="5368"/>
    <cellStyle name="Normal 4 3 2 4 3" xfId="5369"/>
    <cellStyle name="Normal 4 3 2 4 3 2" xfId="5370"/>
    <cellStyle name="Normal 4 3 2 4 3 2 2" xfId="5371"/>
    <cellStyle name="Normal 4 3 2 4 3 2 2 2" xfId="5372"/>
    <cellStyle name="Normal 4 3 2 4 3 2 2 3" xfId="5373"/>
    <cellStyle name="Normal 4 3 2 4 3 2 3" xfId="5374"/>
    <cellStyle name="Normal 4 3 2 4 3 2 4" xfId="5375"/>
    <cellStyle name="Normal 4 3 2 4 3 2 5" xfId="5376"/>
    <cellStyle name="Normal 4 3 2 4 3 3" xfId="5377"/>
    <cellStyle name="Normal 4 3 2 4 3 3 2" xfId="5378"/>
    <cellStyle name="Normal 4 3 2 4 3 3 2 2" xfId="5379"/>
    <cellStyle name="Normal 4 3 2 4 3 3 2 3" xfId="5380"/>
    <cellStyle name="Normal 4 3 2 4 3 3 3" xfId="5381"/>
    <cellStyle name="Normal 4 3 2 4 3 3 4" xfId="5382"/>
    <cellStyle name="Normal 4 3 2 4 3 3 5" xfId="5383"/>
    <cellStyle name="Normal 4 3 2 4 3 4" xfId="5384"/>
    <cellStyle name="Normal 4 3 2 4 3 4 2" xfId="5385"/>
    <cellStyle name="Normal 4 3 2 4 3 4 3" xfId="5386"/>
    <cellStyle name="Normal 4 3 2 4 3 5" xfId="5387"/>
    <cellStyle name="Normal 4 3 2 4 3 6" xfId="5388"/>
    <cellStyle name="Normal 4 3 2 4 3 7" xfId="5389"/>
    <cellStyle name="Normal 4 3 2 4 4" xfId="5390"/>
    <cellStyle name="Normal 4 3 2 4 4 2" xfId="5391"/>
    <cellStyle name="Normal 4 3 2 4 4 2 2" xfId="5392"/>
    <cellStyle name="Normal 4 3 2 4 4 2 3" xfId="5393"/>
    <cellStyle name="Normal 4 3 2 4 4 3" xfId="5394"/>
    <cellStyle name="Normal 4 3 2 4 4 4" xfId="5395"/>
    <cellStyle name="Normal 4 3 2 4 4 5" xfId="5396"/>
    <cellStyle name="Normal 4 3 2 4 5" xfId="5397"/>
    <cellStyle name="Normal 4 3 2 4 5 2" xfId="5398"/>
    <cellStyle name="Normal 4 3 2 4 5 2 2" xfId="5399"/>
    <cellStyle name="Normal 4 3 2 4 5 2 3" xfId="5400"/>
    <cellStyle name="Normal 4 3 2 4 5 3" xfId="5401"/>
    <cellStyle name="Normal 4 3 2 4 5 4" xfId="5402"/>
    <cellStyle name="Normal 4 3 2 4 5 5" xfId="5403"/>
    <cellStyle name="Normal 4 3 2 4 6" xfId="5404"/>
    <cellStyle name="Normal 4 3 2 4 6 2" xfId="5405"/>
    <cellStyle name="Normal 4 3 2 4 6 3" xfId="5406"/>
    <cellStyle name="Normal 4 3 2 4 7" xfId="5407"/>
    <cellStyle name="Normal 4 3 2 4 8" xfId="5408"/>
    <cellStyle name="Normal 4 3 2 4 9" xfId="5409"/>
    <cellStyle name="Normal 4 3 2 5" xfId="5410"/>
    <cellStyle name="Normal 4 3 2 5 2" xfId="5411"/>
    <cellStyle name="Normal 4 3 2 5 2 2" xfId="5412"/>
    <cellStyle name="Normal 4 3 2 5 2 2 2" xfId="5413"/>
    <cellStyle name="Normal 4 3 2 5 2 2 2 2" xfId="5414"/>
    <cellStyle name="Normal 4 3 2 5 2 2 2 2 2" xfId="5415"/>
    <cellStyle name="Normal 4 3 2 5 2 2 2 2 3" xfId="5416"/>
    <cellStyle name="Normal 4 3 2 5 2 2 2 3" xfId="5417"/>
    <cellStyle name="Normal 4 3 2 5 2 2 2 4" xfId="5418"/>
    <cellStyle name="Normal 4 3 2 5 2 2 2 5" xfId="5419"/>
    <cellStyle name="Normal 4 3 2 5 2 2 3" xfId="5420"/>
    <cellStyle name="Normal 4 3 2 5 2 2 3 2" xfId="5421"/>
    <cellStyle name="Normal 4 3 2 5 2 2 3 2 2" xfId="5422"/>
    <cellStyle name="Normal 4 3 2 5 2 2 3 2 3" xfId="5423"/>
    <cellStyle name="Normal 4 3 2 5 2 2 3 3" xfId="5424"/>
    <cellStyle name="Normal 4 3 2 5 2 2 3 4" xfId="5425"/>
    <cellStyle name="Normal 4 3 2 5 2 2 3 5" xfId="5426"/>
    <cellStyle name="Normal 4 3 2 5 2 2 4" xfId="5427"/>
    <cellStyle name="Normal 4 3 2 5 2 2 4 2" xfId="5428"/>
    <cellStyle name="Normal 4 3 2 5 2 2 4 3" xfId="5429"/>
    <cellStyle name="Normal 4 3 2 5 2 2 5" xfId="5430"/>
    <cellStyle name="Normal 4 3 2 5 2 2 6" xfId="5431"/>
    <cellStyle name="Normal 4 3 2 5 2 2 7" xfId="5432"/>
    <cellStyle name="Normal 4 3 2 5 2 3" xfId="5433"/>
    <cellStyle name="Normal 4 3 2 5 2 3 2" xfId="5434"/>
    <cellStyle name="Normal 4 3 2 5 2 3 2 2" xfId="5435"/>
    <cellStyle name="Normal 4 3 2 5 2 3 2 3" xfId="5436"/>
    <cellStyle name="Normal 4 3 2 5 2 3 3" xfId="5437"/>
    <cellStyle name="Normal 4 3 2 5 2 3 4" xfId="5438"/>
    <cellStyle name="Normal 4 3 2 5 2 3 5" xfId="5439"/>
    <cellStyle name="Normal 4 3 2 5 2 4" xfId="5440"/>
    <cellStyle name="Normal 4 3 2 5 2 4 2" xfId="5441"/>
    <cellStyle name="Normal 4 3 2 5 2 4 2 2" xfId="5442"/>
    <cellStyle name="Normal 4 3 2 5 2 4 2 3" xfId="5443"/>
    <cellStyle name="Normal 4 3 2 5 2 4 3" xfId="5444"/>
    <cellStyle name="Normal 4 3 2 5 2 4 4" xfId="5445"/>
    <cellStyle name="Normal 4 3 2 5 2 4 5" xfId="5446"/>
    <cellStyle name="Normal 4 3 2 5 2 5" xfId="5447"/>
    <cellStyle name="Normal 4 3 2 5 2 5 2" xfId="5448"/>
    <cellStyle name="Normal 4 3 2 5 2 5 3" xfId="5449"/>
    <cellStyle name="Normal 4 3 2 5 2 6" xfId="5450"/>
    <cellStyle name="Normal 4 3 2 5 2 7" xfId="5451"/>
    <cellStyle name="Normal 4 3 2 5 2 8" xfId="5452"/>
    <cellStyle name="Normal 4 3 2 5 3" xfId="5453"/>
    <cellStyle name="Normal 4 3 2 5 3 2" xfId="5454"/>
    <cellStyle name="Normal 4 3 2 5 3 2 2" xfId="5455"/>
    <cellStyle name="Normal 4 3 2 5 3 2 2 2" xfId="5456"/>
    <cellStyle name="Normal 4 3 2 5 3 2 2 3" xfId="5457"/>
    <cellStyle name="Normal 4 3 2 5 3 2 3" xfId="5458"/>
    <cellStyle name="Normal 4 3 2 5 3 2 4" xfId="5459"/>
    <cellStyle name="Normal 4 3 2 5 3 2 5" xfId="5460"/>
    <cellStyle name="Normal 4 3 2 5 3 3" xfId="5461"/>
    <cellStyle name="Normal 4 3 2 5 3 3 2" xfId="5462"/>
    <cellStyle name="Normal 4 3 2 5 3 3 2 2" xfId="5463"/>
    <cellStyle name="Normal 4 3 2 5 3 3 2 3" xfId="5464"/>
    <cellStyle name="Normal 4 3 2 5 3 3 3" xfId="5465"/>
    <cellStyle name="Normal 4 3 2 5 3 3 4" xfId="5466"/>
    <cellStyle name="Normal 4 3 2 5 3 3 5" xfId="5467"/>
    <cellStyle name="Normal 4 3 2 5 3 4" xfId="5468"/>
    <cellStyle name="Normal 4 3 2 5 3 4 2" xfId="5469"/>
    <cellStyle name="Normal 4 3 2 5 3 4 3" xfId="5470"/>
    <cellStyle name="Normal 4 3 2 5 3 5" xfId="5471"/>
    <cellStyle name="Normal 4 3 2 5 3 6" xfId="5472"/>
    <cellStyle name="Normal 4 3 2 5 3 7" xfId="5473"/>
    <cellStyle name="Normal 4 3 2 5 4" xfId="5474"/>
    <cellStyle name="Normal 4 3 2 5 4 2" xfId="5475"/>
    <cellStyle name="Normal 4 3 2 5 4 2 2" xfId="5476"/>
    <cellStyle name="Normal 4 3 2 5 4 2 3" xfId="5477"/>
    <cellStyle name="Normal 4 3 2 5 4 3" xfId="5478"/>
    <cellStyle name="Normal 4 3 2 5 4 4" xfId="5479"/>
    <cellStyle name="Normal 4 3 2 5 4 5" xfId="5480"/>
    <cellStyle name="Normal 4 3 2 5 5" xfId="5481"/>
    <cellStyle name="Normal 4 3 2 5 5 2" xfId="5482"/>
    <cellStyle name="Normal 4 3 2 5 5 2 2" xfId="5483"/>
    <cellStyle name="Normal 4 3 2 5 5 2 3" xfId="5484"/>
    <cellStyle name="Normal 4 3 2 5 5 3" xfId="5485"/>
    <cellStyle name="Normal 4 3 2 5 5 4" xfId="5486"/>
    <cellStyle name="Normal 4 3 2 5 5 5" xfId="5487"/>
    <cellStyle name="Normal 4 3 2 5 6" xfId="5488"/>
    <cellStyle name="Normal 4 3 2 5 6 2" xfId="5489"/>
    <cellStyle name="Normal 4 3 2 5 6 3" xfId="5490"/>
    <cellStyle name="Normal 4 3 2 5 7" xfId="5491"/>
    <cellStyle name="Normal 4 3 2 5 8" xfId="5492"/>
    <cellStyle name="Normal 4 3 2 5 9" xfId="5493"/>
    <cellStyle name="Normal 4 3 2 6" xfId="5494"/>
    <cellStyle name="Normal 4 3 2 6 2" xfId="5495"/>
    <cellStyle name="Normal 4 3 2 6 2 2" xfId="5496"/>
    <cellStyle name="Normal 4 3 2 6 2 2 2" xfId="5497"/>
    <cellStyle name="Normal 4 3 2 6 2 2 2 2" xfId="5498"/>
    <cellStyle name="Normal 4 3 2 6 2 2 2 3" xfId="5499"/>
    <cellStyle name="Normal 4 3 2 6 2 2 3" xfId="5500"/>
    <cellStyle name="Normal 4 3 2 6 2 2 4" xfId="5501"/>
    <cellStyle name="Normal 4 3 2 6 2 2 5" xfId="5502"/>
    <cellStyle name="Normal 4 3 2 6 2 3" xfId="5503"/>
    <cellStyle name="Normal 4 3 2 6 2 3 2" xfId="5504"/>
    <cellStyle name="Normal 4 3 2 6 2 3 2 2" xfId="5505"/>
    <cellStyle name="Normal 4 3 2 6 2 3 2 3" xfId="5506"/>
    <cellStyle name="Normal 4 3 2 6 2 3 3" xfId="5507"/>
    <cellStyle name="Normal 4 3 2 6 2 3 4" xfId="5508"/>
    <cellStyle name="Normal 4 3 2 6 2 3 5" xfId="5509"/>
    <cellStyle name="Normal 4 3 2 6 2 4" xfId="5510"/>
    <cellStyle name="Normal 4 3 2 6 2 4 2" xfId="5511"/>
    <cellStyle name="Normal 4 3 2 6 2 4 3" xfId="5512"/>
    <cellStyle name="Normal 4 3 2 6 2 5" xfId="5513"/>
    <cellStyle name="Normal 4 3 2 6 2 6" xfId="5514"/>
    <cellStyle name="Normal 4 3 2 6 2 7" xfId="5515"/>
    <cellStyle name="Normal 4 3 2 6 3" xfId="5516"/>
    <cellStyle name="Normal 4 3 2 6 3 2" xfId="5517"/>
    <cellStyle name="Normal 4 3 2 6 3 2 2" xfId="5518"/>
    <cellStyle name="Normal 4 3 2 6 3 2 3" xfId="5519"/>
    <cellStyle name="Normal 4 3 2 6 3 3" xfId="5520"/>
    <cellStyle name="Normal 4 3 2 6 3 4" xfId="5521"/>
    <cellStyle name="Normal 4 3 2 6 3 5" xfId="5522"/>
    <cellStyle name="Normal 4 3 2 6 4" xfId="5523"/>
    <cellStyle name="Normal 4 3 2 6 4 2" xfId="5524"/>
    <cellStyle name="Normal 4 3 2 6 4 2 2" xfId="5525"/>
    <cellStyle name="Normal 4 3 2 6 4 2 3" xfId="5526"/>
    <cellStyle name="Normal 4 3 2 6 4 3" xfId="5527"/>
    <cellStyle name="Normal 4 3 2 6 4 4" xfId="5528"/>
    <cellStyle name="Normal 4 3 2 6 4 5" xfId="5529"/>
    <cellStyle name="Normal 4 3 2 6 5" xfId="5530"/>
    <cellStyle name="Normal 4 3 2 6 5 2" xfId="5531"/>
    <cellStyle name="Normal 4 3 2 6 5 3" xfId="5532"/>
    <cellStyle name="Normal 4 3 2 6 6" xfId="5533"/>
    <cellStyle name="Normal 4 3 2 6 7" xfId="5534"/>
    <cellStyle name="Normal 4 3 2 6 8" xfId="5535"/>
    <cellStyle name="Normal 4 3 2 7" xfId="5536"/>
    <cellStyle name="Normal 4 3 2 7 2" xfId="5537"/>
    <cellStyle name="Normal 4 3 2 7 2 2" xfId="5538"/>
    <cellStyle name="Normal 4 3 2 7 2 2 2" xfId="5539"/>
    <cellStyle name="Normal 4 3 2 7 2 2 3" xfId="5540"/>
    <cellStyle name="Normal 4 3 2 7 2 3" xfId="5541"/>
    <cellStyle name="Normal 4 3 2 7 2 4" xfId="5542"/>
    <cellStyle name="Normal 4 3 2 7 2 5" xfId="5543"/>
    <cellStyle name="Normal 4 3 2 7 3" xfId="5544"/>
    <cellStyle name="Normal 4 3 2 7 3 2" xfId="5545"/>
    <cellStyle name="Normal 4 3 2 7 3 2 2" xfId="5546"/>
    <cellStyle name="Normal 4 3 2 7 3 2 3" xfId="5547"/>
    <cellStyle name="Normal 4 3 2 7 3 3" xfId="5548"/>
    <cellStyle name="Normal 4 3 2 7 3 4" xfId="5549"/>
    <cellStyle name="Normal 4 3 2 7 3 5" xfId="5550"/>
    <cellStyle name="Normal 4 3 2 7 4" xfId="5551"/>
    <cellStyle name="Normal 4 3 2 7 4 2" xfId="5552"/>
    <cellStyle name="Normal 4 3 2 7 4 3" xfId="5553"/>
    <cellStyle name="Normal 4 3 2 7 5" xfId="5554"/>
    <cellStyle name="Normal 4 3 2 7 6" xfId="5555"/>
    <cellStyle name="Normal 4 3 2 7 7" xfId="5556"/>
    <cellStyle name="Normal 4 3 2 8" xfId="5557"/>
    <cellStyle name="Normal 4 3 2 8 2" xfId="5558"/>
    <cellStyle name="Normal 4 3 2 8 2 2" xfId="5559"/>
    <cellStyle name="Normal 4 3 2 8 2 2 2" xfId="5560"/>
    <cellStyle name="Normal 4 3 2 8 2 2 3" xfId="5561"/>
    <cellStyle name="Normal 4 3 2 8 2 3" xfId="5562"/>
    <cellStyle name="Normal 4 3 2 8 2 4" xfId="5563"/>
    <cellStyle name="Normal 4 3 2 8 2 5" xfId="5564"/>
    <cellStyle name="Normal 4 3 2 8 3" xfId="5565"/>
    <cellStyle name="Normal 4 3 2 8 3 2" xfId="5566"/>
    <cellStyle name="Normal 4 3 2 8 3 2 2" xfId="5567"/>
    <cellStyle name="Normal 4 3 2 8 3 2 3" xfId="5568"/>
    <cellStyle name="Normal 4 3 2 8 3 3" xfId="5569"/>
    <cellStyle name="Normal 4 3 2 8 3 4" xfId="5570"/>
    <cellStyle name="Normal 4 3 2 8 3 5" xfId="5571"/>
    <cellStyle name="Normal 4 3 2 8 4" xfId="5572"/>
    <cellStyle name="Normal 4 3 2 8 4 2" xfId="5573"/>
    <cellStyle name="Normal 4 3 2 8 4 3" xfId="5574"/>
    <cellStyle name="Normal 4 3 2 8 5" xfId="5575"/>
    <cellStyle name="Normal 4 3 2 8 6" xfId="5576"/>
    <cellStyle name="Normal 4 3 2 8 7" xfId="5577"/>
    <cellStyle name="Normal 4 3 2 9" xfId="5578"/>
    <cellStyle name="Normal 4 3 2 9 2" xfId="5579"/>
    <cellStyle name="Normal 4 3 2 9 2 2" xfId="5580"/>
    <cellStyle name="Normal 4 3 2 9 2 3" xfId="5581"/>
    <cellStyle name="Normal 4 3 2 9 3" xfId="5582"/>
    <cellStyle name="Normal 4 3 2 9 4" xfId="5583"/>
    <cellStyle name="Normal 4 3 2 9 5" xfId="5584"/>
    <cellStyle name="Normal 4 3 3" xfId="5585"/>
    <cellStyle name="Normal 4 3 3 10" xfId="5586"/>
    <cellStyle name="Normal 4 3 3 10 2" xfId="5587"/>
    <cellStyle name="Normal 4 3 3 10 2 2" xfId="5588"/>
    <cellStyle name="Normal 4 3 3 10 2 3" xfId="5589"/>
    <cellStyle name="Normal 4 3 3 10 3" xfId="5590"/>
    <cellStyle name="Normal 4 3 3 10 4" xfId="5591"/>
    <cellStyle name="Normal 4 3 3 10 5" xfId="5592"/>
    <cellStyle name="Normal 4 3 3 11" xfId="5593"/>
    <cellStyle name="Normal 4 3 3 11 2" xfId="5594"/>
    <cellStyle name="Normal 4 3 3 11 3" xfId="5595"/>
    <cellStyle name="Normal 4 3 3 12" xfId="5596"/>
    <cellStyle name="Normal 4 3 3 13" xfId="5597"/>
    <cellStyle name="Normal 4 3 3 14" xfId="5598"/>
    <cellStyle name="Normal 4 3 3 2" xfId="5599"/>
    <cellStyle name="Normal 4 3 3 2 10" xfId="5600"/>
    <cellStyle name="Normal 4 3 3 2 11" xfId="5601"/>
    <cellStyle name="Normal 4 3 3 2 12" xfId="5602"/>
    <cellStyle name="Normal 4 3 3 2 2" xfId="5603"/>
    <cellStyle name="Normal 4 3 3 2 2 2" xfId="5604"/>
    <cellStyle name="Normal 4 3 3 2 2 2 2" xfId="5605"/>
    <cellStyle name="Normal 4 3 3 2 2 2 2 2" xfId="5606"/>
    <cellStyle name="Normal 4 3 3 2 2 2 2 2 2" xfId="5607"/>
    <cellStyle name="Normal 4 3 3 2 2 2 2 2 2 2" xfId="5608"/>
    <cellStyle name="Normal 4 3 3 2 2 2 2 2 2 3" xfId="5609"/>
    <cellStyle name="Normal 4 3 3 2 2 2 2 2 3" xfId="5610"/>
    <cellStyle name="Normal 4 3 3 2 2 2 2 2 4" xfId="5611"/>
    <cellStyle name="Normal 4 3 3 2 2 2 2 2 5" xfId="5612"/>
    <cellStyle name="Normal 4 3 3 2 2 2 2 3" xfId="5613"/>
    <cellStyle name="Normal 4 3 3 2 2 2 2 3 2" xfId="5614"/>
    <cellStyle name="Normal 4 3 3 2 2 2 2 3 2 2" xfId="5615"/>
    <cellStyle name="Normal 4 3 3 2 2 2 2 3 2 3" xfId="5616"/>
    <cellStyle name="Normal 4 3 3 2 2 2 2 3 3" xfId="5617"/>
    <cellStyle name="Normal 4 3 3 2 2 2 2 3 4" xfId="5618"/>
    <cellStyle name="Normal 4 3 3 2 2 2 2 3 5" xfId="5619"/>
    <cellStyle name="Normal 4 3 3 2 2 2 2 4" xfId="5620"/>
    <cellStyle name="Normal 4 3 3 2 2 2 2 4 2" xfId="5621"/>
    <cellStyle name="Normal 4 3 3 2 2 2 2 4 3" xfId="5622"/>
    <cellStyle name="Normal 4 3 3 2 2 2 2 5" xfId="5623"/>
    <cellStyle name="Normal 4 3 3 2 2 2 2 6" xfId="5624"/>
    <cellStyle name="Normal 4 3 3 2 2 2 2 7" xfId="5625"/>
    <cellStyle name="Normal 4 3 3 2 2 2 3" xfId="5626"/>
    <cellStyle name="Normal 4 3 3 2 2 2 3 2" xfId="5627"/>
    <cellStyle name="Normal 4 3 3 2 2 2 3 2 2" xfId="5628"/>
    <cellStyle name="Normal 4 3 3 2 2 2 3 2 3" xfId="5629"/>
    <cellStyle name="Normal 4 3 3 2 2 2 3 3" xfId="5630"/>
    <cellStyle name="Normal 4 3 3 2 2 2 3 4" xfId="5631"/>
    <cellStyle name="Normal 4 3 3 2 2 2 3 5" xfId="5632"/>
    <cellStyle name="Normal 4 3 3 2 2 2 4" xfId="5633"/>
    <cellStyle name="Normal 4 3 3 2 2 2 4 2" xfId="5634"/>
    <cellStyle name="Normal 4 3 3 2 2 2 4 2 2" xfId="5635"/>
    <cellStyle name="Normal 4 3 3 2 2 2 4 2 3" xfId="5636"/>
    <cellStyle name="Normal 4 3 3 2 2 2 4 3" xfId="5637"/>
    <cellStyle name="Normal 4 3 3 2 2 2 4 4" xfId="5638"/>
    <cellStyle name="Normal 4 3 3 2 2 2 4 5" xfId="5639"/>
    <cellStyle name="Normal 4 3 3 2 2 2 5" xfId="5640"/>
    <cellStyle name="Normal 4 3 3 2 2 2 5 2" xfId="5641"/>
    <cellStyle name="Normal 4 3 3 2 2 2 5 3" xfId="5642"/>
    <cellStyle name="Normal 4 3 3 2 2 2 6" xfId="5643"/>
    <cellStyle name="Normal 4 3 3 2 2 2 7" xfId="5644"/>
    <cellStyle name="Normal 4 3 3 2 2 2 8" xfId="5645"/>
    <cellStyle name="Normal 4 3 3 2 2 3" xfId="5646"/>
    <cellStyle name="Normal 4 3 3 2 2 3 2" xfId="5647"/>
    <cellStyle name="Normal 4 3 3 2 2 3 2 2" xfId="5648"/>
    <cellStyle name="Normal 4 3 3 2 2 3 2 2 2" xfId="5649"/>
    <cellStyle name="Normal 4 3 3 2 2 3 2 2 3" xfId="5650"/>
    <cellStyle name="Normal 4 3 3 2 2 3 2 3" xfId="5651"/>
    <cellStyle name="Normal 4 3 3 2 2 3 2 4" xfId="5652"/>
    <cellStyle name="Normal 4 3 3 2 2 3 2 5" xfId="5653"/>
    <cellStyle name="Normal 4 3 3 2 2 3 3" xfId="5654"/>
    <cellStyle name="Normal 4 3 3 2 2 3 3 2" xfId="5655"/>
    <cellStyle name="Normal 4 3 3 2 2 3 3 2 2" xfId="5656"/>
    <cellStyle name="Normal 4 3 3 2 2 3 3 2 3" xfId="5657"/>
    <cellStyle name="Normal 4 3 3 2 2 3 3 3" xfId="5658"/>
    <cellStyle name="Normal 4 3 3 2 2 3 3 4" xfId="5659"/>
    <cellStyle name="Normal 4 3 3 2 2 3 3 5" xfId="5660"/>
    <cellStyle name="Normal 4 3 3 2 2 3 4" xfId="5661"/>
    <cellStyle name="Normal 4 3 3 2 2 3 4 2" xfId="5662"/>
    <cellStyle name="Normal 4 3 3 2 2 3 4 3" xfId="5663"/>
    <cellStyle name="Normal 4 3 3 2 2 3 5" xfId="5664"/>
    <cellStyle name="Normal 4 3 3 2 2 3 6" xfId="5665"/>
    <cellStyle name="Normal 4 3 3 2 2 3 7" xfId="5666"/>
    <cellStyle name="Normal 4 3 3 2 2 4" xfId="5667"/>
    <cellStyle name="Normal 4 3 3 2 2 4 2" xfId="5668"/>
    <cellStyle name="Normal 4 3 3 2 2 4 2 2" xfId="5669"/>
    <cellStyle name="Normal 4 3 3 2 2 4 2 3" xfId="5670"/>
    <cellStyle name="Normal 4 3 3 2 2 4 3" xfId="5671"/>
    <cellStyle name="Normal 4 3 3 2 2 4 4" xfId="5672"/>
    <cellStyle name="Normal 4 3 3 2 2 4 5" xfId="5673"/>
    <cellStyle name="Normal 4 3 3 2 2 5" xfId="5674"/>
    <cellStyle name="Normal 4 3 3 2 2 5 2" xfId="5675"/>
    <cellStyle name="Normal 4 3 3 2 2 5 2 2" xfId="5676"/>
    <cellStyle name="Normal 4 3 3 2 2 5 2 3" xfId="5677"/>
    <cellStyle name="Normal 4 3 3 2 2 5 3" xfId="5678"/>
    <cellStyle name="Normal 4 3 3 2 2 5 4" xfId="5679"/>
    <cellStyle name="Normal 4 3 3 2 2 5 5" xfId="5680"/>
    <cellStyle name="Normal 4 3 3 2 2 6" xfId="5681"/>
    <cellStyle name="Normal 4 3 3 2 2 6 2" xfId="5682"/>
    <cellStyle name="Normal 4 3 3 2 2 6 3" xfId="5683"/>
    <cellStyle name="Normal 4 3 3 2 2 7" xfId="5684"/>
    <cellStyle name="Normal 4 3 3 2 2 8" xfId="5685"/>
    <cellStyle name="Normal 4 3 3 2 2 9" xfId="5686"/>
    <cellStyle name="Normal 4 3 3 2 3" xfId="5687"/>
    <cellStyle name="Normal 4 3 3 2 3 2" xfId="5688"/>
    <cellStyle name="Normal 4 3 3 2 3 2 2" xfId="5689"/>
    <cellStyle name="Normal 4 3 3 2 3 2 2 2" xfId="5690"/>
    <cellStyle name="Normal 4 3 3 2 3 2 2 2 2" xfId="5691"/>
    <cellStyle name="Normal 4 3 3 2 3 2 2 2 2 2" xfId="5692"/>
    <cellStyle name="Normal 4 3 3 2 3 2 2 2 2 3" xfId="5693"/>
    <cellStyle name="Normal 4 3 3 2 3 2 2 2 3" xfId="5694"/>
    <cellStyle name="Normal 4 3 3 2 3 2 2 2 4" xfId="5695"/>
    <cellStyle name="Normal 4 3 3 2 3 2 2 2 5" xfId="5696"/>
    <cellStyle name="Normal 4 3 3 2 3 2 2 3" xfId="5697"/>
    <cellStyle name="Normal 4 3 3 2 3 2 2 3 2" xfId="5698"/>
    <cellStyle name="Normal 4 3 3 2 3 2 2 3 2 2" xfId="5699"/>
    <cellStyle name="Normal 4 3 3 2 3 2 2 3 2 3" xfId="5700"/>
    <cellStyle name="Normal 4 3 3 2 3 2 2 3 3" xfId="5701"/>
    <cellStyle name="Normal 4 3 3 2 3 2 2 3 4" xfId="5702"/>
    <cellStyle name="Normal 4 3 3 2 3 2 2 3 5" xfId="5703"/>
    <cellStyle name="Normal 4 3 3 2 3 2 2 4" xfId="5704"/>
    <cellStyle name="Normal 4 3 3 2 3 2 2 4 2" xfId="5705"/>
    <cellStyle name="Normal 4 3 3 2 3 2 2 4 3" xfId="5706"/>
    <cellStyle name="Normal 4 3 3 2 3 2 2 5" xfId="5707"/>
    <cellStyle name="Normal 4 3 3 2 3 2 2 6" xfId="5708"/>
    <cellStyle name="Normal 4 3 3 2 3 2 2 7" xfId="5709"/>
    <cellStyle name="Normal 4 3 3 2 3 2 3" xfId="5710"/>
    <cellStyle name="Normal 4 3 3 2 3 2 3 2" xfId="5711"/>
    <cellStyle name="Normal 4 3 3 2 3 2 3 2 2" xfId="5712"/>
    <cellStyle name="Normal 4 3 3 2 3 2 3 2 3" xfId="5713"/>
    <cellStyle name="Normal 4 3 3 2 3 2 3 3" xfId="5714"/>
    <cellStyle name="Normal 4 3 3 2 3 2 3 4" xfId="5715"/>
    <cellStyle name="Normal 4 3 3 2 3 2 3 5" xfId="5716"/>
    <cellStyle name="Normal 4 3 3 2 3 2 4" xfId="5717"/>
    <cellStyle name="Normal 4 3 3 2 3 2 4 2" xfId="5718"/>
    <cellStyle name="Normal 4 3 3 2 3 2 4 2 2" xfId="5719"/>
    <cellStyle name="Normal 4 3 3 2 3 2 4 2 3" xfId="5720"/>
    <cellStyle name="Normal 4 3 3 2 3 2 4 3" xfId="5721"/>
    <cellStyle name="Normal 4 3 3 2 3 2 4 4" xfId="5722"/>
    <cellStyle name="Normal 4 3 3 2 3 2 4 5" xfId="5723"/>
    <cellStyle name="Normal 4 3 3 2 3 2 5" xfId="5724"/>
    <cellStyle name="Normal 4 3 3 2 3 2 5 2" xfId="5725"/>
    <cellStyle name="Normal 4 3 3 2 3 2 5 3" xfId="5726"/>
    <cellStyle name="Normal 4 3 3 2 3 2 6" xfId="5727"/>
    <cellStyle name="Normal 4 3 3 2 3 2 7" xfId="5728"/>
    <cellStyle name="Normal 4 3 3 2 3 2 8" xfId="5729"/>
    <cellStyle name="Normal 4 3 3 2 3 3" xfId="5730"/>
    <cellStyle name="Normal 4 3 3 2 3 3 2" xfId="5731"/>
    <cellStyle name="Normal 4 3 3 2 3 3 2 2" xfId="5732"/>
    <cellStyle name="Normal 4 3 3 2 3 3 2 2 2" xfId="5733"/>
    <cellStyle name="Normal 4 3 3 2 3 3 2 2 3" xfId="5734"/>
    <cellStyle name="Normal 4 3 3 2 3 3 2 3" xfId="5735"/>
    <cellStyle name="Normal 4 3 3 2 3 3 2 4" xfId="5736"/>
    <cellStyle name="Normal 4 3 3 2 3 3 2 5" xfId="5737"/>
    <cellStyle name="Normal 4 3 3 2 3 3 3" xfId="5738"/>
    <cellStyle name="Normal 4 3 3 2 3 3 3 2" xfId="5739"/>
    <cellStyle name="Normal 4 3 3 2 3 3 3 2 2" xfId="5740"/>
    <cellStyle name="Normal 4 3 3 2 3 3 3 2 3" xfId="5741"/>
    <cellStyle name="Normal 4 3 3 2 3 3 3 3" xfId="5742"/>
    <cellStyle name="Normal 4 3 3 2 3 3 3 4" xfId="5743"/>
    <cellStyle name="Normal 4 3 3 2 3 3 3 5" xfId="5744"/>
    <cellStyle name="Normal 4 3 3 2 3 3 4" xfId="5745"/>
    <cellStyle name="Normal 4 3 3 2 3 3 4 2" xfId="5746"/>
    <cellStyle name="Normal 4 3 3 2 3 3 4 3" xfId="5747"/>
    <cellStyle name="Normal 4 3 3 2 3 3 5" xfId="5748"/>
    <cellStyle name="Normal 4 3 3 2 3 3 6" xfId="5749"/>
    <cellStyle name="Normal 4 3 3 2 3 3 7" xfId="5750"/>
    <cellStyle name="Normal 4 3 3 2 3 4" xfId="5751"/>
    <cellStyle name="Normal 4 3 3 2 3 4 2" xfId="5752"/>
    <cellStyle name="Normal 4 3 3 2 3 4 2 2" xfId="5753"/>
    <cellStyle name="Normal 4 3 3 2 3 4 2 3" xfId="5754"/>
    <cellStyle name="Normal 4 3 3 2 3 4 3" xfId="5755"/>
    <cellStyle name="Normal 4 3 3 2 3 4 4" xfId="5756"/>
    <cellStyle name="Normal 4 3 3 2 3 4 5" xfId="5757"/>
    <cellStyle name="Normal 4 3 3 2 3 5" xfId="5758"/>
    <cellStyle name="Normal 4 3 3 2 3 5 2" xfId="5759"/>
    <cellStyle name="Normal 4 3 3 2 3 5 2 2" xfId="5760"/>
    <cellStyle name="Normal 4 3 3 2 3 5 2 3" xfId="5761"/>
    <cellStyle name="Normal 4 3 3 2 3 5 3" xfId="5762"/>
    <cellStyle name="Normal 4 3 3 2 3 5 4" xfId="5763"/>
    <cellStyle name="Normal 4 3 3 2 3 5 5" xfId="5764"/>
    <cellStyle name="Normal 4 3 3 2 3 6" xfId="5765"/>
    <cellStyle name="Normal 4 3 3 2 3 6 2" xfId="5766"/>
    <cellStyle name="Normal 4 3 3 2 3 6 3" xfId="5767"/>
    <cellStyle name="Normal 4 3 3 2 3 7" xfId="5768"/>
    <cellStyle name="Normal 4 3 3 2 3 8" xfId="5769"/>
    <cellStyle name="Normal 4 3 3 2 3 9" xfId="5770"/>
    <cellStyle name="Normal 4 3 3 2 4" xfId="5771"/>
    <cellStyle name="Normal 4 3 3 2 4 2" xfId="5772"/>
    <cellStyle name="Normal 4 3 3 2 4 2 2" xfId="5773"/>
    <cellStyle name="Normal 4 3 3 2 4 2 2 2" xfId="5774"/>
    <cellStyle name="Normal 4 3 3 2 4 2 2 2 2" xfId="5775"/>
    <cellStyle name="Normal 4 3 3 2 4 2 2 2 2 2" xfId="5776"/>
    <cellStyle name="Normal 4 3 3 2 4 2 2 2 2 3" xfId="5777"/>
    <cellStyle name="Normal 4 3 3 2 4 2 2 2 3" xfId="5778"/>
    <cellStyle name="Normal 4 3 3 2 4 2 2 2 4" xfId="5779"/>
    <cellStyle name="Normal 4 3 3 2 4 2 2 2 5" xfId="5780"/>
    <cellStyle name="Normal 4 3 3 2 4 2 2 3" xfId="5781"/>
    <cellStyle name="Normal 4 3 3 2 4 2 2 3 2" xfId="5782"/>
    <cellStyle name="Normal 4 3 3 2 4 2 2 3 2 2" xfId="5783"/>
    <cellStyle name="Normal 4 3 3 2 4 2 2 3 2 3" xfId="5784"/>
    <cellStyle name="Normal 4 3 3 2 4 2 2 3 3" xfId="5785"/>
    <cellStyle name="Normal 4 3 3 2 4 2 2 3 4" xfId="5786"/>
    <cellStyle name="Normal 4 3 3 2 4 2 2 3 5" xfId="5787"/>
    <cellStyle name="Normal 4 3 3 2 4 2 2 4" xfId="5788"/>
    <cellStyle name="Normal 4 3 3 2 4 2 2 4 2" xfId="5789"/>
    <cellStyle name="Normal 4 3 3 2 4 2 2 4 3" xfId="5790"/>
    <cellStyle name="Normal 4 3 3 2 4 2 2 5" xfId="5791"/>
    <cellStyle name="Normal 4 3 3 2 4 2 2 6" xfId="5792"/>
    <cellStyle name="Normal 4 3 3 2 4 2 2 7" xfId="5793"/>
    <cellStyle name="Normal 4 3 3 2 4 2 3" xfId="5794"/>
    <cellStyle name="Normal 4 3 3 2 4 2 3 2" xfId="5795"/>
    <cellStyle name="Normal 4 3 3 2 4 2 3 2 2" xfId="5796"/>
    <cellStyle name="Normal 4 3 3 2 4 2 3 2 3" xfId="5797"/>
    <cellStyle name="Normal 4 3 3 2 4 2 3 3" xfId="5798"/>
    <cellStyle name="Normal 4 3 3 2 4 2 3 4" xfId="5799"/>
    <cellStyle name="Normal 4 3 3 2 4 2 3 5" xfId="5800"/>
    <cellStyle name="Normal 4 3 3 2 4 2 4" xfId="5801"/>
    <cellStyle name="Normal 4 3 3 2 4 2 4 2" xfId="5802"/>
    <cellStyle name="Normal 4 3 3 2 4 2 4 2 2" xfId="5803"/>
    <cellStyle name="Normal 4 3 3 2 4 2 4 2 3" xfId="5804"/>
    <cellStyle name="Normal 4 3 3 2 4 2 4 3" xfId="5805"/>
    <cellStyle name="Normal 4 3 3 2 4 2 4 4" xfId="5806"/>
    <cellStyle name="Normal 4 3 3 2 4 2 4 5" xfId="5807"/>
    <cellStyle name="Normal 4 3 3 2 4 2 5" xfId="5808"/>
    <cellStyle name="Normal 4 3 3 2 4 2 5 2" xfId="5809"/>
    <cellStyle name="Normal 4 3 3 2 4 2 5 3" xfId="5810"/>
    <cellStyle name="Normal 4 3 3 2 4 2 6" xfId="5811"/>
    <cellStyle name="Normal 4 3 3 2 4 2 7" xfId="5812"/>
    <cellStyle name="Normal 4 3 3 2 4 2 8" xfId="5813"/>
    <cellStyle name="Normal 4 3 3 2 4 3" xfId="5814"/>
    <cellStyle name="Normal 4 3 3 2 4 3 2" xfId="5815"/>
    <cellStyle name="Normal 4 3 3 2 4 3 2 2" xfId="5816"/>
    <cellStyle name="Normal 4 3 3 2 4 3 2 2 2" xfId="5817"/>
    <cellStyle name="Normal 4 3 3 2 4 3 2 2 3" xfId="5818"/>
    <cellStyle name="Normal 4 3 3 2 4 3 2 3" xfId="5819"/>
    <cellStyle name="Normal 4 3 3 2 4 3 2 4" xfId="5820"/>
    <cellStyle name="Normal 4 3 3 2 4 3 2 5" xfId="5821"/>
    <cellStyle name="Normal 4 3 3 2 4 3 3" xfId="5822"/>
    <cellStyle name="Normal 4 3 3 2 4 3 3 2" xfId="5823"/>
    <cellStyle name="Normal 4 3 3 2 4 3 3 2 2" xfId="5824"/>
    <cellStyle name="Normal 4 3 3 2 4 3 3 2 3" xfId="5825"/>
    <cellStyle name="Normal 4 3 3 2 4 3 3 3" xfId="5826"/>
    <cellStyle name="Normal 4 3 3 2 4 3 3 4" xfId="5827"/>
    <cellStyle name="Normal 4 3 3 2 4 3 3 5" xfId="5828"/>
    <cellStyle name="Normal 4 3 3 2 4 3 4" xfId="5829"/>
    <cellStyle name="Normal 4 3 3 2 4 3 4 2" xfId="5830"/>
    <cellStyle name="Normal 4 3 3 2 4 3 4 3" xfId="5831"/>
    <cellStyle name="Normal 4 3 3 2 4 3 5" xfId="5832"/>
    <cellStyle name="Normal 4 3 3 2 4 3 6" xfId="5833"/>
    <cellStyle name="Normal 4 3 3 2 4 3 7" xfId="5834"/>
    <cellStyle name="Normal 4 3 3 2 4 4" xfId="5835"/>
    <cellStyle name="Normal 4 3 3 2 4 4 2" xfId="5836"/>
    <cellStyle name="Normal 4 3 3 2 4 4 2 2" xfId="5837"/>
    <cellStyle name="Normal 4 3 3 2 4 4 2 3" xfId="5838"/>
    <cellStyle name="Normal 4 3 3 2 4 4 3" xfId="5839"/>
    <cellStyle name="Normal 4 3 3 2 4 4 4" xfId="5840"/>
    <cellStyle name="Normal 4 3 3 2 4 4 5" xfId="5841"/>
    <cellStyle name="Normal 4 3 3 2 4 5" xfId="5842"/>
    <cellStyle name="Normal 4 3 3 2 4 5 2" xfId="5843"/>
    <cellStyle name="Normal 4 3 3 2 4 5 2 2" xfId="5844"/>
    <cellStyle name="Normal 4 3 3 2 4 5 2 3" xfId="5845"/>
    <cellStyle name="Normal 4 3 3 2 4 5 3" xfId="5846"/>
    <cellStyle name="Normal 4 3 3 2 4 5 4" xfId="5847"/>
    <cellStyle name="Normal 4 3 3 2 4 5 5" xfId="5848"/>
    <cellStyle name="Normal 4 3 3 2 4 6" xfId="5849"/>
    <cellStyle name="Normal 4 3 3 2 4 6 2" xfId="5850"/>
    <cellStyle name="Normal 4 3 3 2 4 6 3" xfId="5851"/>
    <cellStyle name="Normal 4 3 3 2 4 7" xfId="5852"/>
    <cellStyle name="Normal 4 3 3 2 4 8" xfId="5853"/>
    <cellStyle name="Normal 4 3 3 2 4 9" xfId="5854"/>
    <cellStyle name="Normal 4 3 3 2 5" xfId="5855"/>
    <cellStyle name="Normal 4 3 3 2 5 2" xfId="5856"/>
    <cellStyle name="Normal 4 3 3 2 5 2 2" xfId="5857"/>
    <cellStyle name="Normal 4 3 3 2 5 2 2 2" xfId="5858"/>
    <cellStyle name="Normal 4 3 3 2 5 2 2 2 2" xfId="5859"/>
    <cellStyle name="Normal 4 3 3 2 5 2 2 2 3" xfId="5860"/>
    <cellStyle name="Normal 4 3 3 2 5 2 2 3" xfId="5861"/>
    <cellStyle name="Normal 4 3 3 2 5 2 2 4" xfId="5862"/>
    <cellStyle name="Normal 4 3 3 2 5 2 2 5" xfId="5863"/>
    <cellStyle name="Normal 4 3 3 2 5 2 3" xfId="5864"/>
    <cellStyle name="Normal 4 3 3 2 5 2 3 2" xfId="5865"/>
    <cellStyle name="Normal 4 3 3 2 5 2 3 2 2" xfId="5866"/>
    <cellStyle name="Normal 4 3 3 2 5 2 3 2 3" xfId="5867"/>
    <cellStyle name="Normal 4 3 3 2 5 2 3 3" xfId="5868"/>
    <cellStyle name="Normal 4 3 3 2 5 2 3 4" xfId="5869"/>
    <cellStyle name="Normal 4 3 3 2 5 2 3 5" xfId="5870"/>
    <cellStyle name="Normal 4 3 3 2 5 2 4" xfId="5871"/>
    <cellStyle name="Normal 4 3 3 2 5 2 4 2" xfId="5872"/>
    <cellStyle name="Normal 4 3 3 2 5 2 4 3" xfId="5873"/>
    <cellStyle name="Normal 4 3 3 2 5 2 5" xfId="5874"/>
    <cellStyle name="Normal 4 3 3 2 5 2 6" xfId="5875"/>
    <cellStyle name="Normal 4 3 3 2 5 2 7" xfId="5876"/>
    <cellStyle name="Normal 4 3 3 2 5 3" xfId="5877"/>
    <cellStyle name="Normal 4 3 3 2 5 3 2" xfId="5878"/>
    <cellStyle name="Normal 4 3 3 2 5 3 2 2" xfId="5879"/>
    <cellStyle name="Normal 4 3 3 2 5 3 2 3" xfId="5880"/>
    <cellStyle name="Normal 4 3 3 2 5 3 3" xfId="5881"/>
    <cellStyle name="Normal 4 3 3 2 5 3 4" xfId="5882"/>
    <cellStyle name="Normal 4 3 3 2 5 3 5" xfId="5883"/>
    <cellStyle name="Normal 4 3 3 2 5 4" xfId="5884"/>
    <cellStyle name="Normal 4 3 3 2 5 4 2" xfId="5885"/>
    <cellStyle name="Normal 4 3 3 2 5 4 2 2" xfId="5886"/>
    <cellStyle name="Normal 4 3 3 2 5 4 2 3" xfId="5887"/>
    <cellStyle name="Normal 4 3 3 2 5 4 3" xfId="5888"/>
    <cellStyle name="Normal 4 3 3 2 5 4 4" xfId="5889"/>
    <cellStyle name="Normal 4 3 3 2 5 4 5" xfId="5890"/>
    <cellStyle name="Normal 4 3 3 2 5 5" xfId="5891"/>
    <cellStyle name="Normal 4 3 3 2 5 5 2" xfId="5892"/>
    <cellStyle name="Normal 4 3 3 2 5 5 3" xfId="5893"/>
    <cellStyle name="Normal 4 3 3 2 5 6" xfId="5894"/>
    <cellStyle name="Normal 4 3 3 2 5 7" xfId="5895"/>
    <cellStyle name="Normal 4 3 3 2 5 8" xfId="5896"/>
    <cellStyle name="Normal 4 3 3 2 6" xfId="5897"/>
    <cellStyle name="Normal 4 3 3 2 6 2" xfId="5898"/>
    <cellStyle name="Normal 4 3 3 2 6 2 2" xfId="5899"/>
    <cellStyle name="Normal 4 3 3 2 6 2 2 2" xfId="5900"/>
    <cellStyle name="Normal 4 3 3 2 6 2 2 3" xfId="5901"/>
    <cellStyle name="Normal 4 3 3 2 6 2 3" xfId="5902"/>
    <cellStyle name="Normal 4 3 3 2 6 2 4" xfId="5903"/>
    <cellStyle name="Normal 4 3 3 2 6 2 5" xfId="5904"/>
    <cellStyle name="Normal 4 3 3 2 6 3" xfId="5905"/>
    <cellStyle name="Normal 4 3 3 2 6 3 2" xfId="5906"/>
    <cellStyle name="Normal 4 3 3 2 6 3 2 2" xfId="5907"/>
    <cellStyle name="Normal 4 3 3 2 6 3 2 3" xfId="5908"/>
    <cellStyle name="Normal 4 3 3 2 6 3 3" xfId="5909"/>
    <cellStyle name="Normal 4 3 3 2 6 3 4" xfId="5910"/>
    <cellStyle name="Normal 4 3 3 2 6 3 5" xfId="5911"/>
    <cellStyle name="Normal 4 3 3 2 6 4" xfId="5912"/>
    <cellStyle name="Normal 4 3 3 2 6 4 2" xfId="5913"/>
    <cellStyle name="Normal 4 3 3 2 6 4 3" xfId="5914"/>
    <cellStyle name="Normal 4 3 3 2 6 5" xfId="5915"/>
    <cellStyle name="Normal 4 3 3 2 6 6" xfId="5916"/>
    <cellStyle name="Normal 4 3 3 2 6 7" xfId="5917"/>
    <cellStyle name="Normal 4 3 3 2 7" xfId="5918"/>
    <cellStyle name="Normal 4 3 3 2 7 2" xfId="5919"/>
    <cellStyle name="Normal 4 3 3 2 7 2 2" xfId="5920"/>
    <cellStyle name="Normal 4 3 3 2 7 2 3" xfId="5921"/>
    <cellStyle name="Normal 4 3 3 2 7 3" xfId="5922"/>
    <cellStyle name="Normal 4 3 3 2 7 4" xfId="5923"/>
    <cellStyle name="Normal 4 3 3 2 7 5" xfId="5924"/>
    <cellStyle name="Normal 4 3 3 2 8" xfId="5925"/>
    <cellStyle name="Normal 4 3 3 2 8 2" xfId="5926"/>
    <cellStyle name="Normal 4 3 3 2 8 2 2" xfId="5927"/>
    <cellStyle name="Normal 4 3 3 2 8 2 3" xfId="5928"/>
    <cellStyle name="Normal 4 3 3 2 8 3" xfId="5929"/>
    <cellStyle name="Normal 4 3 3 2 8 4" xfId="5930"/>
    <cellStyle name="Normal 4 3 3 2 8 5" xfId="5931"/>
    <cellStyle name="Normal 4 3 3 2 9" xfId="5932"/>
    <cellStyle name="Normal 4 3 3 2 9 2" xfId="5933"/>
    <cellStyle name="Normal 4 3 3 2 9 3" xfId="5934"/>
    <cellStyle name="Normal 4 3 3 3" xfId="5935"/>
    <cellStyle name="Normal 4 3 3 3 2" xfId="5936"/>
    <cellStyle name="Normal 4 3 3 3 2 2" xfId="5937"/>
    <cellStyle name="Normal 4 3 3 3 2 2 2" xfId="5938"/>
    <cellStyle name="Normal 4 3 3 3 2 2 2 2" xfId="5939"/>
    <cellStyle name="Normal 4 3 3 3 2 2 2 2 2" xfId="5940"/>
    <cellStyle name="Normal 4 3 3 3 2 2 2 2 3" xfId="5941"/>
    <cellStyle name="Normal 4 3 3 3 2 2 2 3" xfId="5942"/>
    <cellStyle name="Normal 4 3 3 3 2 2 2 4" xfId="5943"/>
    <cellStyle name="Normal 4 3 3 3 2 2 2 5" xfId="5944"/>
    <cellStyle name="Normal 4 3 3 3 2 2 3" xfId="5945"/>
    <cellStyle name="Normal 4 3 3 3 2 2 3 2" xfId="5946"/>
    <cellStyle name="Normal 4 3 3 3 2 2 3 2 2" xfId="5947"/>
    <cellStyle name="Normal 4 3 3 3 2 2 3 2 3" xfId="5948"/>
    <cellStyle name="Normal 4 3 3 3 2 2 3 3" xfId="5949"/>
    <cellStyle name="Normal 4 3 3 3 2 2 3 4" xfId="5950"/>
    <cellStyle name="Normal 4 3 3 3 2 2 3 5" xfId="5951"/>
    <cellStyle name="Normal 4 3 3 3 2 2 4" xfId="5952"/>
    <cellStyle name="Normal 4 3 3 3 2 2 4 2" xfId="5953"/>
    <cellStyle name="Normal 4 3 3 3 2 2 4 3" xfId="5954"/>
    <cellStyle name="Normal 4 3 3 3 2 2 5" xfId="5955"/>
    <cellStyle name="Normal 4 3 3 3 2 2 6" xfId="5956"/>
    <cellStyle name="Normal 4 3 3 3 2 2 7" xfId="5957"/>
    <cellStyle name="Normal 4 3 3 3 2 3" xfId="5958"/>
    <cellStyle name="Normal 4 3 3 3 2 3 2" xfId="5959"/>
    <cellStyle name="Normal 4 3 3 3 2 3 2 2" xfId="5960"/>
    <cellStyle name="Normal 4 3 3 3 2 3 2 3" xfId="5961"/>
    <cellStyle name="Normal 4 3 3 3 2 3 3" xfId="5962"/>
    <cellStyle name="Normal 4 3 3 3 2 3 4" xfId="5963"/>
    <cellStyle name="Normal 4 3 3 3 2 3 5" xfId="5964"/>
    <cellStyle name="Normal 4 3 3 3 2 4" xfId="5965"/>
    <cellStyle name="Normal 4 3 3 3 2 4 2" xfId="5966"/>
    <cellStyle name="Normal 4 3 3 3 2 4 2 2" xfId="5967"/>
    <cellStyle name="Normal 4 3 3 3 2 4 2 3" xfId="5968"/>
    <cellStyle name="Normal 4 3 3 3 2 4 3" xfId="5969"/>
    <cellStyle name="Normal 4 3 3 3 2 4 4" xfId="5970"/>
    <cellStyle name="Normal 4 3 3 3 2 4 5" xfId="5971"/>
    <cellStyle name="Normal 4 3 3 3 2 5" xfId="5972"/>
    <cellStyle name="Normal 4 3 3 3 2 5 2" xfId="5973"/>
    <cellStyle name="Normal 4 3 3 3 2 5 3" xfId="5974"/>
    <cellStyle name="Normal 4 3 3 3 2 6" xfId="5975"/>
    <cellStyle name="Normal 4 3 3 3 2 7" xfId="5976"/>
    <cellStyle name="Normal 4 3 3 3 2 8" xfId="5977"/>
    <cellStyle name="Normal 4 3 3 3 3" xfId="5978"/>
    <cellStyle name="Normal 4 3 3 3 3 2" xfId="5979"/>
    <cellStyle name="Normal 4 3 3 3 3 2 2" xfId="5980"/>
    <cellStyle name="Normal 4 3 3 3 3 2 2 2" xfId="5981"/>
    <cellStyle name="Normal 4 3 3 3 3 2 2 3" xfId="5982"/>
    <cellStyle name="Normal 4 3 3 3 3 2 3" xfId="5983"/>
    <cellStyle name="Normal 4 3 3 3 3 2 4" xfId="5984"/>
    <cellStyle name="Normal 4 3 3 3 3 2 5" xfId="5985"/>
    <cellStyle name="Normal 4 3 3 3 3 3" xfId="5986"/>
    <cellStyle name="Normal 4 3 3 3 3 3 2" xfId="5987"/>
    <cellStyle name="Normal 4 3 3 3 3 3 2 2" xfId="5988"/>
    <cellStyle name="Normal 4 3 3 3 3 3 2 3" xfId="5989"/>
    <cellStyle name="Normal 4 3 3 3 3 3 3" xfId="5990"/>
    <cellStyle name="Normal 4 3 3 3 3 3 4" xfId="5991"/>
    <cellStyle name="Normal 4 3 3 3 3 3 5" xfId="5992"/>
    <cellStyle name="Normal 4 3 3 3 3 4" xfId="5993"/>
    <cellStyle name="Normal 4 3 3 3 3 4 2" xfId="5994"/>
    <cellStyle name="Normal 4 3 3 3 3 4 3" xfId="5995"/>
    <cellStyle name="Normal 4 3 3 3 3 5" xfId="5996"/>
    <cellStyle name="Normal 4 3 3 3 3 6" xfId="5997"/>
    <cellStyle name="Normal 4 3 3 3 3 7" xfId="5998"/>
    <cellStyle name="Normal 4 3 3 3 4" xfId="5999"/>
    <cellStyle name="Normal 4 3 3 3 4 2" xfId="6000"/>
    <cellStyle name="Normal 4 3 3 3 4 2 2" xfId="6001"/>
    <cellStyle name="Normal 4 3 3 3 4 2 3" xfId="6002"/>
    <cellStyle name="Normal 4 3 3 3 4 3" xfId="6003"/>
    <cellStyle name="Normal 4 3 3 3 4 4" xfId="6004"/>
    <cellStyle name="Normal 4 3 3 3 4 5" xfId="6005"/>
    <cellStyle name="Normal 4 3 3 3 5" xfId="6006"/>
    <cellStyle name="Normal 4 3 3 3 5 2" xfId="6007"/>
    <cellStyle name="Normal 4 3 3 3 5 2 2" xfId="6008"/>
    <cellStyle name="Normal 4 3 3 3 5 2 3" xfId="6009"/>
    <cellStyle name="Normal 4 3 3 3 5 3" xfId="6010"/>
    <cellStyle name="Normal 4 3 3 3 5 4" xfId="6011"/>
    <cellStyle name="Normal 4 3 3 3 5 5" xfId="6012"/>
    <cellStyle name="Normal 4 3 3 3 6" xfId="6013"/>
    <cellStyle name="Normal 4 3 3 3 6 2" xfId="6014"/>
    <cellStyle name="Normal 4 3 3 3 6 3" xfId="6015"/>
    <cellStyle name="Normal 4 3 3 3 7" xfId="6016"/>
    <cellStyle name="Normal 4 3 3 3 8" xfId="6017"/>
    <cellStyle name="Normal 4 3 3 3 9" xfId="6018"/>
    <cellStyle name="Normal 4 3 3 4" xfId="6019"/>
    <cellStyle name="Normal 4 3 3 4 2" xfId="6020"/>
    <cellStyle name="Normal 4 3 3 4 2 2" xfId="6021"/>
    <cellStyle name="Normal 4 3 3 4 2 2 2" xfId="6022"/>
    <cellStyle name="Normal 4 3 3 4 2 2 2 2" xfId="6023"/>
    <cellStyle name="Normal 4 3 3 4 2 2 2 2 2" xfId="6024"/>
    <cellStyle name="Normal 4 3 3 4 2 2 2 2 3" xfId="6025"/>
    <cellStyle name="Normal 4 3 3 4 2 2 2 3" xfId="6026"/>
    <cellStyle name="Normal 4 3 3 4 2 2 2 4" xfId="6027"/>
    <cellStyle name="Normal 4 3 3 4 2 2 2 5" xfId="6028"/>
    <cellStyle name="Normal 4 3 3 4 2 2 3" xfId="6029"/>
    <cellStyle name="Normal 4 3 3 4 2 2 3 2" xfId="6030"/>
    <cellStyle name="Normal 4 3 3 4 2 2 3 2 2" xfId="6031"/>
    <cellStyle name="Normal 4 3 3 4 2 2 3 2 3" xfId="6032"/>
    <cellStyle name="Normal 4 3 3 4 2 2 3 3" xfId="6033"/>
    <cellStyle name="Normal 4 3 3 4 2 2 3 4" xfId="6034"/>
    <cellStyle name="Normal 4 3 3 4 2 2 3 5" xfId="6035"/>
    <cellStyle name="Normal 4 3 3 4 2 2 4" xfId="6036"/>
    <cellStyle name="Normal 4 3 3 4 2 2 4 2" xfId="6037"/>
    <cellStyle name="Normal 4 3 3 4 2 2 4 3" xfId="6038"/>
    <cellStyle name="Normal 4 3 3 4 2 2 5" xfId="6039"/>
    <cellStyle name="Normal 4 3 3 4 2 2 6" xfId="6040"/>
    <cellStyle name="Normal 4 3 3 4 2 2 7" xfId="6041"/>
    <cellStyle name="Normal 4 3 3 4 2 3" xfId="6042"/>
    <cellStyle name="Normal 4 3 3 4 2 3 2" xfId="6043"/>
    <cellStyle name="Normal 4 3 3 4 2 3 2 2" xfId="6044"/>
    <cellStyle name="Normal 4 3 3 4 2 3 2 3" xfId="6045"/>
    <cellStyle name="Normal 4 3 3 4 2 3 3" xfId="6046"/>
    <cellStyle name="Normal 4 3 3 4 2 3 4" xfId="6047"/>
    <cellStyle name="Normal 4 3 3 4 2 3 5" xfId="6048"/>
    <cellStyle name="Normal 4 3 3 4 2 4" xfId="6049"/>
    <cellStyle name="Normal 4 3 3 4 2 4 2" xfId="6050"/>
    <cellStyle name="Normal 4 3 3 4 2 4 2 2" xfId="6051"/>
    <cellStyle name="Normal 4 3 3 4 2 4 2 3" xfId="6052"/>
    <cellStyle name="Normal 4 3 3 4 2 4 3" xfId="6053"/>
    <cellStyle name="Normal 4 3 3 4 2 4 4" xfId="6054"/>
    <cellStyle name="Normal 4 3 3 4 2 4 5" xfId="6055"/>
    <cellStyle name="Normal 4 3 3 4 2 5" xfId="6056"/>
    <cellStyle name="Normal 4 3 3 4 2 5 2" xfId="6057"/>
    <cellStyle name="Normal 4 3 3 4 2 5 3" xfId="6058"/>
    <cellStyle name="Normal 4 3 3 4 2 6" xfId="6059"/>
    <cellStyle name="Normal 4 3 3 4 2 7" xfId="6060"/>
    <cellStyle name="Normal 4 3 3 4 2 8" xfId="6061"/>
    <cellStyle name="Normal 4 3 3 4 3" xfId="6062"/>
    <cellStyle name="Normal 4 3 3 4 3 2" xfId="6063"/>
    <cellStyle name="Normal 4 3 3 4 3 2 2" xfId="6064"/>
    <cellStyle name="Normal 4 3 3 4 3 2 2 2" xfId="6065"/>
    <cellStyle name="Normal 4 3 3 4 3 2 2 3" xfId="6066"/>
    <cellStyle name="Normal 4 3 3 4 3 2 3" xfId="6067"/>
    <cellStyle name="Normal 4 3 3 4 3 2 4" xfId="6068"/>
    <cellStyle name="Normal 4 3 3 4 3 2 5" xfId="6069"/>
    <cellStyle name="Normal 4 3 3 4 3 3" xfId="6070"/>
    <cellStyle name="Normal 4 3 3 4 3 3 2" xfId="6071"/>
    <cellStyle name="Normal 4 3 3 4 3 3 2 2" xfId="6072"/>
    <cellStyle name="Normal 4 3 3 4 3 3 2 3" xfId="6073"/>
    <cellStyle name="Normal 4 3 3 4 3 3 3" xfId="6074"/>
    <cellStyle name="Normal 4 3 3 4 3 3 4" xfId="6075"/>
    <cellStyle name="Normal 4 3 3 4 3 3 5" xfId="6076"/>
    <cellStyle name="Normal 4 3 3 4 3 4" xfId="6077"/>
    <cellStyle name="Normal 4 3 3 4 3 4 2" xfId="6078"/>
    <cellStyle name="Normal 4 3 3 4 3 4 3" xfId="6079"/>
    <cellStyle name="Normal 4 3 3 4 3 5" xfId="6080"/>
    <cellStyle name="Normal 4 3 3 4 3 6" xfId="6081"/>
    <cellStyle name="Normal 4 3 3 4 3 7" xfId="6082"/>
    <cellStyle name="Normal 4 3 3 4 4" xfId="6083"/>
    <cellStyle name="Normal 4 3 3 4 4 2" xfId="6084"/>
    <cellStyle name="Normal 4 3 3 4 4 2 2" xfId="6085"/>
    <cellStyle name="Normal 4 3 3 4 4 2 3" xfId="6086"/>
    <cellStyle name="Normal 4 3 3 4 4 3" xfId="6087"/>
    <cellStyle name="Normal 4 3 3 4 4 4" xfId="6088"/>
    <cellStyle name="Normal 4 3 3 4 4 5" xfId="6089"/>
    <cellStyle name="Normal 4 3 3 4 5" xfId="6090"/>
    <cellStyle name="Normal 4 3 3 4 5 2" xfId="6091"/>
    <cellStyle name="Normal 4 3 3 4 5 2 2" xfId="6092"/>
    <cellStyle name="Normal 4 3 3 4 5 2 3" xfId="6093"/>
    <cellStyle name="Normal 4 3 3 4 5 3" xfId="6094"/>
    <cellStyle name="Normal 4 3 3 4 5 4" xfId="6095"/>
    <cellStyle name="Normal 4 3 3 4 5 5" xfId="6096"/>
    <cellStyle name="Normal 4 3 3 4 6" xfId="6097"/>
    <cellStyle name="Normal 4 3 3 4 6 2" xfId="6098"/>
    <cellStyle name="Normal 4 3 3 4 6 3" xfId="6099"/>
    <cellStyle name="Normal 4 3 3 4 7" xfId="6100"/>
    <cellStyle name="Normal 4 3 3 4 8" xfId="6101"/>
    <cellStyle name="Normal 4 3 3 4 9" xfId="6102"/>
    <cellStyle name="Normal 4 3 3 5" xfId="6103"/>
    <cellStyle name="Normal 4 3 3 5 2" xfId="6104"/>
    <cellStyle name="Normal 4 3 3 5 2 2" xfId="6105"/>
    <cellStyle name="Normal 4 3 3 5 2 2 2" xfId="6106"/>
    <cellStyle name="Normal 4 3 3 5 2 2 2 2" xfId="6107"/>
    <cellStyle name="Normal 4 3 3 5 2 2 2 2 2" xfId="6108"/>
    <cellStyle name="Normal 4 3 3 5 2 2 2 2 3" xfId="6109"/>
    <cellStyle name="Normal 4 3 3 5 2 2 2 3" xfId="6110"/>
    <cellStyle name="Normal 4 3 3 5 2 2 2 4" xfId="6111"/>
    <cellStyle name="Normal 4 3 3 5 2 2 2 5" xfId="6112"/>
    <cellStyle name="Normal 4 3 3 5 2 2 3" xfId="6113"/>
    <cellStyle name="Normal 4 3 3 5 2 2 3 2" xfId="6114"/>
    <cellStyle name="Normal 4 3 3 5 2 2 3 2 2" xfId="6115"/>
    <cellStyle name="Normal 4 3 3 5 2 2 3 2 3" xfId="6116"/>
    <cellStyle name="Normal 4 3 3 5 2 2 3 3" xfId="6117"/>
    <cellStyle name="Normal 4 3 3 5 2 2 3 4" xfId="6118"/>
    <cellStyle name="Normal 4 3 3 5 2 2 3 5" xfId="6119"/>
    <cellStyle name="Normal 4 3 3 5 2 2 4" xfId="6120"/>
    <cellStyle name="Normal 4 3 3 5 2 2 4 2" xfId="6121"/>
    <cellStyle name="Normal 4 3 3 5 2 2 4 3" xfId="6122"/>
    <cellStyle name="Normal 4 3 3 5 2 2 5" xfId="6123"/>
    <cellStyle name="Normal 4 3 3 5 2 2 6" xfId="6124"/>
    <cellStyle name="Normal 4 3 3 5 2 2 7" xfId="6125"/>
    <cellStyle name="Normal 4 3 3 5 2 3" xfId="6126"/>
    <cellStyle name="Normal 4 3 3 5 2 3 2" xfId="6127"/>
    <cellStyle name="Normal 4 3 3 5 2 3 2 2" xfId="6128"/>
    <cellStyle name="Normal 4 3 3 5 2 3 2 3" xfId="6129"/>
    <cellStyle name="Normal 4 3 3 5 2 3 3" xfId="6130"/>
    <cellStyle name="Normal 4 3 3 5 2 3 4" xfId="6131"/>
    <cellStyle name="Normal 4 3 3 5 2 3 5" xfId="6132"/>
    <cellStyle name="Normal 4 3 3 5 2 4" xfId="6133"/>
    <cellStyle name="Normal 4 3 3 5 2 4 2" xfId="6134"/>
    <cellStyle name="Normal 4 3 3 5 2 4 2 2" xfId="6135"/>
    <cellStyle name="Normal 4 3 3 5 2 4 2 3" xfId="6136"/>
    <cellStyle name="Normal 4 3 3 5 2 4 3" xfId="6137"/>
    <cellStyle name="Normal 4 3 3 5 2 4 4" xfId="6138"/>
    <cellStyle name="Normal 4 3 3 5 2 4 5" xfId="6139"/>
    <cellStyle name="Normal 4 3 3 5 2 5" xfId="6140"/>
    <cellStyle name="Normal 4 3 3 5 2 5 2" xfId="6141"/>
    <cellStyle name="Normal 4 3 3 5 2 5 3" xfId="6142"/>
    <cellStyle name="Normal 4 3 3 5 2 6" xfId="6143"/>
    <cellStyle name="Normal 4 3 3 5 2 7" xfId="6144"/>
    <cellStyle name="Normal 4 3 3 5 2 8" xfId="6145"/>
    <cellStyle name="Normal 4 3 3 5 3" xfId="6146"/>
    <cellStyle name="Normal 4 3 3 5 3 2" xfId="6147"/>
    <cellStyle name="Normal 4 3 3 5 3 2 2" xfId="6148"/>
    <cellStyle name="Normal 4 3 3 5 3 2 2 2" xfId="6149"/>
    <cellStyle name="Normal 4 3 3 5 3 2 2 3" xfId="6150"/>
    <cellStyle name="Normal 4 3 3 5 3 2 3" xfId="6151"/>
    <cellStyle name="Normal 4 3 3 5 3 2 4" xfId="6152"/>
    <cellStyle name="Normal 4 3 3 5 3 2 5" xfId="6153"/>
    <cellStyle name="Normal 4 3 3 5 3 3" xfId="6154"/>
    <cellStyle name="Normal 4 3 3 5 3 3 2" xfId="6155"/>
    <cellStyle name="Normal 4 3 3 5 3 3 2 2" xfId="6156"/>
    <cellStyle name="Normal 4 3 3 5 3 3 2 3" xfId="6157"/>
    <cellStyle name="Normal 4 3 3 5 3 3 3" xfId="6158"/>
    <cellStyle name="Normal 4 3 3 5 3 3 4" xfId="6159"/>
    <cellStyle name="Normal 4 3 3 5 3 3 5" xfId="6160"/>
    <cellStyle name="Normal 4 3 3 5 3 4" xfId="6161"/>
    <cellStyle name="Normal 4 3 3 5 3 4 2" xfId="6162"/>
    <cellStyle name="Normal 4 3 3 5 3 4 3" xfId="6163"/>
    <cellStyle name="Normal 4 3 3 5 3 5" xfId="6164"/>
    <cellStyle name="Normal 4 3 3 5 3 6" xfId="6165"/>
    <cellStyle name="Normal 4 3 3 5 3 7" xfId="6166"/>
    <cellStyle name="Normal 4 3 3 5 4" xfId="6167"/>
    <cellStyle name="Normal 4 3 3 5 4 2" xfId="6168"/>
    <cellStyle name="Normal 4 3 3 5 4 2 2" xfId="6169"/>
    <cellStyle name="Normal 4 3 3 5 4 2 3" xfId="6170"/>
    <cellStyle name="Normal 4 3 3 5 4 3" xfId="6171"/>
    <cellStyle name="Normal 4 3 3 5 4 4" xfId="6172"/>
    <cellStyle name="Normal 4 3 3 5 4 5" xfId="6173"/>
    <cellStyle name="Normal 4 3 3 5 5" xfId="6174"/>
    <cellStyle name="Normal 4 3 3 5 5 2" xfId="6175"/>
    <cellStyle name="Normal 4 3 3 5 5 2 2" xfId="6176"/>
    <cellStyle name="Normal 4 3 3 5 5 2 3" xfId="6177"/>
    <cellStyle name="Normal 4 3 3 5 5 3" xfId="6178"/>
    <cellStyle name="Normal 4 3 3 5 5 4" xfId="6179"/>
    <cellStyle name="Normal 4 3 3 5 5 5" xfId="6180"/>
    <cellStyle name="Normal 4 3 3 5 6" xfId="6181"/>
    <cellStyle name="Normal 4 3 3 5 6 2" xfId="6182"/>
    <cellStyle name="Normal 4 3 3 5 6 3" xfId="6183"/>
    <cellStyle name="Normal 4 3 3 5 7" xfId="6184"/>
    <cellStyle name="Normal 4 3 3 5 8" xfId="6185"/>
    <cellStyle name="Normal 4 3 3 5 9" xfId="6186"/>
    <cellStyle name="Normal 4 3 3 6" xfId="6187"/>
    <cellStyle name="Normal 4 3 3 6 2" xfId="6188"/>
    <cellStyle name="Normal 4 3 3 6 2 2" xfId="6189"/>
    <cellStyle name="Normal 4 3 3 6 2 2 2" xfId="6190"/>
    <cellStyle name="Normal 4 3 3 6 2 2 2 2" xfId="6191"/>
    <cellStyle name="Normal 4 3 3 6 2 2 2 3" xfId="6192"/>
    <cellStyle name="Normal 4 3 3 6 2 2 3" xfId="6193"/>
    <cellStyle name="Normal 4 3 3 6 2 2 4" xfId="6194"/>
    <cellStyle name="Normal 4 3 3 6 2 2 5" xfId="6195"/>
    <cellStyle name="Normal 4 3 3 6 2 3" xfId="6196"/>
    <cellStyle name="Normal 4 3 3 6 2 3 2" xfId="6197"/>
    <cellStyle name="Normal 4 3 3 6 2 3 2 2" xfId="6198"/>
    <cellStyle name="Normal 4 3 3 6 2 3 2 3" xfId="6199"/>
    <cellStyle name="Normal 4 3 3 6 2 3 3" xfId="6200"/>
    <cellStyle name="Normal 4 3 3 6 2 3 4" xfId="6201"/>
    <cellStyle name="Normal 4 3 3 6 2 3 5" xfId="6202"/>
    <cellStyle name="Normal 4 3 3 6 2 4" xfId="6203"/>
    <cellStyle name="Normal 4 3 3 6 2 4 2" xfId="6204"/>
    <cellStyle name="Normal 4 3 3 6 2 4 3" xfId="6205"/>
    <cellStyle name="Normal 4 3 3 6 2 5" xfId="6206"/>
    <cellStyle name="Normal 4 3 3 6 2 6" xfId="6207"/>
    <cellStyle name="Normal 4 3 3 6 2 7" xfId="6208"/>
    <cellStyle name="Normal 4 3 3 6 3" xfId="6209"/>
    <cellStyle name="Normal 4 3 3 6 3 2" xfId="6210"/>
    <cellStyle name="Normal 4 3 3 6 3 2 2" xfId="6211"/>
    <cellStyle name="Normal 4 3 3 6 3 2 3" xfId="6212"/>
    <cellStyle name="Normal 4 3 3 6 3 3" xfId="6213"/>
    <cellStyle name="Normal 4 3 3 6 3 4" xfId="6214"/>
    <cellStyle name="Normal 4 3 3 6 3 5" xfId="6215"/>
    <cellStyle name="Normal 4 3 3 6 4" xfId="6216"/>
    <cellStyle name="Normal 4 3 3 6 4 2" xfId="6217"/>
    <cellStyle name="Normal 4 3 3 6 4 2 2" xfId="6218"/>
    <cellStyle name="Normal 4 3 3 6 4 2 3" xfId="6219"/>
    <cellStyle name="Normal 4 3 3 6 4 3" xfId="6220"/>
    <cellStyle name="Normal 4 3 3 6 4 4" xfId="6221"/>
    <cellStyle name="Normal 4 3 3 6 4 5" xfId="6222"/>
    <cellStyle name="Normal 4 3 3 6 5" xfId="6223"/>
    <cellStyle name="Normal 4 3 3 6 5 2" xfId="6224"/>
    <cellStyle name="Normal 4 3 3 6 5 3" xfId="6225"/>
    <cellStyle name="Normal 4 3 3 6 6" xfId="6226"/>
    <cellStyle name="Normal 4 3 3 6 7" xfId="6227"/>
    <cellStyle name="Normal 4 3 3 6 8" xfId="6228"/>
    <cellStyle name="Normal 4 3 3 7" xfId="6229"/>
    <cellStyle name="Normal 4 3 3 7 2" xfId="6230"/>
    <cellStyle name="Normal 4 3 3 7 2 2" xfId="6231"/>
    <cellStyle name="Normal 4 3 3 7 2 2 2" xfId="6232"/>
    <cellStyle name="Normal 4 3 3 7 2 2 3" xfId="6233"/>
    <cellStyle name="Normal 4 3 3 7 2 3" xfId="6234"/>
    <cellStyle name="Normal 4 3 3 7 2 4" xfId="6235"/>
    <cellStyle name="Normal 4 3 3 7 2 5" xfId="6236"/>
    <cellStyle name="Normal 4 3 3 7 3" xfId="6237"/>
    <cellStyle name="Normal 4 3 3 7 3 2" xfId="6238"/>
    <cellStyle name="Normal 4 3 3 7 3 2 2" xfId="6239"/>
    <cellStyle name="Normal 4 3 3 7 3 2 3" xfId="6240"/>
    <cellStyle name="Normal 4 3 3 7 3 3" xfId="6241"/>
    <cellStyle name="Normal 4 3 3 7 3 4" xfId="6242"/>
    <cellStyle name="Normal 4 3 3 7 3 5" xfId="6243"/>
    <cellStyle name="Normal 4 3 3 7 4" xfId="6244"/>
    <cellStyle name="Normal 4 3 3 7 4 2" xfId="6245"/>
    <cellStyle name="Normal 4 3 3 7 4 3" xfId="6246"/>
    <cellStyle name="Normal 4 3 3 7 5" xfId="6247"/>
    <cellStyle name="Normal 4 3 3 7 6" xfId="6248"/>
    <cellStyle name="Normal 4 3 3 7 7" xfId="6249"/>
    <cellStyle name="Normal 4 3 3 8" xfId="6250"/>
    <cellStyle name="Normal 4 3 3 8 2" xfId="6251"/>
    <cellStyle name="Normal 4 3 3 8 2 2" xfId="6252"/>
    <cellStyle name="Normal 4 3 3 8 2 2 2" xfId="6253"/>
    <cellStyle name="Normal 4 3 3 8 2 2 3" xfId="6254"/>
    <cellStyle name="Normal 4 3 3 8 2 3" xfId="6255"/>
    <cellStyle name="Normal 4 3 3 8 2 4" xfId="6256"/>
    <cellStyle name="Normal 4 3 3 8 2 5" xfId="6257"/>
    <cellStyle name="Normal 4 3 3 8 3" xfId="6258"/>
    <cellStyle name="Normal 4 3 3 8 3 2" xfId="6259"/>
    <cellStyle name="Normal 4 3 3 8 3 2 2" xfId="6260"/>
    <cellStyle name="Normal 4 3 3 8 3 2 3" xfId="6261"/>
    <cellStyle name="Normal 4 3 3 8 3 3" xfId="6262"/>
    <cellStyle name="Normal 4 3 3 8 3 4" xfId="6263"/>
    <cellStyle name="Normal 4 3 3 8 3 5" xfId="6264"/>
    <cellStyle name="Normal 4 3 3 8 4" xfId="6265"/>
    <cellStyle name="Normal 4 3 3 8 4 2" xfId="6266"/>
    <cellStyle name="Normal 4 3 3 8 4 3" xfId="6267"/>
    <cellStyle name="Normal 4 3 3 8 5" xfId="6268"/>
    <cellStyle name="Normal 4 3 3 8 6" xfId="6269"/>
    <cellStyle name="Normal 4 3 3 8 7" xfId="6270"/>
    <cellStyle name="Normal 4 3 3 9" xfId="6271"/>
    <cellStyle name="Normal 4 3 3 9 2" xfId="6272"/>
    <cellStyle name="Normal 4 3 3 9 2 2" xfId="6273"/>
    <cellStyle name="Normal 4 3 3 9 2 3" xfId="6274"/>
    <cellStyle name="Normal 4 3 3 9 3" xfId="6275"/>
    <cellStyle name="Normal 4 3 3 9 4" xfId="6276"/>
    <cellStyle name="Normal 4 3 3 9 5" xfId="6277"/>
    <cellStyle name="Normal 4 3 4" xfId="6278"/>
    <cellStyle name="Normal 4 3 4 10" xfId="6279"/>
    <cellStyle name="Normal 4 3 4 11" xfId="6280"/>
    <cellStyle name="Normal 4 3 4 12" xfId="6281"/>
    <cellStyle name="Normal 4 3 4 2" xfId="6282"/>
    <cellStyle name="Normal 4 3 4 2 2" xfId="6283"/>
    <cellStyle name="Normal 4 3 4 2 2 2" xfId="6284"/>
    <cellStyle name="Normal 4 3 4 2 2 2 2" xfId="6285"/>
    <cellStyle name="Normal 4 3 4 2 2 2 2 2" xfId="6286"/>
    <cellStyle name="Normal 4 3 4 2 2 2 2 2 2" xfId="6287"/>
    <cellStyle name="Normal 4 3 4 2 2 2 2 2 3" xfId="6288"/>
    <cellStyle name="Normal 4 3 4 2 2 2 2 3" xfId="6289"/>
    <cellStyle name="Normal 4 3 4 2 2 2 2 4" xfId="6290"/>
    <cellStyle name="Normal 4 3 4 2 2 2 2 5" xfId="6291"/>
    <cellStyle name="Normal 4 3 4 2 2 2 3" xfId="6292"/>
    <cellStyle name="Normal 4 3 4 2 2 2 3 2" xfId="6293"/>
    <cellStyle name="Normal 4 3 4 2 2 2 3 2 2" xfId="6294"/>
    <cellStyle name="Normal 4 3 4 2 2 2 3 2 3" xfId="6295"/>
    <cellStyle name="Normal 4 3 4 2 2 2 3 3" xfId="6296"/>
    <cellStyle name="Normal 4 3 4 2 2 2 3 4" xfId="6297"/>
    <cellStyle name="Normal 4 3 4 2 2 2 3 5" xfId="6298"/>
    <cellStyle name="Normal 4 3 4 2 2 2 4" xfId="6299"/>
    <cellStyle name="Normal 4 3 4 2 2 2 4 2" xfId="6300"/>
    <cellStyle name="Normal 4 3 4 2 2 2 4 3" xfId="6301"/>
    <cellStyle name="Normal 4 3 4 2 2 2 5" xfId="6302"/>
    <cellStyle name="Normal 4 3 4 2 2 2 6" xfId="6303"/>
    <cellStyle name="Normal 4 3 4 2 2 2 7" xfId="6304"/>
    <cellStyle name="Normal 4 3 4 2 2 3" xfId="6305"/>
    <cellStyle name="Normal 4 3 4 2 2 3 2" xfId="6306"/>
    <cellStyle name="Normal 4 3 4 2 2 3 2 2" xfId="6307"/>
    <cellStyle name="Normal 4 3 4 2 2 3 2 3" xfId="6308"/>
    <cellStyle name="Normal 4 3 4 2 2 3 3" xfId="6309"/>
    <cellStyle name="Normal 4 3 4 2 2 3 4" xfId="6310"/>
    <cellStyle name="Normal 4 3 4 2 2 3 5" xfId="6311"/>
    <cellStyle name="Normal 4 3 4 2 2 4" xfId="6312"/>
    <cellStyle name="Normal 4 3 4 2 2 4 2" xfId="6313"/>
    <cellStyle name="Normal 4 3 4 2 2 4 2 2" xfId="6314"/>
    <cellStyle name="Normal 4 3 4 2 2 4 2 3" xfId="6315"/>
    <cellStyle name="Normal 4 3 4 2 2 4 3" xfId="6316"/>
    <cellStyle name="Normal 4 3 4 2 2 4 4" xfId="6317"/>
    <cellStyle name="Normal 4 3 4 2 2 4 5" xfId="6318"/>
    <cellStyle name="Normal 4 3 4 2 2 5" xfId="6319"/>
    <cellStyle name="Normal 4 3 4 2 2 5 2" xfId="6320"/>
    <cellStyle name="Normal 4 3 4 2 2 5 3" xfId="6321"/>
    <cellStyle name="Normal 4 3 4 2 2 6" xfId="6322"/>
    <cellStyle name="Normal 4 3 4 2 2 7" xfId="6323"/>
    <cellStyle name="Normal 4 3 4 2 2 8" xfId="6324"/>
    <cellStyle name="Normal 4 3 4 2 3" xfId="6325"/>
    <cellStyle name="Normal 4 3 4 2 3 2" xfId="6326"/>
    <cellStyle name="Normal 4 3 4 2 3 2 2" xfId="6327"/>
    <cellStyle name="Normal 4 3 4 2 3 2 2 2" xfId="6328"/>
    <cellStyle name="Normal 4 3 4 2 3 2 2 3" xfId="6329"/>
    <cellStyle name="Normal 4 3 4 2 3 2 3" xfId="6330"/>
    <cellStyle name="Normal 4 3 4 2 3 2 4" xfId="6331"/>
    <cellStyle name="Normal 4 3 4 2 3 2 5" xfId="6332"/>
    <cellStyle name="Normal 4 3 4 2 3 3" xfId="6333"/>
    <cellStyle name="Normal 4 3 4 2 3 3 2" xfId="6334"/>
    <cellStyle name="Normal 4 3 4 2 3 3 2 2" xfId="6335"/>
    <cellStyle name="Normal 4 3 4 2 3 3 2 3" xfId="6336"/>
    <cellStyle name="Normal 4 3 4 2 3 3 3" xfId="6337"/>
    <cellStyle name="Normal 4 3 4 2 3 3 4" xfId="6338"/>
    <cellStyle name="Normal 4 3 4 2 3 3 5" xfId="6339"/>
    <cellStyle name="Normal 4 3 4 2 3 4" xfId="6340"/>
    <cellStyle name="Normal 4 3 4 2 3 4 2" xfId="6341"/>
    <cellStyle name="Normal 4 3 4 2 3 4 3" xfId="6342"/>
    <cellStyle name="Normal 4 3 4 2 3 5" xfId="6343"/>
    <cellStyle name="Normal 4 3 4 2 3 6" xfId="6344"/>
    <cellStyle name="Normal 4 3 4 2 3 7" xfId="6345"/>
    <cellStyle name="Normal 4 3 4 2 4" xfId="6346"/>
    <cellStyle name="Normal 4 3 4 2 4 2" xfId="6347"/>
    <cellStyle name="Normal 4 3 4 2 4 2 2" xfId="6348"/>
    <cellStyle name="Normal 4 3 4 2 4 2 3" xfId="6349"/>
    <cellStyle name="Normal 4 3 4 2 4 3" xfId="6350"/>
    <cellStyle name="Normal 4 3 4 2 4 4" xfId="6351"/>
    <cellStyle name="Normal 4 3 4 2 4 5" xfId="6352"/>
    <cellStyle name="Normal 4 3 4 2 5" xfId="6353"/>
    <cellStyle name="Normal 4 3 4 2 5 2" xfId="6354"/>
    <cellStyle name="Normal 4 3 4 2 5 2 2" xfId="6355"/>
    <cellStyle name="Normal 4 3 4 2 5 2 3" xfId="6356"/>
    <cellStyle name="Normal 4 3 4 2 5 3" xfId="6357"/>
    <cellStyle name="Normal 4 3 4 2 5 4" xfId="6358"/>
    <cellStyle name="Normal 4 3 4 2 5 5" xfId="6359"/>
    <cellStyle name="Normal 4 3 4 2 6" xfId="6360"/>
    <cellStyle name="Normal 4 3 4 2 6 2" xfId="6361"/>
    <cellStyle name="Normal 4 3 4 2 6 3" xfId="6362"/>
    <cellStyle name="Normal 4 3 4 2 7" xfId="6363"/>
    <cellStyle name="Normal 4 3 4 2 8" xfId="6364"/>
    <cellStyle name="Normal 4 3 4 2 9" xfId="6365"/>
    <cellStyle name="Normal 4 3 4 3" xfId="6366"/>
    <cellStyle name="Normal 4 3 4 3 2" xfId="6367"/>
    <cellStyle name="Normal 4 3 4 3 2 2" xfId="6368"/>
    <cellStyle name="Normal 4 3 4 3 2 2 2" xfId="6369"/>
    <cellStyle name="Normal 4 3 4 3 2 2 2 2" xfId="6370"/>
    <cellStyle name="Normal 4 3 4 3 2 2 2 2 2" xfId="6371"/>
    <cellStyle name="Normal 4 3 4 3 2 2 2 2 3" xfId="6372"/>
    <cellStyle name="Normal 4 3 4 3 2 2 2 3" xfId="6373"/>
    <cellStyle name="Normal 4 3 4 3 2 2 2 4" xfId="6374"/>
    <cellStyle name="Normal 4 3 4 3 2 2 2 5" xfId="6375"/>
    <cellStyle name="Normal 4 3 4 3 2 2 3" xfId="6376"/>
    <cellStyle name="Normal 4 3 4 3 2 2 3 2" xfId="6377"/>
    <cellStyle name="Normal 4 3 4 3 2 2 3 2 2" xfId="6378"/>
    <cellStyle name="Normal 4 3 4 3 2 2 3 2 3" xfId="6379"/>
    <cellStyle name="Normal 4 3 4 3 2 2 3 3" xfId="6380"/>
    <cellStyle name="Normal 4 3 4 3 2 2 3 4" xfId="6381"/>
    <cellStyle name="Normal 4 3 4 3 2 2 3 5" xfId="6382"/>
    <cellStyle name="Normal 4 3 4 3 2 2 4" xfId="6383"/>
    <cellStyle name="Normal 4 3 4 3 2 2 4 2" xfId="6384"/>
    <cellStyle name="Normal 4 3 4 3 2 2 4 3" xfId="6385"/>
    <cellStyle name="Normal 4 3 4 3 2 2 5" xfId="6386"/>
    <cellStyle name="Normal 4 3 4 3 2 2 6" xfId="6387"/>
    <cellStyle name="Normal 4 3 4 3 2 2 7" xfId="6388"/>
    <cellStyle name="Normal 4 3 4 3 2 3" xfId="6389"/>
    <cellStyle name="Normal 4 3 4 3 2 3 2" xfId="6390"/>
    <cellStyle name="Normal 4 3 4 3 2 3 2 2" xfId="6391"/>
    <cellStyle name="Normal 4 3 4 3 2 3 2 3" xfId="6392"/>
    <cellStyle name="Normal 4 3 4 3 2 3 3" xfId="6393"/>
    <cellStyle name="Normal 4 3 4 3 2 3 4" xfId="6394"/>
    <cellStyle name="Normal 4 3 4 3 2 3 5" xfId="6395"/>
    <cellStyle name="Normal 4 3 4 3 2 4" xfId="6396"/>
    <cellStyle name="Normal 4 3 4 3 2 4 2" xfId="6397"/>
    <cellStyle name="Normal 4 3 4 3 2 4 2 2" xfId="6398"/>
    <cellStyle name="Normal 4 3 4 3 2 4 2 3" xfId="6399"/>
    <cellStyle name="Normal 4 3 4 3 2 4 3" xfId="6400"/>
    <cellStyle name="Normal 4 3 4 3 2 4 4" xfId="6401"/>
    <cellStyle name="Normal 4 3 4 3 2 4 5" xfId="6402"/>
    <cellStyle name="Normal 4 3 4 3 2 5" xfId="6403"/>
    <cellStyle name="Normal 4 3 4 3 2 5 2" xfId="6404"/>
    <cellStyle name="Normal 4 3 4 3 2 5 3" xfId="6405"/>
    <cellStyle name="Normal 4 3 4 3 2 6" xfId="6406"/>
    <cellStyle name="Normal 4 3 4 3 2 7" xfId="6407"/>
    <cellStyle name="Normal 4 3 4 3 2 8" xfId="6408"/>
    <cellStyle name="Normal 4 3 4 3 3" xfId="6409"/>
    <cellStyle name="Normal 4 3 4 3 3 2" xfId="6410"/>
    <cellStyle name="Normal 4 3 4 3 3 2 2" xfId="6411"/>
    <cellStyle name="Normal 4 3 4 3 3 2 2 2" xfId="6412"/>
    <cellStyle name="Normal 4 3 4 3 3 2 2 3" xfId="6413"/>
    <cellStyle name="Normal 4 3 4 3 3 2 3" xfId="6414"/>
    <cellStyle name="Normal 4 3 4 3 3 2 4" xfId="6415"/>
    <cellStyle name="Normal 4 3 4 3 3 2 5" xfId="6416"/>
    <cellStyle name="Normal 4 3 4 3 3 3" xfId="6417"/>
    <cellStyle name="Normal 4 3 4 3 3 3 2" xfId="6418"/>
    <cellStyle name="Normal 4 3 4 3 3 3 2 2" xfId="6419"/>
    <cellStyle name="Normal 4 3 4 3 3 3 2 3" xfId="6420"/>
    <cellStyle name="Normal 4 3 4 3 3 3 3" xfId="6421"/>
    <cellStyle name="Normal 4 3 4 3 3 3 4" xfId="6422"/>
    <cellStyle name="Normal 4 3 4 3 3 3 5" xfId="6423"/>
    <cellStyle name="Normal 4 3 4 3 3 4" xfId="6424"/>
    <cellStyle name="Normal 4 3 4 3 3 4 2" xfId="6425"/>
    <cellStyle name="Normal 4 3 4 3 3 4 3" xfId="6426"/>
    <cellStyle name="Normal 4 3 4 3 3 5" xfId="6427"/>
    <cellStyle name="Normal 4 3 4 3 3 6" xfId="6428"/>
    <cellStyle name="Normal 4 3 4 3 3 7" xfId="6429"/>
    <cellStyle name="Normal 4 3 4 3 4" xfId="6430"/>
    <cellStyle name="Normal 4 3 4 3 4 2" xfId="6431"/>
    <cellStyle name="Normal 4 3 4 3 4 2 2" xfId="6432"/>
    <cellStyle name="Normal 4 3 4 3 4 2 3" xfId="6433"/>
    <cellStyle name="Normal 4 3 4 3 4 3" xfId="6434"/>
    <cellStyle name="Normal 4 3 4 3 4 4" xfId="6435"/>
    <cellStyle name="Normal 4 3 4 3 4 5" xfId="6436"/>
    <cellStyle name="Normal 4 3 4 3 5" xfId="6437"/>
    <cellStyle name="Normal 4 3 4 3 5 2" xfId="6438"/>
    <cellStyle name="Normal 4 3 4 3 5 2 2" xfId="6439"/>
    <cellStyle name="Normal 4 3 4 3 5 2 3" xfId="6440"/>
    <cellStyle name="Normal 4 3 4 3 5 3" xfId="6441"/>
    <cellStyle name="Normal 4 3 4 3 5 4" xfId="6442"/>
    <cellStyle name="Normal 4 3 4 3 5 5" xfId="6443"/>
    <cellStyle name="Normal 4 3 4 3 6" xfId="6444"/>
    <cellStyle name="Normal 4 3 4 3 6 2" xfId="6445"/>
    <cellStyle name="Normal 4 3 4 3 6 3" xfId="6446"/>
    <cellStyle name="Normal 4 3 4 3 7" xfId="6447"/>
    <cellStyle name="Normal 4 3 4 3 8" xfId="6448"/>
    <cellStyle name="Normal 4 3 4 3 9" xfId="6449"/>
    <cellStyle name="Normal 4 3 4 4" xfId="6450"/>
    <cellStyle name="Normal 4 3 4 4 2" xfId="6451"/>
    <cellStyle name="Normal 4 3 4 4 2 2" xfId="6452"/>
    <cellStyle name="Normal 4 3 4 4 2 2 2" xfId="6453"/>
    <cellStyle name="Normal 4 3 4 4 2 2 2 2" xfId="6454"/>
    <cellStyle name="Normal 4 3 4 4 2 2 2 2 2" xfId="6455"/>
    <cellStyle name="Normal 4 3 4 4 2 2 2 2 3" xfId="6456"/>
    <cellStyle name="Normal 4 3 4 4 2 2 2 3" xfId="6457"/>
    <cellStyle name="Normal 4 3 4 4 2 2 2 4" xfId="6458"/>
    <cellStyle name="Normal 4 3 4 4 2 2 2 5" xfId="6459"/>
    <cellStyle name="Normal 4 3 4 4 2 2 3" xfId="6460"/>
    <cellStyle name="Normal 4 3 4 4 2 2 3 2" xfId="6461"/>
    <cellStyle name="Normal 4 3 4 4 2 2 3 2 2" xfId="6462"/>
    <cellStyle name="Normal 4 3 4 4 2 2 3 2 3" xfId="6463"/>
    <cellStyle name="Normal 4 3 4 4 2 2 3 3" xfId="6464"/>
    <cellStyle name="Normal 4 3 4 4 2 2 3 4" xfId="6465"/>
    <cellStyle name="Normal 4 3 4 4 2 2 3 5" xfId="6466"/>
    <cellStyle name="Normal 4 3 4 4 2 2 4" xfId="6467"/>
    <cellStyle name="Normal 4 3 4 4 2 2 4 2" xfId="6468"/>
    <cellStyle name="Normal 4 3 4 4 2 2 4 3" xfId="6469"/>
    <cellStyle name="Normal 4 3 4 4 2 2 5" xfId="6470"/>
    <cellStyle name="Normal 4 3 4 4 2 2 6" xfId="6471"/>
    <cellStyle name="Normal 4 3 4 4 2 2 7" xfId="6472"/>
    <cellStyle name="Normal 4 3 4 4 2 3" xfId="6473"/>
    <cellStyle name="Normal 4 3 4 4 2 3 2" xfId="6474"/>
    <cellStyle name="Normal 4 3 4 4 2 3 2 2" xfId="6475"/>
    <cellStyle name="Normal 4 3 4 4 2 3 2 3" xfId="6476"/>
    <cellStyle name="Normal 4 3 4 4 2 3 3" xfId="6477"/>
    <cellStyle name="Normal 4 3 4 4 2 3 4" xfId="6478"/>
    <cellStyle name="Normal 4 3 4 4 2 3 5" xfId="6479"/>
    <cellStyle name="Normal 4 3 4 4 2 4" xfId="6480"/>
    <cellStyle name="Normal 4 3 4 4 2 4 2" xfId="6481"/>
    <cellStyle name="Normal 4 3 4 4 2 4 2 2" xfId="6482"/>
    <cellStyle name="Normal 4 3 4 4 2 4 2 3" xfId="6483"/>
    <cellStyle name="Normal 4 3 4 4 2 4 3" xfId="6484"/>
    <cellStyle name="Normal 4 3 4 4 2 4 4" xfId="6485"/>
    <cellStyle name="Normal 4 3 4 4 2 4 5" xfId="6486"/>
    <cellStyle name="Normal 4 3 4 4 2 5" xfId="6487"/>
    <cellStyle name="Normal 4 3 4 4 2 5 2" xfId="6488"/>
    <cellStyle name="Normal 4 3 4 4 2 5 3" xfId="6489"/>
    <cellStyle name="Normal 4 3 4 4 2 6" xfId="6490"/>
    <cellStyle name="Normal 4 3 4 4 2 7" xfId="6491"/>
    <cellStyle name="Normal 4 3 4 4 2 8" xfId="6492"/>
    <cellStyle name="Normal 4 3 4 4 3" xfId="6493"/>
    <cellStyle name="Normal 4 3 4 4 3 2" xfId="6494"/>
    <cellStyle name="Normal 4 3 4 4 3 2 2" xfId="6495"/>
    <cellStyle name="Normal 4 3 4 4 3 2 2 2" xfId="6496"/>
    <cellStyle name="Normal 4 3 4 4 3 2 2 3" xfId="6497"/>
    <cellStyle name="Normal 4 3 4 4 3 2 3" xfId="6498"/>
    <cellStyle name="Normal 4 3 4 4 3 2 4" xfId="6499"/>
    <cellStyle name="Normal 4 3 4 4 3 2 5" xfId="6500"/>
    <cellStyle name="Normal 4 3 4 4 3 3" xfId="6501"/>
    <cellStyle name="Normal 4 3 4 4 3 3 2" xfId="6502"/>
    <cellStyle name="Normal 4 3 4 4 3 3 2 2" xfId="6503"/>
    <cellStyle name="Normal 4 3 4 4 3 3 2 3" xfId="6504"/>
    <cellStyle name="Normal 4 3 4 4 3 3 3" xfId="6505"/>
    <cellStyle name="Normal 4 3 4 4 3 3 4" xfId="6506"/>
    <cellStyle name="Normal 4 3 4 4 3 3 5" xfId="6507"/>
    <cellStyle name="Normal 4 3 4 4 3 4" xfId="6508"/>
    <cellStyle name="Normal 4 3 4 4 3 4 2" xfId="6509"/>
    <cellStyle name="Normal 4 3 4 4 3 4 3" xfId="6510"/>
    <cellStyle name="Normal 4 3 4 4 3 5" xfId="6511"/>
    <cellStyle name="Normal 4 3 4 4 3 6" xfId="6512"/>
    <cellStyle name="Normal 4 3 4 4 3 7" xfId="6513"/>
    <cellStyle name="Normal 4 3 4 4 4" xfId="6514"/>
    <cellStyle name="Normal 4 3 4 4 4 2" xfId="6515"/>
    <cellStyle name="Normal 4 3 4 4 4 2 2" xfId="6516"/>
    <cellStyle name="Normal 4 3 4 4 4 2 3" xfId="6517"/>
    <cellStyle name="Normal 4 3 4 4 4 3" xfId="6518"/>
    <cellStyle name="Normal 4 3 4 4 4 4" xfId="6519"/>
    <cellStyle name="Normal 4 3 4 4 4 5" xfId="6520"/>
    <cellStyle name="Normal 4 3 4 4 5" xfId="6521"/>
    <cellStyle name="Normal 4 3 4 4 5 2" xfId="6522"/>
    <cellStyle name="Normal 4 3 4 4 5 2 2" xfId="6523"/>
    <cellStyle name="Normal 4 3 4 4 5 2 3" xfId="6524"/>
    <cellStyle name="Normal 4 3 4 4 5 3" xfId="6525"/>
    <cellStyle name="Normal 4 3 4 4 5 4" xfId="6526"/>
    <cellStyle name="Normal 4 3 4 4 5 5" xfId="6527"/>
    <cellStyle name="Normal 4 3 4 4 6" xfId="6528"/>
    <cellStyle name="Normal 4 3 4 4 6 2" xfId="6529"/>
    <cellStyle name="Normal 4 3 4 4 6 3" xfId="6530"/>
    <cellStyle name="Normal 4 3 4 4 7" xfId="6531"/>
    <cellStyle name="Normal 4 3 4 4 8" xfId="6532"/>
    <cellStyle name="Normal 4 3 4 4 9" xfId="6533"/>
    <cellStyle name="Normal 4 3 4 5" xfId="6534"/>
    <cellStyle name="Normal 4 3 4 5 2" xfId="6535"/>
    <cellStyle name="Normal 4 3 4 5 2 2" xfId="6536"/>
    <cellStyle name="Normal 4 3 4 5 2 2 2" xfId="6537"/>
    <cellStyle name="Normal 4 3 4 5 2 2 2 2" xfId="6538"/>
    <cellStyle name="Normal 4 3 4 5 2 2 2 3" xfId="6539"/>
    <cellStyle name="Normal 4 3 4 5 2 2 3" xfId="6540"/>
    <cellStyle name="Normal 4 3 4 5 2 2 4" xfId="6541"/>
    <cellStyle name="Normal 4 3 4 5 2 2 5" xfId="6542"/>
    <cellStyle name="Normal 4 3 4 5 2 3" xfId="6543"/>
    <cellStyle name="Normal 4 3 4 5 2 3 2" xfId="6544"/>
    <cellStyle name="Normal 4 3 4 5 2 3 2 2" xfId="6545"/>
    <cellStyle name="Normal 4 3 4 5 2 3 2 3" xfId="6546"/>
    <cellStyle name="Normal 4 3 4 5 2 3 3" xfId="6547"/>
    <cellStyle name="Normal 4 3 4 5 2 3 4" xfId="6548"/>
    <cellStyle name="Normal 4 3 4 5 2 3 5" xfId="6549"/>
    <cellStyle name="Normal 4 3 4 5 2 4" xfId="6550"/>
    <cellStyle name="Normal 4 3 4 5 2 4 2" xfId="6551"/>
    <cellStyle name="Normal 4 3 4 5 2 4 3" xfId="6552"/>
    <cellStyle name="Normal 4 3 4 5 2 5" xfId="6553"/>
    <cellStyle name="Normal 4 3 4 5 2 6" xfId="6554"/>
    <cellStyle name="Normal 4 3 4 5 2 7" xfId="6555"/>
    <cellStyle name="Normal 4 3 4 5 3" xfId="6556"/>
    <cellStyle name="Normal 4 3 4 5 3 2" xfId="6557"/>
    <cellStyle name="Normal 4 3 4 5 3 2 2" xfId="6558"/>
    <cellStyle name="Normal 4 3 4 5 3 2 3" xfId="6559"/>
    <cellStyle name="Normal 4 3 4 5 3 3" xfId="6560"/>
    <cellStyle name="Normal 4 3 4 5 3 4" xfId="6561"/>
    <cellStyle name="Normal 4 3 4 5 3 5" xfId="6562"/>
    <cellStyle name="Normal 4 3 4 5 4" xfId="6563"/>
    <cellStyle name="Normal 4 3 4 5 4 2" xfId="6564"/>
    <cellStyle name="Normal 4 3 4 5 4 2 2" xfId="6565"/>
    <cellStyle name="Normal 4 3 4 5 4 2 3" xfId="6566"/>
    <cellStyle name="Normal 4 3 4 5 4 3" xfId="6567"/>
    <cellStyle name="Normal 4 3 4 5 4 4" xfId="6568"/>
    <cellStyle name="Normal 4 3 4 5 4 5" xfId="6569"/>
    <cellStyle name="Normal 4 3 4 5 5" xfId="6570"/>
    <cellStyle name="Normal 4 3 4 5 5 2" xfId="6571"/>
    <cellStyle name="Normal 4 3 4 5 5 3" xfId="6572"/>
    <cellStyle name="Normal 4 3 4 5 6" xfId="6573"/>
    <cellStyle name="Normal 4 3 4 5 7" xfId="6574"/>
    <cellStyle name="Normal 4 3 4 5 8" xfId="6575"/>
    <cellStyle name="Normal 4 3 4 6" xfId="6576"/>
    <cellStyle name="Normal 4 3 4 6 2" xfId="6577"/>
    <cellStyle name="Normal 4 3 4 6 2 2" xfId="6578"/>
    <cellStyle name="Normal 4 3 4 6 2 2 2" xfId="6579"/>
    <cellStyle name="Normal 4 3 4 6 2 2 3" xfId="6580"/>
    <cellStyle name="Normal 4 3 4 6 2 3" xfId="6581"/>
    <cellStyle name="Normal 4 3 4 6 2 4" xfId="6582"/>
    <cellStyle name="Normal 4 3 4 6 2 5" xfId="6583"/>
    <cellStyle name="Normal 4 3 4 6 3" xfId="6584"/>
    <cellStyle name="Normal 4 3 4 6 3 2" xfId="6585"/>
    <cellStyle name="Normal 4 3 4 6 3 2 2" xfId="6586"/>
    <cellStyle name="Normal 4 3 4 6 3 2 3" xfId="6587"/>
    <cellStyle name="Normal 4 3 4 6 3 3" xfId="6588"/>
    <cellStyle name="Normal 4 3 4 6 3 4" xfId="6589"/>
    <cellStyle name="Normal 4 3 4 6 3 5" xfId="6590"/>
    <cellStyle name="Normal 4 3 4 6 4" xfId="6591"/>
    <cellStyle name="Normal 4 3 4 6 4 2" xfId="6592"/>
    <cellStyle name="Normal 4 3 4 6 4 3" xfId="6593"/>
    <cellStyle name="Normal 4 3 4 6 5" xfId="6594"/>
    <cellStyle name="Normal 4 3 4 6 6" xfId="6595"/>
    <cellStyle name="Normal 4 3 4 6 7" xfId="6596"/>
    <cellStyle name="Normal 4 3 4 7" xfId="6597"/>
    <cellStyle name="Normal 4 3 4 7 2" xfId="6598"/>
    <cellStyle name="Normal 4 3 4 7 2 2" xfId="6599"/>
    <cellStyle name="Normal 4 3 4 7 2 3" xfId="6600"/>
    <cellStyle name="Normal 4 3 4 7 3" xfId="6601"/>
    <cellStyle name="Normal 4 3 4 7 4" xfId="6602"/>
    <cellStyle name="Normal 4 3 4 7 5" xfId="6603"/>
    <cellStyle name="Normal 4 3 4 8" xfId="6604"/>
    <cellStyle name="Normal 4 3 4 8 2" xfId="6605"/>
    <cellStyle name="Normal 4 3 4 8 2 2" xfId="6606"/>
    <cellStyle name="Normal 4 3 4 8 2 3" xfId="6607"/>
    <cellStyle name="Normal 4 3 4 8 3" xfId="6608"/>
    <cellStyle name="Normal 4 3 4 8 4" xfId="6609"/>
    <cellStyle name="Normal 4 3 4 8 5" xfId="6610"/>
    <cellStyle name="Normal 4 3 4 9" xfId="6611"/>
    <cellStyle name="Normal 4 3 4 9 2" xfId="6612"/>
    <cellStyle name="Normal 4 3 4 9 3" xfId="6613"/>
    <cellStyle name="Normal 4 3 5" xfId="6614"/>
    <cellStyle name="Normal 4 3 5 2" xfId="6615"/>
    <cellStyle name="Normal 4 3 5 2 2" xfId="6616"/>
    <cellStyle name="Normal 4 3 5 2 2 2" xfId="6617"/>
    <cellStyle name="Normal 4 3 5 2 2 2 2" xfId="6618"/>
    <cellStyle name="Normal 4 3 5 2 2 2 2 2" xfId="6619"/>
    <cellStyle name="Normal 4 3 5 2 2 2 2 3" xfId="6620"/>
    <cellStyle name="Normal 4 3 5 2 2 2 3" xfId="6621"/>
    <cellStyle name="Normal 4 3 5 2 2 2 4" xfId="6622"/>
    <cellStyle name="Normal 4 3 5 2 2 2 5" xfId="6623"/>
    <cellStyle name="Normal 4 3 5 2 2 3" xfId="6624"/>
    <cellStyle name="Normal 4 3 5 2 2 3 2" xfId="6625"/>
    <cellStyle name="Normal 4 3 5 2 2 3 2 2" xfId="6626"/>
    <cellStyle name="Normal 4 3 5 2 2 3 2 3" xfId="6627"/>
    <cellStyle name="Normal 4 3 5 2 2 3 3" xfId="6628"/>
    <cellStyle name="Normal 4 3 5 2 2 3 4" xfId="6629"/>
    <cellStyle name="Normal 4 3 5 2 2 3 5" xfId="6630"/>
    <cellStyle name="Normal 4 3 5 2 2 4" xfId="6631"/>
    <cellStyle name="Normal 4 3 5 2 2 4 2" xfId="6632"/>
    <cellStyle name="Normal 4 3 5 2 2 4 3" xfId="6633"/>
    <cellStyle name="Normal 4 3 5 2 2 5" xfId="6634"/>
    <cellStyle name="Normal 4 3 5 2 2 6" xfId="6635"/>
    <cellStyle name="Normal 4 3 5 2 2 7" xfId="6636"/>
    <cellStyle name="Normal 4 3 5 2 3" xfId="6637"/>
    <cellStyle name="Normal 4 3 5 2 3 2" xfId="6638"/>
    <cellStyle name="Normal 4 3 5 2 3 2 2" xfId="6639"/>
    <cellStyle name="Normal 4 3 5 2 3 2 3" xfId="6640"/>
    <cellStyle name="Normal 4 3 5 2 3 3" xfId="6641"/>
    <cellStyle name="Normal 4 3 5 2 3 4" xfId="6642"/>
    <cellStyle name="Normal 4 3 5 2 3 5" xfId="6643"/>
    <cellStyle name="Normal 4 3 5 2 4" xfId="6644"/>
    <cellStyle name="Normal 4 3 5 2 4 2" xfId="6645"/>
    <cellStyle name="Normal 4 3 5 2 4 2 2" xfId="6646"/>
    <cellStyle name="Normal 4 3 5 2 4 2 3" xfId="6647"/>
    <cellStyle name="Normal 4 3 5 2 4 3" xfId="6648"/>
    <cellStyle name="Normal 4 3 5 2 4 4" xfId="6649"/>
    <cellStyle name="Normal 4 3 5 2 4 5" xfId="6650"/>
    <cellStyle name="Normal 4 3 5 2 5" xfId="6651"/>
    <cellStyle name="Normal 4 3 5 2 5 2" xfId="6652"/>
    <cellStyle name="Normal 4 3 5 2 5 3" xfId="6653"/>
    <cellStyle name="Normal 4 3 5 2 6" xfId="6654"/>
    <cellStyle name="Normal 4 3 5 2 7" xfId="6655"/>
    <cellStyle name="Normal 4 3 5 2 8" xfId="6656"/>
    <cellStyle name="Normal 4 3 5 3" xfId="6657"/>
    <cellStyle name="Normal 4 3 5 3 2" xfId="6658"/>
    <cellStyle name="Normal 4 3 5 3 2 2" xfId="6659"/>
    <cellStyle name="Normal 4 3 5 3 2 2 2" xfId="6660"/>
    <cellStyle name="Normal 4 3 5 3 2 2 3" xfId="6661"/>
    <cellStyle name="Normal 4 3 5 3 2 3" xfId="6662"/>
    <cellStyle name="Normal 4 3 5 3 2 4" xfId="6663"/>
    <cellStyle name="Normal 4 3 5 3 2 5" xfId="6664"/>
    <cellStyle name="Normal 4 3 5 3 3" xfId="6665"/>
    <cellStyle name="Normal 4 3 5 3 3 2" xfId="6666"/>
    <cellStyle name="Normal 4 3 5 3 3 2 2" xfId="6667"/>
    <cellStyle name="Normal 4 3 5 3 3 2 3" xfId="6668"/>
    <cellStyle name="Normal 4 3 5 3 3 3" xfId="6669"/>
    <cellStyle name="Normal 4 3 5 3 3 4" xfId="6670"/>
    <cellStyle name="Normal 4 3 5 3 3 5" xfId="6671"/>
    <cellStyle name="Normal 4 3 5 3 4" xfId="6672"/>
    <cellStyle name="Normal 4 3 5 3 4 2" xfId="6673"/>
    <cellStyle name="Normal 4 3 5 3 4 3" xfId="6674"/>
    <cellStyle name="Normal 4 3 5 3 5" xfId="6675"/>
    <cellStyle name="Normal 4 3 5 3 6" xfId="6676"/>
    <cellStyle name="Normal 4 3 5 3 7" xfId="6677"/>
    <cellStyle name="Normal 4 3 5 4" xfId="6678"/>
    <cellStyle name="Normal 4 3 5 4 2" xfId="6679"/>
    <cellStyle name="Normal 4 3 5 4 2 2" xfId="6680"/>
    <cellStyle name="Normal 4 3 5 4 2 3" xfId="6681"/>
    <cellStyle name="Normal 4 3 5 4 3" xfId="6682"/>
    <cellStyle name="Normal 4 3 5 4 4" xfId="6683"/>
    <cellStyle name="Normal 4 3 5 4 5" xfId="6684"/>
    <cellStyle name="Normal 4 3 5 5" xfId="6685"/>
    <cellStyle name="Normal 4 3 5 5 2" xfId="6686"/>
    <cellStyle name="Normal 4 3 5 5 2 2" xfId="6687"/>
    <cellStyle name="Normal 4 3 5 5 2 3" xfId="6688"/>
    <cellStyle name="Normal 4 3 5 5 3" xfId="6689"/>
    <cellStyle name="Normal 4 3 5 5 4" xfId="6690"/>
    <cellStyle name="Normal 4 3 5 5 5" xfId="6691"/>
    <cellStyle name="Normal 4 3 5 6" xfId="6692"/>
    <cellStyle name="Normal 4 3 5 6 2" xfId="6693"/>
    <cellStyle name="Normal 4 3 5 6 3" xfId="6694"/>
    <cellStyle name="Normal 4 3 5 7" xfId="6695"/>
    <cellStyle name="Normal 4 3 5 8" xfId="6696"/>
    <cellStyle name="Normal 4 3 5 9" xfId="6697"/>
    <cellStyle name="Normal 4 3 6" xfId="6698"/>
    <cellStyle name="Normal 4 3 6 2" xfId="6699"/>
    <cellStyle name="Normal 4 3 6 2 2" xfId="6700"/>
    <cellStyle name="Normal 4 3 6 2 2 2" xfId="6701"/>
    <cellStyle name="Normal 4 3 6 2 2 2 2" xfId="6702"/>
    <cellStyle name="Normal 4 3 6 2 2 2 2 2" xfId="6703"/>
    <cellStyle name="Normal 4 3 6 2 2 2 2 3" xfId="6704"/>
    <cellStyle name="Normal 4 3 6 2 2 2 3" xfId="6705"/>
    <cellStyle name="Normal 4 3 6 2 2 2 4" xfId="6706"/>
    <cellStyle name="Normal 4 3 6 2 2 2 5" xfId="6707"/>
    <cellStyle name="Normal 4 3 6 2 2 3" xfId="6708"/>
    <cellStyle name="Normal 4 3 6 2 2 3 2" xfId="6709"/>
    <cellStyle name="Normal 4 3 6 2 2 3 2 2" xfId="6710"/>
    <cellStyle name="Normal 4 3 6 2 2 3 2 3" xfId="6711"/>
    <cellStyle name="Normal 4 3 6 2 2 3 3" xfId="6712"/>
    <cellStyle name="Normal 4 3 6 2 2 3 4" xfId="6713"/>
    <cellStyle name="Normal 4 3 6 2 2 3 5" xfId="6714"/>
    <cellStyle name="Normal 4 3 6 2 2 4" xfId="6715"/>
    <cellStyle name="Normal 4 3 6 2 2 4 2" xfId="6716"/>
    <cellStyle name="Normal 4 3 6 2 2 4 3" xfId="6717"/>
    <cellStyle name="Normal 4 3 6 2 2 5" xfId="6718"/>
    <cellStyle name="Normal 4 3 6 2 2 6" xfId="6719"/>
    <cellStyle name="Normal 4 3 6 2 2 7" xfId="6720"/>
    <cellStyle name="Normal 4 3 6 2 3" xfId="6721"/>
    <cellStyle name="Normal 4 3 6 2 3 2" xfId="6722"/>
    <cellStyle name="Normal 4 3 6 2 3 2 2" xfId="6723"/>
    <cellStyle name="Normal 4 3 6 2 3 2 3" xfId="6724"/>
    <cellStyle name="Normal 4 3 6 2 3 3" xfId="6725"/>
    <cellStyle name="Normal 4 3 6 2 3 4" xfId="6726"/>
    <cellStyle name="Normal 4 3 6 2 3 5" xfId="6727"/>
    <cellStyle name="Normal 4 3 6 2 4" xfId="6728"/>
    <cellStyle name="Normal 4 3 6 2 4 2" xfId="6729"/>
    <cellStyle name="Normal 4 3 6 2 4 2 2" xfId="6730"/>
    <cellStyle name="Normal 4 3 6 2 4 2 3" xfId="6731"/>
    <cellStyle name="Normal 4 3 6 2 4 3" xfId="6732"/>
    <cellStyle name="Normal 4 3 6 2 4 4" xfId="6733"/>
    <cellStyle name="Normal 4 3 6 2 4 5" xfId="6734"/>
    <cellStyle name="Normal 4 3 6 2 5" xfId="6735"/>
    <cellStyle name="Normal 4 3 6 2 5 2" xfId="6736"/>
    <cellStyle name="Normal 4 3 6 2 5 3" xfId="6737"/>
    <cellStyle name="Normal 4 3 6 2 6" xfId="6738"/>
    <cellStyle name="Normal 4 3 6 2 7" xfId="6739"/>
    <cellStyle name="Normal 4 3 6 2 8" xfId="6740"/>
    <cellStyle name="Normal 4 3 6 3" xfId="6741"/>
    <cellStyle name="Normal 4 3 6 3 2" xfId="6742"/>
    <cellStyle name="Normal 4 3 6 3 2 2" xfId="6743"/>
    <cellStyle name="Normal 4 3 6 3 2 2 2" xfId="6744"/>
    <cellStyle name="Normal 4 3 6 3 2 2 3" xfId="6745"/>
    <cellStyle name="Normal 4 3 6 3 2 3" xfId="6746"/>
    <cellStyle name="Normal 4 3 6 3 2 4" xfId="6747"/>
    <cellStyle name="Normal 4 3 6 3 2 5" xfId="6748"/>
    <cellStyle name="Normal 4 3 6 3 3" xfId="6749"/>
    <cellStyle name="Normal 4 3 6 3 3 2" xfId="6750"/>
    <cellStyle name="Normal 4 3 6 3 3 2 2" xfId="6751"/>
    <cellStyle name="Normal 4 3 6 3 3 2 3" xfId="6752"/>
    <cellStyle name="Normal 4 3 6 3 3 3" xfId="6753"/>
    <cellStyle name="Normal 4 3 6 3 3 4" xfId="6754"/>
    <cellStyle name="Normal 4 3 6 3 3 5" xfId="6755"/>
    <cellStyle name="Normal 4 3 6 3 4" xfId="6756"/>
    <cellStyle name="Normal 4 3 6 3 4 2" xfId="6757"/>
    <cellStyle name="Normal 4 3 6 3 4 3" xfId="6758"/>
    <cellStyle name="Normal 4 3 6 3 5" xfId="6759"/>
    <cellStyle name="Normal 4 3 6 3 6" xfId="6760"/>
    <cellStyle name="Normal 4 3 6 3 7" xfId="6761"/>
    <cellStyle name="Normal 4 3 6 4" xfId="6762"/>
    <cellStyle name="Normal 4 3 6 4 2" xfId="6763"/>
    <cellStyle name="Normal 4 3 6 4 2 2" xfId="6764"/>
    <cellStyle name="Normal 4 3 6 4 2 3" xfId="6765"/>
    <cellStyle name="Normal 4 3 6 4 3" xfId="6766"/>
    <cellStyle name="Normal 4 3 6 4 4" xfId="6767"/>
    <cellStyle name="Normal 4 3 6 4 5" xfId="6768"/>
    <cellStyle name="Normal 4 3 6 5" xfId="6769"/>
    <cellStyle name="Normal 4 3 6 5 2" xfId="6770"/>
    <cellStyle name="Normal 4 3 6 5 2 2" xfId="6771"/>
    <cellStyle name="Normal 4 3 6 5 2 3" xfId="6772"/>
    <cellStyle name="Normal 4 3 6 5 3" xfId="6773"/>
    <cellStyle name="Normal 4 3 6 5 4" xfId="6774"/>
    <cellStyle name="Normal 4 3 6 5 5" xfId="6775"/>
    <cellStyle name="Normal 4 3 6 6" xfId="6776"/>
    <cellStyle name="Normal 4 3 6 6 2" xfId="6777"/>
    <cellStyle name="Normal 4 3 6 6 3" xfId="6778"/>
    <cellStyle name="Normal 4 3 6 7" xfId="6779"/>
    <cellStyle name="Normal 4 3 6 8" xfId="6780"/>
    <cellStyle name="Normal 4 3 6 9" xfId="6781"/>
    <cellStyle name="Normal 4 3 7" xfId="6782"/>
    <cellStyle name="Normal 4 3 7 2" xfId="6783"/>
    <cellStyle name="Normal 4 3 7 2 2" xfId="6784"/>
    <cellStyle name="Normal 4 3 7 2 2 2" xfId="6785"/>
    <cellStyle name="Normal 4 3 7 2 2 2 2" xfId="6786"/>
    <cellStyle name="Normal 4 3 7 2 2 2 2 2" xfId="6787"/>
    <cellStyle name="Normal 4 3 7 2 2 2 2 3" xfId="6788"/>
    <cellStyle name="Normal 4 3 7 2 2 2 3" xfId="6789"/>
    <cellStyle name="Normal 4 3 7 2 2 2 4" xfId="6790"/>
    <cellStyle name="Normal 4 3 7 2 2 2 5" xfId="6791"/>
    <cellStyle name="Normal 4 3 7 2 2 3" xfId="6792"/>
    <cellStyle name="Normal 4 3 7 2 2 3 2" xfId="6793"/>
    <cellStyle name="Normal 4 3 7 2 2 3 2 2" xfId="6794"/>
    <cellStyle name="Normal 4 3 7 2 2 3 2 3" xfId="6795"/>
    <cellStyle name="Normal 4 3 7 2 2 3 3" xfId="6796"/>
    <cellStyle name="Normal 4 3 7 2 2 3 4" xfId="6797"/>
    <cellStyle name="Normal 4 3 7 2 2 3 5" xfId="6798"/>
    <cellStyle name="Normal 4 3 7 2 2 4" xfId="6799"/>
    <cellStyle name="Normal 4 3 7 2 2 4 2" xfId="6800"/>
    <cellStyle name="Normal 4 3 7 2 2 4 3" xfId="6801"/>
    <cellStyle name="Normal 4 3 7 2 2 5" xfId="6802"/>
    <cellStyle name="Normal 4 3 7 2 2 6" xfId="6803"/>
    <cellStyle name="Normal 4 3 7 2 2 7" xfId="6804"/>
    <cellStyle name="Normal 4 3 7 2 3" xfId="6805"/>
    <cellStyle name="Normal 4 3 7 2 3 2" xfId="6806"/>
    <cellStyle name="Normal 4 3 7 2 3 2 2" xfId="6807"/>
    <cellStyle name="Normal 4 3 7 2 3 2 3" xfId="6808"/>
    <cellStyle name="Normal 4 3 7 2 3 3" xfId="6809"/>
    <cellStyle name="Normal 4 3 7 2 3 4" xfId="6810"/>
    <cellStyle name="Normal 4 3 7 2 3 5" xfId="6811"/>
    <cellStyle name="Normal 4 3 7 2 4" xfId="6812"/>
    <cellStyle name="Normal 4 3 7 2 4 2" xfId="6813"/>
    <cellStyle name="Normal 4 3 7 2 4 2 2" xfId="6814"/>
    <cellStyle name="Normal 4 3 7 2 4 2 3" xfId="6815"/>
    <cellStyle name="Normal 4 3 7 2 4 3" xfId="6816"/>
    <cellStyle name="Normal 4 3 7 2 4 4" xfId="6817"/>
    <cellStyle name="Normal 4 3 7 2 4 5" xfId="6818"/>
    <cellStyle name="Normal 4 3 7 2 5" xfId="6819"/>
    <cellStyle name="Normal 4 3 7 2 5 2" xfId="6820"/>
    <cellStyle name="Normal 4 3 7 2 5 3" xfId="6821"/>
    <cellStyle name="Normal 4 3 7 2 6" xfId="6822"/>
    <cellStyle name="Normal 4 3 7 2 7" xfId="6823"/>
    <cellStyle name="Normal 4 3 7 2 8" xfId="6824"/>
    <cellStyle name="Normal 4 3 7 3" xfId="6825"/>
    <cellStyle name="Normal 4 3 7 3 2" xfId="6826"/>
    <cellStyle name="Normal 4 3 7 3 2 2" xfId="6827"/>
    <cellStyle name="Normal 4 3 7 3 2 2 2" xfId="6828"/>
    <cellStyle name="Normal 4 3 7 3 2 2 3" xfId="6829"/>
    <cellStyle name="Normal 4 3 7 3 2 3" xfId="6830"/>
    <cellStyle name="Normal 4 3 7 3 2 4" xfId="6831"/>
    <cellStyle name="Normal 4 3 7 3 2 5" xfId="6832"/>
    <cellStyle name="Normal 4 3 7 3 3" xfId="6833"/>
    <cellStyle name="Normal 4 3 7 3 3 2" xfId="6834"/>
    <cellStyle name="Normal 4 3 7 3 3 2 2" xfId="6835"/>
    <cellStyle name="Normal 4 3 7 3 3 2 3" xfId="6836"/>
    <cellStyle name="Normal 4 3 7 3 3 3" xfId="6837"/>
    <cellStyle name="Normal 4 3 7 3 3 4" xfId="6838"/>
    <cellStyle name="Normal 4 3 7 3 3 5" xfId="6839"/>
    <cellStyle name="Normal 4 3 7 3 4" xfId="6840"/>
    <cellStyle name="Normal 4 3 7 3 4 2" xfId="6841"/>
    <cellStyle name="Normal 4 3 7 3 4 3" xfId="6842"/>
    <cellStyle name="Normal 4 3 7 3 5" xfId="6843"/>
    <cellStyle name="Normal 4 3 7 3 6" xfId="6844"/>
    <cellStyle name="Normal 4 3 7 3 7" xfId="6845"/>
    <cellStyle name="Normal 4 3 7 4" xfId="6846"/>
    <cellStyle name="Normal 4 3 7 4 2" xfId="6847"/>
    <cellStyle name="Normal 4 3 7 4 2 2" xfId="6848"/>
    <cellStyle name="Normal 4 3 7 4 2 3" xfId="6849"/>
    <cellStyle name="Normal 4 3 7 4 3" xfId="6850"/>
    <cellStyle name="Normal 4 3 7 4 4" xfId="6851"/>
    <cellStyle name="Normal 4 3 7 4 5" xfId="6852"/>
    <cellStyle name="Normal 4 3 7 5" xfId="6853"/>
    <cellStyle name="Normal 4 3 7 5 2" xfId="6854"/>
    <cellStyle name="Normal 4 3 7 5 2 2" xfId="6855"/>
    <cellStyle name="Normal 4 3 7 5 2 3" xfId="6856"/>
    <cellStyle name="Normal 4 3 7 5 3" xfId="6857"/>
    <cellStyle name="Normal 4 3 7 5 4" xfId="6858"/>
    <cellStyle name="Normal 4 3 7 5 5" xfId="6859"/>
    <cellStyle name="Normal 4 3 7 6" xfId="6860"/>
    <cellStyle name="Normal 4 3 7 6 2" xfId="6861"/>
    <cellStyle name="Normal 4 3 7 6 3" xfId="6862"/>
    <cellStyle name="Normal 4 3 7 7" xfId="6863"/>
    <cellStyle name="Normal 4 3 7 8" xfId="6864"/>
    <cellStyle name="Normal 4 3 7 9" xfId="6865"/>
    <cellStyle name="Normal 4 3 8" xfId="6866"/>
    <cellStyle name="Normal 4 3 8 2" xfId="6867"/>
    <cellStyle name="Normal 4 3 8 2 2" xfId="6868"/>
    <cellStyle name="Normal 4 3 8 2 2 2" xfId="6869"/>
    <cellStyle name="Normal 4 3 8 2 2 2 2" xfId="6870"/>
    <cellStyle name="Normal 4 3 8 2 2 2 3" xfId="6871"/>
    <cellStyle name="Normal 4 3 8 2 2 3" xfId="6872"/>
    <cellStyle name="Normal 4 3 8 2 2 4" xfId="6873"/>
    <cellStyle name="Normal 4 3 8 2 2 5" xfId="6874"/>
    <cellStyle name="Normal 4 3 8 2 3" xfId="6875"/>
    <cellStyle name="Normal 4 3 8 2 3 2" xfId="6876"/>
    <cellStyle name="Normal 4 3 8 2 3 2 2" xfId="6877"/>
    <cellStyle name="Normal 4 3 8 2 3 2 3" xfId="6878"/>
    <cellStyle name="Normal 4 3 8 2 3 3" xfId="6879"/>
    <cellStyle name="Normal 4 3 8 2 3 4" xfId="6880"/>
    <cellStyle name="Normal 4 3 8 2 3 5" xfId="6881"/>
    <cellStyle name="Normal 4 3 8 2 4" xfId="6882"/>
    <cellStyle name="Normal 4 3 8 2 4 2" xfId="6883"/>
    <cellStyle name="Normal 4 3 8 2 4 3" xfId="6884"/>
    <cellStyle name="Normal 4 3 8 2 5" xfId="6885"/>
    <cellStyle name="Normal 4 3 8 2 6" xfId="6886"/>
    <cellStyle name="Normal 4 3 8 2 7" xfId="6887"/>
    <cellStyle name="Normal 4 3 8 3" xfId="6888"/>
    <cellStyle name="Normal 4 3 8 3 2" xfId="6889"/>
    <cellStyle name="Normal 4 3 8 3 2 2" xfId="6890"/>
    <cellStyle name="Normal 4 3 8 3 2 3" xfId="6891"/>
    <cellStyle name="Normal 4 3 8 3 3" xfId="6892"/>
    <cellStyle name="Normal 4 3 8 3 4" xfId="6893"/>
    <cellStyle name="Normal 4 3 8 3 5" xfId="6894"/>
    <cellStyle name="Normal 4 3 8 4" xfId="6895"/>
    <cellStyle name="Normal 4 3 8 4 2" xfId="6896"/>
    <cellStyle name="Normal 4 3 8 4 2 2" xfId="6897"/>
    <cellStyle name="Normal 4 3 8 4 2 3" xfId="6898"/>
    <cellStyle name="Normal 4 3 8 4 3" xfId="6899"/>
    <cellStyle name="Normal 4 3 8 4 4" xfId="6900"/>
    <cellStyle name="Normal 4 3 8 4 5" xfId="6901"/>
    <cellStyle name="Normal 4 3 8 5" xfId="6902"/>
    <cellStyle name="Normal 4 3 8 5 2" xfId="6903"/>
    <cellStyle name="Normal 4 3 8 5 3" xfId="6904"/>
    <cellStyle name="Normal 4 3 8 6" xfId="6905"/>
    <cellStyle name="Normal 4 3 8 7" xfId="6906"/>
    <cellStyle name="Normal 4 3 8 8" xfId="6907"/>
    <cellStyle name="Normal 4 3 9" xfId="6908"/>
    <cellStyle name="Normal 4 3 9 2" xfId="6909"/>
    <cellStyle name="Normal 4 3 9 2 2" xfId="6910"/>
    <cellStyle name="Normal 4 3 9 2 2 2" xfId="6911"/>
    <cellStyle name="Normal 4 3 9 2 2 3" xfId="6912"/>
    <cellStyle name="Normal 4 3 9 2 3" xfId="6913"/>
    <cellStyle name="Normal 4 3 9 2 4" xfId="6914"/>
    <cellStyle name="Normal 4 3 9 2 5" xfId="6915"/>
    <cellStyle name="Normal 4 3 9 3" xfId="6916"/>
    <cellStyle name="Normal 4 3 9 3 2" xfId="6917"/>
    <cellStyle name="Normal 4 3 9 3 2 2" xfId="6918"/>
    <cellStyle name="Normal 4 3 9 3 2 3" xfId="6919"/>
    <cellStyle name="Normal 4 3 9 3 3" xfId="6920"/>
    <cellStyle name="Normal 4 3 9 3 4" xfId="6921"/>
    <cellStyle name="Normal 4 3 9 3 5" xfId="6922"/>
    <cellStyle name="Normal 4 3 9 4" xfId="6923"/>
    <cellStyle name="Normal 4 3 9 4 2" xfId="6924"/>
    <cellStyle name="Normal 4 3 9 4 3" xfId="6925"/>
    <cellStyle name="Normal 4 3 9 5" xfId="6926"/>
    <cellStyle name="Normal 4 3 9 6" xfId="6927"/>
    <cellStyle name="Normal 4 3 9 7" xfId="6928"/>
    <cellStyle name="Normal 4 4 10" xfId="6929"/>
    <cellStyle name="Normal 4 4 10 2" xfId="6930"/>
    <cellStyle name="Normal 4 4 10 2 2" xfId="6931"/>
    <cellStyle name="Normal 4 4 10 2 3" xfId="6932"/>
    <cellStyle name="Normal 4 4 10 3" xfId="6933"/>
    <cellStyle name="Normal 4 4 10 4" xfId="6934"/>
    <cellStyle name="Normal 4 4 10 5" xfId="6935"/>
    <cellStyle name="Normal 4 4 11" xfId="6936"/>
    <cellStyle name="Normal 4 4 11 2" xfId="6937"/>
    <cellStyle name="Normal 4 4 11 3" xfId="6938"/>
    <cellStyle name="Normal 4 4 12" xfId="6939"/>
    <cellStyle name="Normal 4 4 13" xfId="6940"/>
    <cellStyle name="Normal 4 4 14" xfId="6941"/>
    <cellStyle name="Normal 4 4 2" xfId="6942"/>
    <cellStyle name="Normal 4 4 2 10" xfId="6943"/>
    <cellStyle name="Normal 4 4 2 10 2" xfId="6944"/>
    <cellStyle name="Normal 4 4 2 10 3" xfId="6945"/>
    <cellStyle name="Normal 4 4 2 11" xfId="6946"/>
    <cellStyle name="Normal 4 4 2 12" xfId="6947"/>
    <cellStyle name="Normal 4 4 2 13" xfId="6948"/>
    <cellStyle name="Normal 4 4 2 2" xfId="6949"/>
    <cellStyle name="Normal 4 4 2 2 2" xfId="6950"/>
    <cellStyle name="Normal 4 4 2 2 2 2" xfId="6951"/>
    <cellStyle name="Normal 4 4 2 2 2 2 2" xfId="6952"/>
    <cellStyle name="Normal 4 4 2 2 2 2 2 2" xfId="6953"/>
    <cellStyle name="Normal 4 4 2 2 2 2 2 2 2" xfId="6954"/>
    <cellStyle name="Normal 4 4 2 2 2 2 2 2 3" xfId="6955"/>
    <cellStyle name="Normal 4 4 2 2 2 2 2 3" xfId="6956"/>
    <cellStyle name="Normal 4 4 2 2 2 2 2 4" xfId="6957"/>
    <cellStyle name="Normal 4 4 2 2 2 2 2 5" xfId="6958"/>
    <cellStyle name="Normal 4 4 2 2 2 2 3" xfId="6959"/>
    <cellStyle name="Normal 4 4 2 2 2 2 3 2" xfId="6960"/>
    <cellStyle name="Normal 4 4 2 2 2 2 3 2 2" xfId="6961"/>
    <cellStyle name="Normal 4 4 2 2 2 2 3 2 3" xfId="6962"/>
    <cellStyle name="Normal 4 4 2 2 2 2 3 3" xfId="6963"/>
    <cellStyle name="Normal 4 4 2 2 2 2 3 4" xfId="6964"/>
    <cellStyle name="Normal 4 4 2 2 2 2 3 5" xfId="6965"/>
    <cellStyle name="Normal 4 4 2 2 2 2 4" xfId="6966"/>
    <cellStyle name="Normal 4 4 2 2 2 2 4 2" xfId="6967"/>
    <cellStyle name="Normal 4 4 2 2 2 2 4 3" xfId="6968"/>
    <cellStyle name="Normal 4 4 2 2 2 2 5" xfId="6969"/>
    <cellStyle name="Normal 4 4 2 2 2 2 6" xfId="6970"/>
    <cellStyle name="Normal 4 4 2 2 2 2 7" xfId="6971"/>
    <cellStyle name="Normal 4 4 2 2 2 3" xfId="6972"/>
    <cellStyle name="Normal 4 4 2 2 2 3 2" xfId="6973"/>
    <cellStyle name="Normal 4 4 2 2 2 3 2 2" xfId="6974"/>
    <cellStyle name="Normal 4 4 2 2 2 3 2 3" xfId="6975"/>
    <cellStyle name="Normal 4 4 2 2 2 3 3" xfId="6976"/>
    <cellStyle name="Normal 4 4 2 2 2 3 4" xfId="6977"/>
    <cellStyle name="Normal 4 4 2 2 2 3 5" xfId="6978"/>
    <cellStyle name="Normal 4 4 2 2 2 4" xfId="6979"/>
    <cellStyle name="Normal 4 4 2 2 2 4 2" xfId="6980"/>
    <cellStyle name="Normal 4 4 2 2 2 4 2 2" xfId="6981"/>
    <cellStyle name="Normal 4 4 2 2 2 4 2 3" xfId="6982"/>
    <cellStyle name="Normal 4 4 2 2 2 4 3" xfId="6983"/>
    <cellStyle name="Normal 4 4 2 2 2 4 4" xfId="6984"/>
    <cellStyle name="Normal 4 4 2 2 2 4 5" xfId="6985"/>
    <cellStyle name="Normal 4 4 2 2 2 5" xfId="6986"/>
    <cellStyle name="Normal 4 4 2 2 2 5 2" xfId="6987"/>
    <cellStyle name="Normal 4 4 2 2 2 5 3" xfId="6988"/>
    <cellStyle name="Normal 4 4 2 2 2 6" xfId="6989"/>
    <cellStyle name="Normal 4 4 2 2 2 7" xfId="6990"/>
    <cellStyle name="Normal 4 4 2 2 2 8" xfId="6991"/>
    <cellStyle name="Normal 4 4 2 2 3" xfId="6992"/>
    <cellStyle name="Normal 4 4 2 2 3 2" xfId="6993"/>
    <cellStyle name="Normal 4 4 2 2 3 2 2" xfId="6994"/>
    <cellStyle name="Normal 4 4 2 2 3 2 2 2" xfId="6995"/>
    <cellStyle name="Normal 4 4 2 2 3 2 2 3" xfId="6996"/>
    <cellStyle name="Normal 4 4 2 2 3 2 3" xfId="6997"/>
    <cellStyle name="Normal 4 4 2 2 3 2 4" xfId="6998"/>
    <cellStyle name="Normal 4 4 2 2 3 2 5" xfId="6999"/>
    <cellStyle name="Normal 4 4 2 2 3 3" xfId="7000"/>
    <cellStyle name="Normal 4 4 2 2 3 3 2" xfId="7001"/>
    <cellStyle name="Normal 4 4 2 2 3 3 2 2" xfId="7002"/>
    <cellStyle name="Normal 4 4 2 2 3 3 2 3" xfId="7003"/>
    <cellStyle name="Normal 4 4 2 2 3 3 3" xfId="7004"/>
    <cellStyle name="Normal 4 4 2 2 3 3 4" xfId="7005"/>
    <cellStyle name="Normal 4 4 2 2 3 3 5" xfId="7006"/>
    <cellStyle name="Normal 4 4 2 2 3 4" xfId="7007"/>
    <cellStyle name="Normal 4 4 2 2 3 4 2" xfId="7008"/>
    <cellStyle name="Normal 4 4 2 2 3 4 3" xfId="7009"/>
    <cellStyle name="Normal 4 4 2 2 3 5" xfId="7010"/>
    <cellStyle name="Normal 4 4 2 2 3 6" xfId="7011"/>
    <cellStyle name="Normal 4 4 2 2 3 7" xfId="7012"/>
    <cellStyle name="Normal 4 4 2 2 4" xfId="7013"/>
    <cellStyle name="Normal 4 4 2 2 4 2" xfId="7014"/>
    <cellStyle name="Normal 4 4 2 2 4 2 2" xfId="7015"/>
    <cellStyle name="Normal 4 4 2 2 4 2 3" xfId="7016"/>
    <cellStyle name="Normal 4 4 2 2 4 3" xfId="7017"/>
    <cellStyle name="Normal 4 4 2 2 4 4" xfId="7018"/>
    <cellStyle name="Normal 4 4 2 2 4 5" xfId="7019"/>
    <cellStyle name="Normal 4 4 2 2 5" xfId="7020"/>
    <cellStyle name="Normal 4 4 2 2 5 2" xfId="7021"/>
    <cellStyle name="Normal 4 4 2 2 5 2 2" xfId="7022"/>
    <cellStyle name="Normal 4 4 2 2 5 2 3" xfId="7023"/>
    <cellStyle name="Normal 4 4 2 2 5 3" xfId="7024"/>
    <cellStyle name="Normal 4 4 2 2 5 4" xfId="7025"/>
    <cellStyle name="Normal 4 4 2 2 5 5" xfId="7026"/>
    <cellStyle name="Normal 4 4 2 2 6" xfId="7027"/>
    <cellStyle name="Normal 4 4 2 2 6 2" xfId="7028"/>
    <cellStyle name="Normal 4 4 2 2 6 3" xfId="7029"/>
    <cellStyle name="Normal 4 4 2 2 7" xfId="7030"/>
    <cellStyle name="Normal 4 4 2 2 8" xfId="7031"/>
    <cellStyle name="Normal 4 4 2 2 9" xfId="7032"/>
    <cellStyle name="Normal 4 4 2 3" xfId="7033"/>
    <cellStyle name="Normal 4 4 2 3 2" xfId="7034"/>
    <cellStyle name="Normal 4 4 2 3 2 2" xfId="7035"/>
    <cellStyle name="Normal 4 4 2 3 2 2 2" xfId="7036"/>
    <cellStyle name="Normal 4 4 2 3 2 2 2 2" xfId="7037"/>
    <cellStyle name="Normal 4 4 2 3 2 2 2 2 2" xfId="7038"/>
    <cellStyle name="Normal 4 4 2 3 2 2 2 2 3" xfId="7039"/>
    <cellStyle name="Normal 4 4 2 3 2 2 2 3" xfId="7040"/>
    <cellStyle name="Normal 4 4 2 3 2 2 2 4" xfId="7041"/>
    <cellStyle name="Normal 4 4 2 3 2 2 2 5" xfId="7042"/>
    <cellStyle name="Normal 4 4 2 3 2 2 3" xfId="7043"/>
    <cellStyle name="Normal 4 4 2 3 2 2 3 2" xfId="7044"/>
    <cellStyle name="Normal 4 4 2 3 2 2 3 2 2" xfId="7045"/>
    <cellStyle name="Normal 4 4 2 3 2 2 3 2 3" xfId="7046"/>
    <cellStyle name="Normal 4 4 2 3 2 2 3 3" xfId="7047"/>
    <cellStyle name="Normal 4 4 2 3 2 2 3 4" xfId="7048"/>
    <cellStyle name="Normal 4 4 2 3 2 2 3 5" xfId="7049"/>
    <cellStyle name="Normal 4 4 2 3 2 2 4" xfId="7050"/>
    <cellStyle name="Normal 4 4 2 3 2 2 4 2" xfId="7051"/>
    <cellStyle name="Normal 4 4 2 3 2 2 4 3" xfId="7052"/>
    <cellStyle name="Normal 4 4 2 3 2 2 5" xfId="7053"/>
    <cellStyle name="Normal 4 4 2 3 2 2 6" xfId="7054"/>
    <cellStyle name="Normal 4 4 2 3 2 2 7" xfId="7055"/>
    <cellStyle name="Normal 4 4 2 3 2 3" xfId="7056"/>
    <cellStyle name="Normal 4 4 2 3 2 3 2" xfId="7057"/>
    <cellStyle name="Normal 4 4 2 3 2 3 2 2" xfId="7058"/>
    <cellStyle name="Normal 4 4 2 3 2 3 2 3" xfId="7059"/>
    <cellStyle name="Normal 4 4 2 3 2 3 3" xfId="7060"/>
    <cellStyle name="Normal 4 4 2 3 2 3 4" xfId="7061"/>
    <cellStyle name="Normal 4 4 2 3 2 3 5" xfId="7062"/>
    <cellStyle name="Normal 4 4 2 3 2 4" xfId="7063"/>
    <cellStyle name="Normal 4 4 2 3 2 4 2" xfId="7064"/>
    <cellStyle name="Normal 4 4 2 3 2 4 2 2" xfId="7065"/>
    <cellStyle name="Normal 4 4 2 3 2 4 2 3" xfId="7066"/>
    <cellStyle name="Normal 4 4 2 3 2 4 3" xfId="7067"/>
    <cellStyle name="Normal 4 4 2 3 2 4 4" xfId="7068"/>
    <cellStyle name="Normal 4 4 2 3 2 4 5" xfId="7069"/>
    <cellStyle name="Normal 4 4 2 3 2 5" xfId="7070"/>
    <cellStyle name="Normal 4 4 2 3 2 5 2" xfId="7071"/>
    <cellStyle name="Normal 4 4 2 3 2 5 3" xfId="7072"/>
    <cellStyle name="Normal 4 4 2 3 2 6" xfId="7073"/>
    <cellStyle name="Normal 4 4 2 3 2 7" xfId="7074"/>
    <cellStyle name="Normal 4 4 2 3 2 8" xfId="7075"/>
    <cellStyle name="Normal 4 4 2 3 3" xfId="7076"/>
    <cellStyle name="Normal 4 4 2 3 3 2" xfId="7077"/>
    <cellStyle name="Normal 4 4 2 3 3 2 2" xfId="7078"/>
    <cellStyle name="Normal 4 4 2 3 3 2 2 2" xfId="7079"/>
    <cellStyle name="Normal 4 4 2 3 3 2 2 3" xfId="7080"/>
    <cellStyle name="Normal 4 4 2 3 3 2 3" xfId="7081"/>
    <cellStyle name="Normal 4 4 2 3 3 2 4" xfId="7082"/>
    <cellStyle name="Normal 4 4 2 3 3 2 5" xfId="7083"/>
    <cellStyle name="Normal 4 4 2 3 3 3" xfId="7084"/>
    <cellStyle name="Normal 4 4 2 3 3 3 2" xfId="7085"/>
    <cellStyle name="Normal 4 4 2 3 3 3 2 2" xfId="7086"/>
    <cellStyle name="Normal 4 4 2 3 3 3 2 3" xfId="7087"/>
    <cellStyle name="Normal 4 4 2 3 3 3 3" xfId="7088"/>
    <cellStyle name="Normal 4 4 2 3 3 3 4" xfId="7089"/>
    <cellStyle name="Normal 4 4 2 3 3 3 5" xfId="7090"/>
    <cellStyle name="Normal 4 4 2 3 3 4" xfId="7091"/>
    <cellStyle name="Normal 4 4 2 3 3 4 2" xfId="7092"/>
    <cellStyle name="Normal 4 4 2 3 3 4 3" xfId="7093"/>
    <cellStyle name="Normal 4 4 2 3 3 5" xfId="7094"/>
    <cellStyle name="Normal 4 4 2 3 3 6" xfId="7095"/>
    <cellStyle name="Normal 4 4 2 3 3 7" xfId="7096"/>
    <cellStyle name="Normal 4 4 2 3 4" xfId="7097"/>
    <cellStyle name="Normal 4 4 2 3 4 2" xfId="7098"/>
    <cellStyle name="Normal 4 4 2 3 4 2 2" xfId="7099"/>
    <cellStyle name="Normal 4 4 2 3 4 2 3" xfId="7100"/>
    <cellStyle name="Normal 4 4 2 3 4 3" xfId="7101"/>
    <cellStyle name="Normal 4 4 2 3 4 4" xfId="7102"/>
    <cellStyle name="Normal 4 4 2 3 4 5" xfId="7103"/>
    <cellStyle name="Normal 4 4 2 3 5" xfId="7104"/>
    <cellStyle name="Normal 4 4 2 3 5 2" xfId="7105"/>
    <cellStyle name="Normal 4 4 2 3 5 2 2" xfId="7106"/>
    <cellStyle name="Normal 4 4 2 3 5 2 3" xfId="7107"/>
    <cellStyle name="Normal 4 4 2 3 5 3" xfId="7108"/>
    <cellStyle name="Normal 4 4 2 3 5 4" xfId="7109"/>
    <cellStyle name="Normal 4 4 2 3 5 5" xfId="7110"/>
    <cellStyle name="Normal 4 4 2 3 6" xfId="7111"/>
    <cellStyle name="Normal 4 4 2 3 6 2" xfId="7112"/>
    <cellStyle name="Normal 4 4 2 3 6 3" xfId="7113"/>
    <cellStyle name="Normal 4 4 2 3 7" xfId="7114"/>
    <cellStyle name="Normal 4 4 2 3 8" xfId="7115"/>
    <cellStyle name="Normal 4 4 2 3 9" xfId="7116"/>
    <cellStyle name="Normal 4 4 2 4" xfId="7117"/>
    <cellStyle name="Normal 4 4 2 4 2" xfId="7118"/>
    <cellStyle name="Normal 4 4 2 4 2 2" xfId="7119"/>
    <cellStyle name="Normal 4 4 2 4 2 2 2" xfId="7120"/>
    <cellStyle name="Normal 4 4 2 4 2 2 2 2" xfId="7121"/>
    <cellStyle name="Normal 4 4 2 4 2 2 2 2 2" xfId="7122"/>
    <cellStyle name="Normal 4 4 2 4 2 2 2 2 3" xfId="7123"/>
    <cellStyle name="Normal 4 4 2 4 2 2 2 3" xfId="7124"/>
    <cellStyle name="Normal 4 4 2 4 2 2 2 4" xfId="7125"/>
    <cellStyle name="Normal 4 4 2 4 2 2 2 5" xfId="7126"/>
    <cellStyle name="Normal 4 4 2 4 2 2 3" xfId="7127"/>
    <cellStyle name="Normal 4 4 2 4 2 2 3 2" xfId="7128"/>
    <cellStyle name="Normal 4 4 2 4 2 2 3 2 2" xfId="7129"/>
    <cellStyle name="Normal 4 4 2 4 2 2 3 2 3" xfId="7130"/>
    <cellStyle name="Normal 4 4 2 4 2 2 3 3" xfId="7131"/>
    <cellStyle name="Normal 4 4 2 4 2 2 3 4" xfId="7132"/>
    <cellStyle name="Normal 4 4 2 4 2 2 3 5" xfId="7133"/>
    <cellStyle name="Normal 4 4 2 4 2 2 4" xfId="7134"/>
    <cellStyle name="Normal 4 4 2 4 2 2 4 2" xfId="7135"/>
    <cellStyle name="Normal 4 4 2 4 2 2 4 3" xfId="7136"/>
    <cellStyle name="Normal 4 4 2 4 2 2 5" xfId="7137"/>
    <cellStyle name="Normal 4 4 2 4 2 2 6" xfId="7138"/>
    <cellStyle name="Normal 4 4 2 4 2 2 7" xfId="7139"/>
    <cellStyle name="Normal 4 4 2 4 2 3" xfId="7140"/>
    <cellStyle name="Normal 4 4 2 4 2 3 2" xfId="7141"/>
    <cellStyle name="Normal 4 4 2 4 2 3 2 2" xfId="7142"/>
    <cellStyle name="Normal 4 4 2 4 2 3 2 3" xfId="7143"/>
    <cellStyle name="Normal 4 4 2 4 2 3 3" xfId="7144"/>
    <cellStyle name="Normal 4 4 2 4 2 3 4" xfId="7145"/>
    <cellStyle name="Normal 4 4 2 4 2 3 5" xfId="7146"/>
    <cellStyle name="Normal 4 4 2 4 2 4" xfId="7147"/>
    <cellStyle name="Normal 4 4 2 4 2 4 2" xfId="7148"/>
    <cellStyle name="Normal 4 4 2 4 2 4 2 2" xfId="7149"/>
    <cellStyle name="Normal 4 4 2 4 2 4 2 3" xfId="7150"/>
    <cellStyle name="Normal 4 4 2 4 2 4 3" xfId="7151"/>
    <cellStyle name="Normal 4 4 2 4 2 4 4" xfId="7152"/>
    <cellStyle name="Normal 4 4 2 4 2 4 5" xfId="7153"/>
    <cellStyle name="Normal 4 4 2 4 2 5" xfId="7154"/>
    <cellStyle name="Normal 4 4 2 4 2 5 2" xfId="7155"/>
    <cellStyle name="Normal 4 4 2 4 2 5 3" xfId="7156"/>
    <cellStyle name="Normal 4 4 2 4 2 6" xfId="7157"/>
    <cellStyle name="Normal 4 4 2 4 2 7" xfId="7158"/>
    <cellStyle name="Normal 4 4 2 4 2 8" xfId="7159"/>
    <cellStyle name="Normal 4 4 2 4 3" xfId="7160"/>
    <cellStyle name="Normal 4 4 2 4 3 2" xfId="7161"/>
    <cellStyle name="Normal 4 4 2 4 3 2 2" xfId="7162"/>
    <cellStyle name="Normal 4 4 2 4 3 2 2 2" xfId="7163"/>
    <cellStyle name="Normal 4 4 2 4 3 2 2 3" xfId="7164"/>
    <cellStyle name="Normal 4 4 2 4 3 2 3" xfId="7165"/>
    <cellStyle name="Normal 4 4 2 4 3 2 4" xfId="7166"/>
    <cellStyle name="Normal 4 4 2 4 3 2 5" xfId="7167"/>
    <cellStyle name="Normal 4 4 2 4 3 3" xfId="7168"/>
    <cellStyle name="Normal 4 4 2 4 3 3 2" xfId="7169"/>
    <cellStyle name="Normal 4 4 2 4 3 3 2 2" xfId="7170"/>
    <cellStyle name="Normal 4 4 2 4 3 3 2 3" xfId="7171"/>
    <cellStyle name="Normal 4 4 2 4 3 3 3" xfId="7172"/>
    <cellStyle name="Normal 4 4 2 4 3 3 4" xfId="7173"/>
    <cellStyle name="Normal 4 4 2 4 3 3 5" xfId="7174"/>
    <cellStyle name="Normal 4 4 2 4 3 4" xfId="7175"/>
    <cellStyle name="Normal 4 4 2 4 3 4 2" xfId="7176"/>
    <cellStyle name="Normal 4 4 2 4 3 4 3" xfId="7177"/>
    <cellStyle name="Normal 4 4 2 4 3 5" xfId="7178"/>
    <cellStyle name="Normal 4 4 2 4 3 6" xfId="7179"/>
    <cellStyle name="Normal 4 4 2 4 3 7" xfId="7180"/>
    <cellStyle name="Normal 4 4 2 4 4" xfId="7181"/>
    <cellStyle name="Normal 4 4 2 4 4 2" xfId="7182"/>
    <cellStyle name="Normal 4 4 2 4 4 2 2" xfId="7183"/>
    <cellStyle name="Normal 4 4 2 4 4 2 3" xfId="7184"/>
    <cellStyle name="Normal 4 4 2 4 4 3" xfId="7185"/>
    <cellStyle name="Normal 4 4 2 4 4 4" xfId="7186"/>
    <cellStyle name="Normal 4 4 2 4 4 5" xfId="7187"/>
    <cellStyle name="Normal 4 4 2 4 5" xfId="7188"/>
    <cellStyle name="Normal 4 4 2 4 5 2" xfId="7189"/>
    <cellStyle name="Normal 4 4 2 4 5 2 2" xfId="7190"/>
    <cellStyle name="Normal 4 4 2 4 5 2 3" xfId="7191"/>
    <cellStyle name="Normal 4 4 2 4 5 3" xfId="7192"/>
    <cellStyle name="Normal 4 4 2 4 5 4" xfId="7193"/>
    <cellStyle name="Normal 4 4 2 4 5 5" xfId="7194"/>
    <cellStyle name="Normal 4 4 2 4 6" xfId="7195"/>
    <cellStyle name="Normal 4 4 2 4 6 2" xfId="7196"/>
    <cellStyle name="Normal 4 4 2 4 6 3" xfId="7197"/>
    <cellStyle name="Normal 4 4 2 4 7" xfId="7198"/>
    <cellStyle name="Normal 4 4 2 4 8" xfId="7199"/>
    <cellStyle name="Normal 4 4 2 4 9" xfId="7200"/>
    <cellStyle name="Normal 4 4 2 5" xfId="7201"/>
    <cellStyle name="Normal 4 4 2 5 2" xfId="7202"/>
    <cellStyle name="Normal 4 4 2 5 2 2" xfId="7203"/>
    <cellStyle name="Normal 4 4 2 5 2 2 2" xfId="7204"/>
    <cellStyle name="Normal 4 4 2 5 2 2 2 2" xfId="7205"/>
    <cellStyle name="Normal 4 4 2 5 2 2 2 3" xfId="7206"/>
    <cellStyle name="Normal 4 4 2 5 2 2 3" xfId="7207"/>
    <cellStyle name="Normal 4 4 2 5 2 2 4" xfId="7208"/>
    <cellStyle name="Normal 4 4 2 5 2 2 5" xfId="7209"/>
    <cellStyle name="Normal 4 4 2 5 2 3" xfId="7210"/>
    <cellStyle name="Normal 4 4 2 5 2 3 2" xfId="7211"/>
    <cellStyle name="Normal 4 4 2 5 2 3 2 2" xfId="7212"/>
    <cellStyle name="Normal 4 4 2 5 2 3 2 3" xfId="7213"/>
    <cellStyle name="Normal 4 4 2 5 2 3 3" xfId="7214"/>
    <cellStyle name="Normal 4 4 2 5 2 3 4" xfId="7215"/>
    <cellStyle name="Normal 4 4 2 5 2 3 5" xfId="7216"/>
    <cellStyle name="Normal 4 4 2 5 2 4" xfId="7217"/>
    <cellStyle name="Normal 4 4 2 5 2 4 2" xfId="7218"/>
    <cellStyle name="Normal 4 4 2 5 2 4 3" xfId="7219"/>
    <cellStyle name="Normal 4 4 2 5 2 5" xfId="7220"/>
    <cellStyle name="Normal 4 4 2 5 2 6" xfId="7221"/>
    <cellStyle name="Normal 4 4 2 5 2 7" xfId="7222"/>
    <cellStyle name="Normal 4 4 2 5 3" xfId="7223"/>
    <cellStyle name="Normal 4 4 2 5 3 2" xfId="7224"/>
    <cellStyle name="Normal 4 4 2 5 3 2 2" xfId="7225"/>
    <cellStyle name="Normal 4 4 2 5 3 2 3" xfId="7226"/>
    <cellStyle name="Normal 4 4 2 5 3 3" xfId="7227"/>
    <cellStyle name="Normal 4 4 2 5 3 4" xfId="7228"/>
    <cellStyle name="Normal 4 4 2 5 3 5" xfId="7229"/>
    <cellStyle name="Normal 4 4 2 5 4" xfId="7230"/>
    <cellStyle name="Normal 4 4 2 5 4 2" xfId="7231"/>
    <cellStyle name="Normal 4 4 2 5 4 2 2" xfId="7232"/>
    <cellStyle name="Normal 4 4 2 5 4 2 3" xfId="7233"/>
    <cellStyle name="Normal 4 4 2 5 4 3" xfId="7234"/>
    <cellStyle name="Normal 4 4 2 5 4 4" xfId="7235"/>
    <cellStyle name="Normal 4 4 2 5 4 5" xfId="7236"/>
    <cellStyle name="Normal 4 4 2 5 5" xfId="7237"/>
    <cellStyle name="Normal 4 4 2 5 5 2" xfId="7238"/>
    <cellStyle name="Normal 4 4 2 5 5 3" xfId="7239"/>
    <cellStyle name="Normal 4 4 2 5 6" xfId="7240"/>
    <cellStyle name="Normal 4 4 2 5 7" xfId="7241"/>
    <cellStyle name="Normal 4 4 2 5 8" xfId="7242"/>
    <cellStyle name="Normal 4 4 2 6" xfId="7243"/>
    <cellStyle name="Normal 4 4 2 6 2" xfId="7244"/>
    <cellStyle name="Normal 4 4 2 6 2 2" xfId="7245"/>
    <cellStyle name="Normal 4 4 2 6 2 2 2" xfId="7246"/>
    <cellStyle name="Normal 4 4 2 6 2 2 3" xfId="7247"/>
    <cellStyle name="Normal 4 4 2 6 2 3" xfId="7248"/>
    <cellStyle name="Normal 4 4 2 6 2 4" xfId="7249"/>
    <cellStyle name="Normal 4 4 2 6 2 5" xfId="7250"/>
    <cellStyle name="Normal 4 4 2 6 3" xfId="7251"/>
    <cellStyle name="Normal 4 4 2 6 3 2" xfId="7252"/>
    <cellStyle name="Normal 4 4 2 6 3 2 2" xfId="7253"/>
    <cellStyle name="Normal 4 4 2 6 3 2 3" xfId="7254"/>
    <cellStyle name="Normal 4 4 2 6 3 3" xfId="7255"/>
    <cellStyle name="Normal 4 4 2 6 3 4" xfId="7256"/>
    <cellStyle name="Normal 4 4 2 6 3 5" xfId="7257"/>
    <cellStyle name="Normal 4 4 2 6 4" xfId="7258"/>
    <cellStyle name="Normal 4 4 2 6 4 2" xfId="7259"/>
    <cellStyle name="Normal 4 4 2 6 4 3" xfId="7260"/>
    <cellStyle name="Normal 4 4 2 6 5" xfId="7261"/>
    <cellStyle name="Normal 4 4 2 6 6" xfId="7262"/>
    <cellStyle name="Normal 4 4 2 6 7" xfId="7263"/>
    <cellStyle name="Normal 4 4 2 7" xfId="7264"/>
    <cellStyle name="Normal 4 4 2 7 2" xfId="7265"/>
    <cellStyle name="Normal 4 4 2 7 2 2" xfId="7266"/>
    <cellStyle name="Normal 4 4 2 7 2 2 2" xfId="7267"/>
    <cellStyle name="Normal 4 4 2 7 2 2 3" xfId="7268"/>
    <cellStyle name="Normal 4 4 2 7 2 3" xfId="7269"/>
    <cellStyle name="Normal 4 4 2 7 2 4" xfId="7270"/>
    <cellStyle name="Normal 4 4 2 7 2 5" xfId="7271"/>
    <cellStyle name="Normal 4 4 2 7 3" xfId="7272"/>
    <cellStyle name="Normal 4 4 2 7 3 2" xfId="7273"/>
    <cellStyle name="Normal 4 4 2 7 3 2 2" xfId="7274"/>
    <cellStyle name="Normal 4 4 2 7 3 2 3" xfId="7275"/>
    <cellStyle name="Normal 4 4 2 7 3 3" xfId="7276"/>
    <cellStyle name="Normal 4 4 2 7 3 4" xfId="7277"/>
    <cellStyle name="Normal 4 4 2 7 3 5" xfId="7278"/>
    <cellStyle name="Normal 4 4 2 7 4" xfId="7279"/>
    <cellStyle name="Normal 4 4 2 7 4 2" xfId="7280"/>
    <cellStyle name="Normal 4 4 2 7 4 3" xfId="7281"/>
    <cellStyle name="Normal 4 4 2 7 5" xfId="7282"/>
    <cellStyle name="Normal 4 4 2 7 6" xfId="7283"/>
    <cellStyle name="Normal 4 4 2 7 7" xfId="7284"/>
    <cellStyle name="Normal 4 4 2 8" xfId="7285"/>
    <cellStyle name="Normal 4 4 2 8 2" xfId="7286"/>
    <cellStyle name="Normal 4 4 2 8 2 2" xfId="7287"/>
    <cellStyle name="Normal 4 4 2 8 2 3" xfId="7288"/>
    <cellStyle name="Normal 4 4 2 8 3" xfId="7289"/>
    <cellStyle name="Normal 4 4 2 8 4" xfId="7290"/>
    <cellStyle name="Normal 4 4 2 8 5" xfId="7291"/>
    <cellStyle name="Normal 4 4 2 9" xfId="7292"/>
    <cellStyle name="Normal 4 4 2 9 2" xfId="7293"/>
    <cellStyle name="Normal 4 4 2 9 2 2" xfId="7294"/>
    <cellStyle name="Normal 4 4 2 9 2 3" xfId="7295"/>
    <cellStyle name="Normal 4 4 2 9 3" xfId="7296"/>
    <cellStyle name="Normal 4 4 2 9 4" xfId="7297"/>
    <cellStyle name="Normal 4 4 2 9 5" xfId="7298"/>
    <cellStyle name="Normal 4 4 3" xfId="7299"/>
    <cellStyle name="Normal 4 4 3 2" xfId="7300"/>
    <cellStyle name="Normal 4 4 3 2 2" xfId="7301"/>
    <cellStyle name="Normal 4 4 3 2 2 2" xfId="7302"/>
    <cellStyle name="Normal 4 4 3 2 2 2 2" xfId="7303"/>
    <cellStyle name="Normal 4 4 3 2 2 2 2 2" xfId="7304"/>
    <cellStyle name="Normal 4 4 3 2 2 2 2 3" xfId="7305"/>
    <cellStyle name="Normal 4 4 3 2 2 2 3" xfId="7306"/>
    <cellStyle name="Normal 4 4 3 2 2 2 4" xfId="7307"/>
    <cellStyle name="Normal 4 4 3 2 2 2 5" xfId="7308"/>
    <cellStyle name="Normal 4 4 3 2 2 3" xfId="7309"/>
    <cellStyle name="Normal 4 4 3 2 2 3 2" xfId="7310"/>
    <cellStyle name="Normal 4 4 3 2 2 3 2 2" xfId="7311"/>
    <cellStyle name="Normal 4 4 3 2 2 3 2 3" xfId="7312"/>
    <cellStyle name="Normal 4 4 3 2 2 3 3" xfId="7313"/>
    <cellStyle name="Normal 4 4 3 2 2 3 4" xfId="7314"/>
    <cellStyle name="Normal 4 4 3 2 2 3 5" xfId="7315"/>
    <cellStyle name="Normal 4 4 3 2 2 4" xfId="7316"/>
    <cellStyle name="Normal 4 4 3 2 2 4 2" xfId="7317"/>
    <cellStyle name="Normal 4 4 3 2 2 4 3" xfId="7318"/>
    <cellStyle name="Normal 4 4 3 2 2 5" xfId="7319"/>
    <cellStyle name="Normal 4 4 3 2 2 6" xfId="7320"/>
    <cellStyle name="Normal 4 4 3 2 2 7" xfId="7321"/>
    <cellStyle name="Normal 4 4 3 2 3" xfId="7322"/>
    <cellStyle name="Normal 4 4 3 2 3 2" xfId="7323"/>
    <cellStyle name="Normal 4 4 3 2 3 2 2" xfId="7324"/>
    <cellStyle name="Normal 4 4 3 2 3 2 3" xfId="7325"/>
    <cellStyle name="Normal 4 4 3 2 3 3" xfId="7326"/>
    <cellStyle name="Normal 4 4 3 2 3 4" xfId="7327"/>
    <cellStyle name="Normal 4 4 3 2 3 5" xfId="7328"/>
    <cellStyle name="Normal 4 4 3 2 4" xfId="7329"/>
    <cellStyle name="Normal 4 4 3 2 4 2" xfId="7330"/>
    <cellStyle name="Normal 4 4 3 2 4 2 2" xfId="7331"/>
    <cellStyle name="Normal 4 4 3 2 4 2 3" xfId="7332"/>
    <cellStyle name="Normal 4 4 3 2 4 3" xfId="7333"/>
    <cellStyle name="Normal 4 4 3 2 4 4" xfId="7334"/>
    <cellStyle name="Normal 4 4 3 2 4 5" xfId="7335"/>
    <cellStyle name="Normal 4 4 3 2 5" xfId="7336"/>
    <cellStyle name="Normal 4 4 3 2 5 2" xfId="7337"/>
    <cellStyle name="Normal 4 4 3 2 5 3" xfId="7338"/>
    <cellStyle name="Normal 4 4 3 2 6" xfId="7339"/>
    <cellStyle name="Normal 4 4 3 2 7" xfId="7340"/>
    <cellStyle name="Normal 4 4 3 2 8" xfId="7341"/>
    <cellStyle name="Normal 4 4 3 3" xfId="7342"/>
    <cellStyle name="Normal 4 4 3 3 2" xfId="7343"/>
    <cellStyle name="Normal 4 4 3 3 2 2" xfId="7344"/>
    <cellStyle name="Normal 4 4 3 3 2 2 2" xfId="7345"/>
    <cellStyle name="Normal 4 4 3 3 2 2 3" xfId="7346"/>
    <cellStyle name="Normal 4 4 3 3 2 3" xfId="7347"/>
    <cellStyle name="Normal 4 4 3 3 2 4" xfId="7348"/>
    <cellStyle name="Normal 4 4 3 3 2 5" xfId="7349"/>
    <cellStyle name="Normal 4 4 3 3 3" xfId="7350"/>
    <cellStyle name="Normal 4 4 3 3 3 2" xfId="7351"/>
    <cellStyle name="Normal 4 4 3 3 3 2 2" xfId="7352"/>
    <cellStyle name="Normal 4 4 3 3 3 2 3" xfId="7353"/>
    <cellStyle name="Normal 4 4 3 3 3 3" xfId="7354"/>
    <cellStyle name="Normal 4 4 3 3 3 4" xfId="7355"/>
    <cellStyle name="Normal 4 4 3 3 3 5" xfId="7356"/>
    <cellStyle name="Normal 4 4 3 3 4" xfId="7357"/>
    <cellStyle name="Normal 4 4 3 3 4 2" xfId="7358"/>
    <cellStyle name="Normal 4 4 3 3 4 3" xfId="7359"/>
    <cellStyle name="Normal 4 4 3 3 5" xfId="7360"/>
    <cellStyle name="Normal 4 4 3 3 6" xfId="7361"/>
    <cellStyle name="Normal 4 4 3 3 7" xfId="7362"/>
    <cellStyle name="Normal 4 4 3 4" xfId="7363"/>
    <cellStyle name="Normal 4 4 3 4 2" xfId="7364"/>
    <cellStyle name="Normal 4 4 3 4 2 2" xfId="7365"/>
    <cellStyle name="Normal 4 4 3 4 2 3" xfId="7366"/>
    <cellStyle name="Normal 4 4 3 4 3" xfId="7367"/>
    <cellStyle name="Normal 4 4 3 4 4" xfId="7368"/>
    <cellStyle name="Normal 4 4 3 4 5" xfId="7369"/>
    <cellStyle name="Normal 4 4 3 5" xfId="7370"/>
    <cellStyle name="Normal 4 4 3 5 2" xfId="7371"/>
    <cellStyle name="Normal 4 4 3 5 2 2" xfId="7372"/>
    <cellStyle name="Normal 4 4 3 5 2 3" xfId="7373"/>
    <cellStyle name="Normal 4 4 3 5 3" xfId="7374"/>
    <cellStyle name="Normal 4 4 3 5 4" xfId="7375"/>
    <cellStyle name="Normal 4 4 3 5 5" xfId="7376"/>
    <cellStyle name="Normal 4 4 3 6" xfId="7377"/>
    <cellStyle name="Normal 4 4 3 6 2" xfId="7378"/>
    <cellStyle name="Normal 4 4 3 6 3" xfId="7379"/>
    <cellStyle name="Normal 4 4 3 7" xfId="7380"/>
    <cellStyle name="Normal 4 4 3 8" xfId="7381"/>
    <cellStyle name="Normal 4 4 3 9" xfId="7382"/>
    <cellStyle name="Normal 4 4 4" xfId="7383"/>
    <cellStyle name="Normal 4 4 4 2" xfId="7384"/>
    <cellStyle name="Normal 4 4 4 2 2" xfId="7385"/>
    <cellStyle name="Normal 4 4 4 2 2 2" xfId="7386"/>
    <cellStyle name="Normal 4 4 4 2 2 2 2" xfId="7387"/>
    <cellStyle name="Normal 4 4 4 2 2 2 2 2" xfId="7388"/>
    <cellStyle name="Normal 4 4 4 2 2 2 2 3" xfId="7389"/>
    <cellStyle name="Normal 4 4 4 2 2 2 3" xfId="7390"/>
    <cellStyle name="Normal 4 4 4 2 2 2 4" xfId="7391"/>
    <cellStyle name="Normal 4 4 4 2 2 2 5" xfId="7392"/>
    <cellStyle name="Normal 4 4 4 2 2 3" xfId="7393"/>
    <cellStyle name="Normal 4 4 4 2 2 3 2" xfId="7394"/>
    <cellStyle name="Normal 4 4 4 2 2 3 2 2" xfId="7395"/>
    <cellStyle name="Normal 4 4 4 2 2 3 2 3" xfId="7396"/>
    <cellStyle name="Normal 4 4 4 2 2 3 3" xfId="7397"/>
    <cellStyle name="Normal 4 4 4 2 2 3 4" xfId="7398"/>
    <cellStyle name="Normal 4 4 4 2 2 3 5" xfId="7399"/>
    <cellStyle name="Normal 4 4 4 2 2 4" xfId="7400"/>
    <cellStyle name="Normal 4 4 4 2 2 4 2" xfId="7401"/>
    <cellStyle name="Normal 4 4 4 2 2 4 3" xfId="7402"/>
    <cellStyle name="Normal 4 4 4 2 2 5" xfId="7403"/>
    <cellStyle name="Normal 4 4 4 2 2 6" xfId="7404"/>
    <cellStyle name="Normal 4 4 4 2 2 7" xfId="7405"/>
    <cellStyle name="Normal 4 4 4 2 3" xfId="7406"/>
    <cellStyle name="Normal 4 4 4 2 3 2" xfId="7407"/>
    <cellStyle name="Normal 4 4 4 2 3 2 2" xfId="7408"/>
    <cellStyle name="Normal 4 4 4 2 3 2 3" xfId="7409"/>
    <cellStyle name="Normal 4 4 4 2 3 3" xfId="7410"/>
    <cellStyle name="Normal 4 4 4 2 3 4" xfId="7411"/>
    <cellStyle name="Normal 4 4 4 2 3 5" xfId="7412"/>
    <cellStyle name="Normal 4 4 4 2 4" xfId="7413"/>
    <cellStyle name="Normal 4 4 4 2 4 2" xfId="7414"/>
    <cellStyle name="Normal 4 4 4 2 4 2 2" xfId="7415"/>
    <cellStyle name="Normal 4 4 4 2 4 2 3" xfId="7416"/>
    <cellStyle name="Normal 4 4 4 2 4 3" xfId="7417"/>
    <cellStyle name="Normal 4 4 4 2 4 4" xfId="7418"/>
    <cellStyle name="Normal 4 4 4 2 4 5" xfId="7419"/>
    <cellStyle name="Normal 4 4 4 2 5" xfId="7420"/>
    <cellStyle name="Normal 4 4 4 2 5 2" xfId="7421"/>
    <cellStyle name="Normal 4 4 4 2 5 3" xfId="7422"/>
    <cellStyle name="Normal 4 4 4 2 6" xfId="7423"/>
    <cellStyle name="Normal 4 4 4 2 7" xfId="7424"/>
    <cellStyle name="Normal 4 4 4 2 8" xfId="7425"/>
    <cellStyle name="Normal 4 4 4 3" xfId="7426"/>
    <cellStyle name="Normal 4 4 4 3 2" xfId="7427"/>
    <cellStyle name="Normal 4 4 4 3 2 2" xfId="7428"/>
    <cellStyle name="Normal 4 4 4 3 2 2 2" xfId="7429"/>
    <cellStyle name="Normal 4 4 4 3 2 2 3" xfId="7430"/>
    <cellStyle name="Normal 4 4 4 3 2 3" xfId="7431"/>
    <cellStyle name="Normal 4 4 4 3 2 4" xfId="7432"/>
    <cellStyle name="Normal 4 4 4 3 2 5" xfId="7433"/>
    <cellStyle name="Normal 4 4 4 3 3" xfId="7434"/>
    <cellStyle name="Normal 4 4 4 3 3 2" xfId="7435"/>
    <cellStyle name="Normal 4 4 4 3 3 2 2" xfId="7436"/>
    <cellStyle name="Normal 4 4 4 3 3 2 3" xfId="7437"/>
    <cellStyle name="Normal 4 4 4 3 3 3" xfId="7438"/>
    <cellStyle name="Normal 4 4 4 3 3 4" xfId="7439"/>
    <cellStyle name="Normal 4 4 4 3 3 5" xfId="7440"/>
    <cellStyle name="Normal 4 4 4 3 4" xfId="7441"/>
    <cellStyle name="Normal 4 4 4 3 4 2" xfId="7442"/>
    <cellStyle name="Normal 4 4 4 3 4 3" xfId="7443"/>
    <cellStyle name="Normal 4 4 4 3 5" xfId="7444"/>
    <cellStyle name="Normal 4 4 4 3 6" xfId="7445"/>
    <cellStyle name="Normal 4 4 4 3 7" xfId="7446"/>
    <cellStyle name="Normal 4 4 4 4" xfId="7447"/>
    <cellStyle name="Normal 4 4 4 4 2" xfId="7448"/>
    <cellStyle name="Normal 4 4 4 4 2 2" xfId="7449"/>
    <cellStyle name="Normal 4 4 4 4 2 3" xfId="7450"/>
    <cellStyle name="Normal 4 4 4 4 3" xfId="7451"/>
    <cellStyle name="Normal 4 4 4 4 4" xfId="7452"/>
    <cellStyle name="Normal 4 4 4 4 5" xfId="7453"/>
    <cellStyle name="Normal 4 4 4 5" xfId="7454"/>
    <cellStyle name="Normal 4 4 4 5 2" xfId="7455"/>
    <cellStyle name="Normal 4 4 4 5 2 2" xfId="7456"/>
    <cellStyle name="Normal 4 4 4 5 2 3" xfId="7457"/>
    <cellStyle name="Normal 4 4 4 5 3" xfId="7458"/>
    <cellStyle name="Normal 4 4 4 5 4" xfId="7459"/>
    <cellStyle name="Normal 4 4 4 5 5" xfId="7460"/>
    <cellStyle name="Normal 4 4 4 6" xfId="7461"/>
    <cellStyle name="Normal 4 4 4 6 2" xfId="7462"/>
    <cellStyle name="Normal 4 4 4 6 3" xfId="7463"/>
    <cellStyle name="Normal 4 4 4 7" xfId="7464"/>
    <cellStyle name="Normal 4 4 4 8" xfId="7465"/>
    <cellStyle name="Normal 4 4 4 9" xfId="7466"/>
    <cellStyle name="Normal 4 4 5" xfId="7467"/>
    <cellStyle name="Normal 4 4 5 2" xfId="7468"/>
    <cellStyle name="Normal 4 4 5 2 2" xfId="7469"/>
    <cellStyle name="Normal 4 4 5 2 2 2" xfId="7470"/>
    <cellStyle name="Normal 4 4 5 2 2 2 2" xfId="7471"/>
    <cellStyle name="Normal 4 4 5 2 2 2 2 2" xfId="7472"/>
    <cellStyle name="Normal 4 4 5 2 2 2 2 3" xfId="7473"/>
    <cellStyle name="Normal 4 4 5 2 2 2 3" xfId="7474"/>
    <cellStyle name="Normal 4 4 5 2 2 2 4" xfId="7475"/>
    <cellStyle name="Normal 4 4 5 2 2 2 5" xfId="7476"/>
    <cellStyle name="Normal 4 4 5 2 2 3" xfId="7477"/>
    <cellStyle name="Normal 4 4 5 2 2 3 2" xfId="7478"/>
    <cellStyle name="Normal 4 4 5 2 2 3 2 2" xfId="7479"/>
    <cellStyle name="Normal 4 4 5 2 2 3 2 3" xfId="7480"/>
    <cellStyle name="Normal 4 4 5 2 2 3 3" xfId="7481"/>
    <cellStyle name="Normal 4 4 5 2 2 3 4" xfId="7482"/>
    <cellStyle name="Normal 4 4 5 2 2 3 5" xfId="7483"/>
    <cellStyle name="Normal 4 4 5 2 2 4" xfId="7484"/>
    <cellStyle name="Normal 4 4 5 2 2 4 2" xfId="7485"/>
    <cellStyle name="Normal 4 4 5 2 2 4 3" xfId="7486"/>
    <cellStyle name="Normal 4 4 5 2 2 5" xfId="7487"/>
    <cellStyle name="Normal 4 4 5 2 2 6" xfId="7488"/>
    <cellStyle name="Normal 4 4 5 2 2 7" xfId="7489"/>
    <cellStyle name="Normal 4 4 5 2 3" xfId="7490"/>
    <cellStyle name="Normal 4 4 5 2 3 2" xfId="7491"/>
    <cellStyle name="Normal 4 4 5 2 3 2 2" xfId="7492"/>
    <cellStyle name="Normal 4 4 5 2 3 2 3" xfId="7493"/>
    <cellStyle name="Normal 4 4 5 2 3 3" xfId="7494"/>
    <cellStyle name="Normal 4 4 5 2 3 4" xfId="7495"/>
    <cellStyle name="Normal 4 4 5 2 3 5" xfId="7496"/>
    <cellStyle name="Normal 4 4 5 2 4" xfId="7497"/>
    <cellStyle name="Normal 4 4 5 2 4 2" xfId="7498"/>
    <cellStyle name="Normal 4 4 5 2 4 2 2" xfId="7499"/>
    <cellStyle name="Normal 4 4 5 2 4 2 3" xfId="7500"/>
    <cellStyle name="Normal 4 4 5 2 4 3" xfId="7501"/>
    <cellStyle name="Normal 4 4 5 2 4 4" xfId="7502"/>
    <cellStyle name="Normal 4 4 5 2 4 5" xfId="7503"/>
    <cellStyle name="Normal 4 4 5 2 5" xfId="7504"/>
    <cellStyle name="Normal 4 4 5 2 5 2" xfId="7505"/>
    <cellStyle name="Normal 4 4 5 2 5 3" xfId="7506"/>
    <cellStyle name="Normal 4 4 5 2 6" xfId="7507"/>
    <cellStyle name="Normal 4 4 5 2 7" xfId="7508"/>
    <cellStyle name="Normal 4 4 5 2 8" xfId="7509"/>
    <cellStyle name="Normal 4 4 5 3" xfId="7510"/>
    <cellStyle name="Normal 4 4 5 3 2" xfId="7511"/>
    <cellStyle name="Normal 4 4 5 3 2 2" xfId="7512"/>
    <cellStyle name="Normal 4 4 5 3 2 2 2" xfId="7513"/>
    <cellStyle name="Normal 4 4 5 3 2 2 3" xfId="7514"/>
    <cellStyle name="Normal 4 4 5 3 2 3" xfId="7515"/>
    <cellStyle name="Normal 4 4 5 3 2 4" xfId="7516"/>
    <cellStyle name="Normal 4 4 5 3 2 5" xfId="7517"/>
    <cellStyle name="Normal 4 4 5 3 3" xfId="7518"/>
    <cellStyle name="Normal 4 4 5 3 3 2" xfId="7519"/>
    <cellStyle name="Normal 4 4 5 3 3 2 2" xfId="7520"/>
    <cellStyle name="Normal 4 4 5 3 3 2 3" xfId="7521"/>
    <cellStyle name="Normal 4 4 5 3 3 3" xfId="7522"/>
    <cellStyle name="Normal 4 4 5 3 3 4" xfId="7523"/>
    <cellStyle name="Normal 4 4 5 3 3 5" xfId="7524"/>
    <cellStyle name="Normal 4 4 5 3 4" xfId="7525"/>
    <cellStyle name="Normal 4 4 5 3 4 2" xfId="7526"/>
    <cellStyle name="Normal 4 4 5 3 4 3" xfId="7527"/>
    <cellStyle name="Normal 4 4 5 3 5" xfId="7528"/>
    <cellStyle name="Normal 4 4 5 3 6" xfId="7529"/>
    <cellStyle name="Normal 4 4 5 3 7" xfId="7530"/>
    <cellStyle name="Normal 4 4 5 4" xfId="7531"/>
    <cellStyle name="Normal 4 4 5 4 2" xfId="7532"/>
    <cellStyle name="Normal 4 4 5 4 2 2" xfId="7533"/>
    <cellStyle name="Normal 4 4 5 4 2 3" xfId="7534"/>
    <cellStyle name="Normal 4 4 5 4 3" xfId="7535"/>
    <cellStyle name="Normal 4 4 5 4 4" xfId="7536"/>
    <cellStyle name="Normal 4 4 5 4 5" xfId="7537"/>
    <cellStyle name="Normal 4 4 5 5" xfId="7538"/>
    <cellStyle name="Normal 4 4 5 5 2" xfId="7539"/>
    <cellStyle name="Normal 4 4 5 5 2 2" xfId="7540"/>
    <cellStyle name="Normal 4 4 5 5 2 3" xfId="7541"/>
    <cellStyle name="Normal 4 4 5 5 3" xfId="7542"/>
    <cellStyle name="Normal 4 4 5 5 4" xfId="7543"/>
    <cellStyle name="Normal 4 4 5 5 5" xfId="7544"/>
    <cellStyle name="Normal 4 4 5 6" xfId="7545"/>
    <cellStyle name="Normal 4 4 5 6 2" xfId="7546"/>
    <cellStyle name="Normal 4 4 5 6 3" xfId="7547"/>
    <cellStyle name="Normal 4 4 5 7" xfId="7548"/>
    <cellStyle name="Normal 4 4 5 8" xfId="7549"/>
    <cellStyle name="Normal 4 4 5 9" xfId="7550"/>
    <cellStyle name="Normal 4 4 6" xfId="7551"/>
    <cellStyle name="Normal 4 4 6 2" xfId="7552"/>
    <cellStyle name="Normal 4 4 6 2 2" xfId="7553"/>
    <cellStyle name="Normal 4 4 6 2 2 2" xfId="7554"/>
    <cellStyle name="Normal 4 4 6 2 2 2 2" xfId="7555"/>
    <cellStyle name="Normal 4 4 6 2 2 2 3" xfId="7556"/>
    <cellStyle name="Normal 4 4 6 2 2 3" xfId="7557"/>
    <cellStyle name="Normal 4 4 6 2 2 4" xfId="7558"/>
    <cellStyle name="Normal 4 4 6 2 2 5" xfId="7559"/>
    <cellStyle name="Normal 4 4 6 2 3" xfId="7560"/>
    <cellStyle name="Normal 4 4 6 2 3 2" xfId="7561"/>
    <cellStyle name="Normal 4 4 6 2 3 2 2" xfId="7562"/>
    <cellStyle name="Normal 4 4 6 2 3 2 3" xfId="7563"/>
    <cellStyle name="Normal 4 4 6 2 3 3" xfId="7564"/>
    <cellStyle name="Normal 4 4 6 2 3 4" xfId="7565"/>
    <cellStyle name="Normal 4 4 6 2 3 5" xfId="7566"/>
    <cellStyle name="Normal 4 4 6 2 4" xfId="7567"/>
    <cellStyle name="Normal 4 4 6 2 4 2" xfId="7568"/>
    <cellStyle name="Normal 4 4 6 2 4 3" xfId="7569"/>
    <cellStyle name="Normal 4 4 6 2 5" xfId="7570"/>
    <cellStyle name="Normal 4 4 6 2 6" xfId="7571"/>
    <cellStyle name="Normal 4 4 6 2 7" xfId="7572"/>
    <cellStyle name="Normal 4 4 6 3" xfId="7573"/>
    <cellStyle name="Normal 4 4 6 3 2" xfId="7574"/>
    <cellStyle name="Normal 4 4 6 3 2 2" xfId="7575"/>
    <cellStyle name="Normal 4 4 6 3 2 3" xfId="7576"/>
    <cellStyle name="Normal 4 4 6 3 3" xfId="7577"/>
    <cellStyle name="Normal 4 4 6 3 4" xfId="7578"/>
    <cellStyle name="Normal 4 4 6 3 5" xfId="7579"/>
    <cellStyle name="Normal 4 4 6 4" xfId="7580"/>
    <cellStyle name="Normal 4 4 6 4 2" xfId="7581"/>
    <cellStyle name="Normal 4 4 6 4 2 2" xfId="7582"/>
    <cellStyle name="Normal 4 4 6 4 2 3" xfId="7583"/>
    <cellStyle name="Normal 4 4 6 4 3" xfId="7584"/>
    <cellStyle name="Normal 4 4 6 4 4" xfId="7585"/>
    <cellStyle name="Normal 4 4 6 4 5" xfId="7586"/>
    <cellStyle name="Normal 4 4 6 5" xfId="7587"/>
    <cellStyle name="Normal 4 4 6 5 2" xfId="7588"/>
    <cellStyle name="Normal 4 4 6 5 3" xfId="7589"/>
    <cellStyle name="Normal 4 4 6 6" xfId="7590"/>
    <cellStyle name="Normal 4 4 6 7" xfId="7591"/>
    <cellStyle name="Normal 4 4 6 8" xfId="7592"/>
    <cellStyle name="Normal 4 4 7" xfId="7593"/>
    <cellStyle name="Normal 4 4 7 2" xfId="7594"/>
    <cellStyle name="Normal 4 4 7 2 2" xfId="7595"/>
    <cellStyle name="Normal 4 4 7 2 2 2" xfId="7596"/>
    <cellStyle name="Normal 4 4 7 2 2 3" xfId="7597"/>
    <cellStyle name="Normal 4 4 7 2 3" xfId="7598"/>
    <cellStyle name="Normal 4 4 7 2 4" xfId="7599"/>
    <cellStyle name="Normal 4 4 7 2 5" xfId="7600"/>
    <cellStyle name="Normal 4 4 7 3" xfId="7601"/>
    <cellStyle name="Normal 4 4 7 3 2" xfId="7602"/>
    <cellStyle name="Normal 4 4 7 3 2 2" xfId="7603"/>
    <cellStyle name="Normal 4 4 7 3 2 3" xfId="7604"/>
    <cellStyle name="Normal 4 4 7 3 3" xfId="7605"/>
    <cellStyle name="Normal 4 4 7 3 4" xfId="7606"/>
    <cellStyle name="Normal 4 4 7 3 5" xfId="7607"/>
    <cellStyle name="Normal 4 4 7 4" xfId="7608"/>
    <cellStyle name="Normal 4 4 7 4 2" xfId="7609"/>
    <cellStyle name="Normal 4 4 7 4 3" xfId="7610"/>
    <cellStyle name="Normal 4 4 7 5" xfId="7611"/>
    <cellStyle name="Normal 4 4 7 6" xfId="7612"/>
    <cellStyle name="Normal 4 4 7 7" xfId="7613"/>
    <cellStyle name="Normal 4 4 8" xfId="7614"/>
    <cellStyle name="Normal 4 4 8 2" xfId="7615"/>
    <cellStyle name="Normal 4 4 8 2 2" xfId="7616"/>
    <cellStyle name="Normal 4 4 8 2 2 2" xfId="7617"/>
    <cellStyle name="Normal 4 4 8 2 2 3" xfId="7618"/>
    <cellStyle name="Normal 4 4 8 2 3" xfId="7619"/>
    <cellStyle name="Normal 4 4 8 2 4" xfId="7620"/>
    <cellStyle name="Normal 4 4 8 2 5" xfId="7621"/>
    <cellStyle name="Normal 4 4 8 3" xfId="7622"/>
    <cellStyle name="Normal 4 4 8 3 2" xfId="7623"/>
    <cellStyle name="Normal 4 4 8 3 2 2" xfId="7624"/>
    <cellStyle name="Normal 4 4 8 3 2 3" xfId="7625"/>
    <cellStyle name="Normal 4 4 8 3 3" xfId="7626"/>
    <cellStyle name="Normal 4 4 8 3 4" xfId="7627"/>
    <cellStyle name="Normal 4 4 8 3 5" xfId="7628"/>
    <cellStyle name="Normal 4 4 8 4" xfId="7629"/>
    <cellStyle name="Normal 4 4 8 4 2" xfId="7630"/>
    <cellStyle name="Normal 4 4 8 4 3" xfId="7631"/>
    <cellStyle name="Normal 4 4 8 5" xfId="7632"/>
    <cellStyle name="Normal 4 4 8 6" xfId="7633"/>
    <cellStyle name="Normal 4 4 8 7" xfId="7634"/>
    <cellStyle name="Normal 4 4 9" xfId="7635"/>
    <cellStyle name="Normal 4 4 9 2" xfId="7636"/>
    <cellStyle name="Normal 4 4 9 2 2" xfId="7637"/>
    <cellStyle name="Normal 4 4 9 2 3" xfId="7638"/>
    <cellStyle name="Normal 4 4 9 3" xfId="7639"/>
    <cellStyle name="Normal 4 4 9 4" xfId="7640"/>
    <cellStyle name="Normal 4 4 9 5" xfId="7641"/>
    <cellStyle name="Normal 4 5 10" xfId="7642"/>
    <cellStyle name="Normal 4 5 10 2" xfId="7643"/>
    <cellStyle name="Normal 4 5 10 2 2" xfId="7644"/>
    <cellStyle name="Normal 4 5 10 2 3" xfId="7645"/>
    <cellStyle name="Normal 4 5 10 3" xfId="7646"/>
    <cellStyle name="Normal 4 5 10 4" xfId="7647"/>
    <cellStyle name="Normal 4 5 10 5" xfId="7648"/>
    <cellStyle name="Normal 4 5 11" xfId="7649"/>
    <cellStyle name="Normal 4 5 11 2" xfId="7650"/>
    <cellStyle name="Normal 4 5 11 3" xfId="7651"/>
    <cellStyle name="Normal 4 5 12" xfId="7652"/>
    <cellStyle name="Normal 4 5 13" xfId="7653"/>
    <cellStyle name="Normal 4 5 14" xfId="7654"/>
    <cellStyle name="Normal 4 5 2 10" xfId="7655"/>
    <cellStyle name="Normal 4 5 2 11" xfId="7656"/>
    <cellStyle name="Normal 4 5 2 12" xfId="7657"/>
    <cellStyle name="Normal 4 5 2 2" xfId="7658"/>
    <cellStyle name="Normal 4 5 2 2 2" xfId="7659"/>
    <cellStyle name="Normal 4 5 2 2 2 2" xfId="7660"/>
    <cellStyle name="Normal 4 5 2 2 2 2 2" xfId="7661"/>
    <cellStyle name="Normal 4 5 2 2 2 2 2 2" xfId="7662"/>
    <cellStyle name="Normal 4 5 2 2 2 2 2 2 2" xfId="7663"/>
    <cellStyle name="Normal 4 5 2 2 2 2 2 2 3" xfId="7664"/>
    <cellStyle name="Normal 4 5 2 2 2 2 2 3" xfId="7665"/>
    <cellStyle name="Normal 4 5 2 2 2 2 2 4" xfId="7666"/>
    <cellStyle name="Normal 4 5 2 2 2 2 2 5" xfId="7667"/>
    <cellStyle name="Normal 4 5 2 2 2 2 3" xfId="7668"/>
    <cellStyle name="Normal 4 5 2 2 2 2 3 2" xfId="7669"/>
    <cellStyle name="Normal 4 5 2 2 2 2 3 2 2" xfId="7670"/>
    <cellStyle name="Normal 4 5 2 2 2 2 3 2 3" xfId="7671"/>
    <cellStyle name="Normal 4 5 2 2 2 2 3 3" xfId="7672"/>
    <cellStyle name="Normal 4 5 2 2 2 2 3 4" xfId="7673"/>
    <cellStyle name="Normal 4 5 2 2 2 2 3 5" xfId="7674"/>
    <cellStyle name="Normal 4 5 2 2 2 2 4" xfId="7675"/>
    <cellStyle name="Normal 4 5 2 2 2 2 4 2" xfId="7676"/>
    <cellStyle name="Normal 4 5 2 2 2 2 4 3" xfId="7677"/>
    <cellStyle name="Normal 4 5 2 2 2 2 5" xfId="7678"/>
    <cellStyle name="Normal 4 5 2 2 2 2 6" xfId="7679"/>
    <cellStyle name="Normal 4 5 2 2 2 2 7" xfId="7680"/>
    <cellStyle name="Normal 4 5 2 2 2 3" xfId="7681"/>
    <cellStyle name="Normal 4 5 2 2 2 3 2" xfId="7682"/>
    <cellStyle name="Normal 4 5 2 2 2 3 2 2" xfId="7683"/>
    <cellStyle name="Normal 4 5 2 2 2 3 2 3" xfId="7684"/>
    <cellStyle name="Normal 4 5 2 2 2 3 3" xfId="7685"/>
    <cellStyle name="Normal 4 5 2 2 2 3 4" xfId="7686"/>
    <cellStyle name="Normal 4 5 2 2 2 3 5" xfId="7687"/>
    <cellStyle name="Normal 4 5 2 2 2 4" xfId="7688"/>
    <cellStyle name="Normal 4 5 2 2 2 4 2" xfId="7689"/>
    <cellStyle name="Normal 4 5 2 2 2 4 2 2" xfId="7690"/>
    <cellStyle name="Normal 4 5 2 2 2 4 2 3" xfId="7691"/>
    <cellStyle name="Normal 4 5 2 2 2 4 3" xfId="7692"/>
    <cellStyle name="Normal 4 5 2 2 2 4 4" xfId="7693"/>
    <cellStyle name="Normal 4 5 2 2 2 4 5" xfId="7694"/>
    <cellStyle name="Normal 4 5 2 2 2 5" xfId="7695"/>
    <cellStyle name="Normal 4 5 2 2 2 5 2" xfId="7696"/>
    <cellStyle name="Normal 4 5 2 2 2 5 3" xfId="7697"/>
    <cellStyle name="Normal 4 5 2 2 2 6" xfId="7698"/>
    <cellStyle name="Normal 4 5 2 2 2 7" xfId="7699"/>
    <cellStyle name="Normal 4 5 2 2 2 8" xfId="7700"/>
    <cellStyle name="Normal 4 5 2 2 3" xfId="7701"/>
    <cellStyle name="Normal 4 5 2 2 3 2" xfId="7702"/>
    <cellStyle name="Normal 4 5 2 2 3 2 2" xfId="7703"/>
    <cellStyle name="Normal 4 5 2 2 3 2 2 2" xfId="7704"/>
    <cellStyle name="Normal 4 5 2 2 3 2 2 3" xfId="7705"/>
    <cellStyle name="Normal 4 5 2 2 3 2 3" xfId="7706"/>
    <cellStyle name="Normal 4 5 2 2 3 2 4" xfId="7707"/>
    <cellStyle name="Normal 4 5 2 2 3 2 5" xfId="7708"/>
    <cellStyle name="Normal 4 5 2 2 3 3" xfId="7709"/>
    <cellStyle name="Normal 4 5 2 2 3 3 2" xfId="7710"/>
    <cellStyle name="Normal 4 5 2 2 3 3 2 2" xfId="7711"/>
    <cellStyle name="Normal 4 5 2 2 3 3 2 3" xfId="7712"/>
    <cellStyle name="Normal 4 5 2 2 3 3 3" xfId="7713"/>
    <cellStyle name="Normal 4 5 2 2 3 3 4" xfId="7714"/>
    <cellStyle name="Normal 4 5 2 2 3 3 5" xfId="7715"/>
    <cellStyle name="Normal 4 5 2 2 3 4" xfId="7716"/>
    <cellStyle name="Normal 4 5 2 2 3 4 2" xfId="7717"/>
    <cellStyle name="Normal 4 5 2 2 3 4 3" xfId="7718"/>
    <cellStyle name="Normal 4 5 2 2 3 5" xfId="7719"/>
    <cellStyle name="Normal 4 5 2 2 3 6" xfId="7720"/>
    <cellStyle name="Normal 4 5 2 2 3 7" xfId="7721"/>
    <cellStyle name="Normal 4 5 2 2 4" xfId="7722"/>
    <cellStyle name="Normal 4 5 2 2 4 2" xfId="7723"/>
    <cellStyle name="Normal 4 5 2 2 4 2 2" xfId="7724"/>
    <cellStyle name="Normal 4 5 2 2 4 2 3" xfId="7725"/>
    <cellStyle name="Normal 4 5 2 2 4 3" xfId="7726"/>
    <cellStyle name="Normal 4 5 2 2 4 4" xfId="7727"/>
    <cellStyle name="Normal 4 5 2 2 4 5" xfId="7728"/>
    <cellStyle name="Normal 4 5 2 2 5" xfId="7729"/>
    <cellStyle name="Normal 4 5 2 2 5 2" xfId="7730"/>
    <cellStyle name="Normal 4 5 2 2 5 2 2" xfId="7731"/>
    <cellStyle name="Normal 4 5 2 2 5 2 3" xfId="7732"/>
    <cellStyle name="Normal 4 5 2 2 5 3" xfId="7733"/>
    <cellStyle name="Normal 4 5 2 2 5 4" xfId="7734"/>
    <cellStyle name="Normal 4 5 2 2 5 5" xfId="7735"/>
    <cellStyle name="Normal 4 5 2 2 6" xfId="7736"/>
    <cellStyle name="Normal 4 5 2 2 6 2" xfId="7737"/>
    <cellStyle name="Normal 4 5 2 2 6 3" xfId="7738"/>
    <cellStyle name="Normal 4 5 2 2 7" xfId="7739"/>
    <cellStyle name="Normal 4 5 2 2 8" xfId="7740"/>
    <cellStyle name="Normal 4 5 2 2 9" xfId="7741"/>
    <cellStyle name="Normal 4 5 2 3" xfId="7742"/>
    <cellStyle name="Normal 4 5 2 3 2" xfId="7743"/>
    <cellStyle name="Normal 4 5 2 3 2 2" xfId="7744"/>
    <cellStyle name="Normal 4 5 2 3 2 2 2" xfId="7745"/>
    <cellStyle name="Normal 4 5 2 3 2 2 2 2" xfId="7746"/>
    <cellStyle name="Normal 4 5 2 3 2 2 2 2 2" xfId="7747"/>
    <cellStyle name="Normal 4 5 2 3 2 2 2 2 3" xfId="7748"/>
    <cellStyle name="Normal 4 5 2 3 2 2 2 3" xfId="7749"/>
    <cellStyle name="Normal 4 5 2 3 2 2 2 4" xfId="7750"/>
    <cellStyle name="Normal 4 5 2 3 2 2 2 5" xfId="7751"/>
    <cellStyle name="Normal 4 5 2 3 2 2 3" xfId="7752"/>
    <cellStyle name="Normal 4 5 2 3 2 2 3 2" xfId="7753"/>
    <cellStyle name="Normal 4 5 2 3 2 2 3 2 2" xfId="7754"/>
    <cellStyle name="Normal 4 5 2 3 2 2 3 2 3" xfId="7755"/>
    <cellStyle name="Normal 4 5 2 3 2 2 3 3" xfId="7756"/>
    <cellStyle name="Normal 4 5 2 3 2 2 3 4" xfId="7757"/>
    <cellStyle name="Normal 4 5 2 3 2 2 3 5" xfId="7758"/>
    <cellStyle name="Normal 4 5 2 3 2 2 4" xfId="7759"/>
    <cellStyle name="Normal 4 5 2 3 2 2 4 2" xfId="7760"/>
    <cellStyle name="Normal 4 5 2 3 2 2 4 3" xfId="7761"/>
    <cellStyle name="Normal 4 5 2 3 2 2 5" xfId="7762"/>
    <cellStyle name="Normal 4 5 2 3 2 2 6" xfId="7763"/>
    <cellStyle name="Normal 4 5 2 3 2 2 7" xfId="7764"/>
    <cellStyle name="Normal 4 5 2 3 2 3" xfId="7765"/>
    <cellStyle name="Normal 4 5 2 3 2 3 2" xfId="7766"/>
    <cellStyle name="Normal 4 5 2 3 2 3 2 2" xfId="7767"/>
    <cellStyle name="Normal 4 5 2 3 2 3 2 3" xfId="7768"/>
    <cellStyle name="Normal 4 5 2 3 2 3 3" xfId="7769"/>
    <cellStyle name="Normal 4 5 2 3 2 3 4" xfId="7770"/>
    <cellStyle name="Normal 4 5 2 3 2 3 5" xfId="7771"/>
    <cellStyle name="Normal 4 5 2 3 2 4" xfId="7772"/>
    <cellStyle name="Normal 4 5 2 3 2 4 2" xfId="7773"/>
    <cellStyle name="Normal 4 5 2 3 2 4 2 2" xfId="7774"/>
    <cellStyle name="Normal 4 5 2 3 2 4 2 3" xfId="7775"/>
    <cellStyle name="Normal 4 5 2 3 2 4 3" xfId="7776"/>
    <cellStyle name="Normal 4 5 2 3 2 4 4" xfId="7777"/>
    <cellStyle name="Normal 4 5 2 3 2 4 5" xfId="7778"/>
    <cellStyle name="Normal 4 5 2 3 2 5" xfId="7779"/>
    <cellStyle name="Normal 4 5 2 3 2 5 2" xfId="7780"/>
    <cellStyle name="Normal 4 5 2 3 2 5 3" xfId="7781"/>
    <cellStyle name="Normal 4 5 2 3 2 6" xfId="7782"/>
    <cellStyle name="Normal 4 5 2 3 2 7" xfId="7783"/>
    <cellStyle name="Normal 4 5 2 3 2 8" xfId="7784"/>
    <cellStyle name="Normal 4 5 2 3 3" xfId="7785"/>
    <cellStyle name="Normal 4 5 2 3 3 2" xfId="7786"/>
    <cellStyle name="Normal 4 5 2 3 3 2 2" xfId="7787"/>
    <cellStyle name="Normal 4 5 2 3 3 2 2 2" xfId="7788"/>
    <cellStyle name="Normal 4 5 2 3 3 2 2 3" xfId="7789"/>
    <cellStyle name="Normal 4 5 2 3 3 2 3" xfId="7790"/>
    <cellStyle name="Normal 4 5 2 3 3 2 4" xfId="7791"/>
    <cellStyle name="Normal 4 5 2 3 3 2 5" xfId="7792"/>
    <cellStyle name="Normal 4 5 2 3 3 3" xfId="7793"/>
    <cellStyle name="Normal 4 5 2 3 3 3 2" xfId="7794"/>
    <cellStyle name="Normal 4 5 2 3 3 3 2 2" xfId="7795"/>
    <cellStyle name="Normal 4 5 2 3 3 3 2 3" xfId="7796"/>
    <cellStyle name="Normal 4 5 2 3 3 3 3" xfId="7797"/>
    <cellStyle name="Normal 4 5 2 3 3 3 4" xfId="7798"/>
    <cellStyle name="Normal 4 5 2 3 3 3 5" xfId="7799"/>
    <cellStyle name="Normal 4 5 2 3 3 4" xfId="7800"/>
    <cellStyle name="Normal 4 5 2 3 3 4 2" xfId="7801"/>
    <cellStyle name="Normal 4 5 2 3 3 4 3" xfId="7802"/>
    <cellStyle name="Normal 4 5 2 3 3 5" xfId="7803"/>
    <cellStyle name="Normal 4 5 2 3 3 6" xfId="7804"/>
    <cellStyle name="Normal 4 5 2 3 3 7" xfId="7805"/>
    <cellStyle name="Normal 4 5 2 3 4" xfId="7806"/>
    <cellStyle name="Normal 4 5 2 3 4 2" xfId="7807"/>
    <cellStyle name="Normal 4 5 2 3 4 2 2" xfId="7808"/>
    <cellStyle name="Normal 4 5 2 3 4 2 3" xfId="7809"/>
    <cellStyle name="Normal 4 5 2 3 4 3" xfId="7810"/>
    <cellStyle name="Normal 4 5 2 3 4 4" xfId="7811"/>
    <cellStyle name="Normal 4 5 2 3 4 5" xfId="7812"/>
    <cellStyle name="Normal 4 5 2 3 5" xfId="7813"/>
    <cellStyle name="Normal 4 5 2 3 5 2" xfId="7814"/>
    <cellStyle name="Normal 4 5 2 3 5 2 2" xfId="7815"/>
    <cellStyle name="Normal 4 5 2 3 5 2 3" xfId="7816"/>
    <cellStyle name="Normal 4 5 2 3 5 3" xfId="7817"/>
    <cellStyle name="Normal 4 5 2 3 5 4" xfId="7818"/>
    <cellStyle name="Normal 4 5 2 3 5 5" xfId="7819"/>
    <cellStyle name="Normal 4 5 2 3 6" xfId="7820"/>
    <cellStyle name="Normal 4 5 2 3 6 2" xfId="7821"/>
    <cellStyle name="Normal 4 5 2 3 6 3" xfId="7822"/>
    <cellStyle name="Normal 4 5 2 3 7" xfId="7823"/>
    <cellStyle name="Normal 4 5 2 3 8" xfId="7824"/>
    <cellStyle name="Normal 4 5 2 3 9" xfId="7825"/>
    <cellStyle name="Normal 4 5 2 4" xfId="7826"/>
    <cellStyle name="Normal 4 5 2 4 2" xfId="7827"/>
    <cellStyle name="Normal 4 5 2 4 2 2" xfId="7828"/>
    <cellStyle name="Normal 4 5 2 4 2 2 2" xfId="7829"/>
    <cellStyle name="Normal 4 5 2 4 2 2 2 2" xfId="7830"/>
    <cellStyle name="Normal 4 5 2 4 2 2 2 2 2" xfId="7831"/>
    <cellStyle name="Normal 4 5 2 4 2 2 2 2 3" xfId="7832"/>
    <cellStyle name="Normal 4 5 2 4 2 2 2 3" xfId="7833"/>
    <cellStyle name="Normal 4 5 2 4 2 2 2 4" xfId="7834"/>
    <cellStyle name="Normal 4 5 2 4 2 2 2 5" xfId="7835"/>
    <cellStyle name="Normal 4 5 2 4 2 2 3" xfId="7836"/>
    <cellStyle name="Normal 4 5 2 4 2 2 3 2" xfId="7837"/>
    <cellStyle name="Normal 4 5 2 4 2 2 3 2 2" xfId="7838"/>
    <cellStyle name="Normal 4 5 2 4 2 2 3 2 3" xfId="7839"/>
    <cellStyle name="Normal 4 5 2 4 2 2 3 3" xfId="7840"/>
    <cellStyle name="Normal 4 5 2 4 2 2 3 4" xfId="7841"/>
    <cellStyle name="Normal 4 5 2 4 2 2 3 5" xfId="7842"/>
    <cellStyle name="Normal 4 5 2 4 2 2 4" xfId="7843"/>
    <cellStyle name="Normal 4 5 2 4 2 2 4 2" xfId="7844"/>
    <cellStyle name="Normal 4 5 2 4 2 2 4 3" xfId="7845"/>
    <cellStyle name="Normal 4 5 2 4 2 2 5" xfId="7846"/>
    <cellStyle name="Normal 4 5 2 4 2 2 6" xfId="7847"/>
    <cellStyle name="Normal 4 5 2 4 2 2 7" xfId="7848"/>
    <cellStyle name="Normal 4 5 2 4 2 3" xfId="7849"/>
    <cellStyle name="Normal 4 5 2 4 2 3 2" xfId="7850"/>
    <cellStyle name="Normal 4 5 2 4 2 3 2 2" xfId="7851"/>
    <cellStyle name="Normal 4 5 2 4 2 3 2 3" xfId="7852"/>
    <cellStyle name="Normal 4 5 2 4 2 3 3" xfId="7853"/>
    <cellStyle name="Normal 4 5 2 4 2 3 4" xfId="7854"/>
    <cellStyle name="Normal 4 5 2 4 2 3 5" xfId="7855"/>
    <cellStyle name="Normal 4 5 2 4 2 4" xfId="7856"/>
    <cellStyle name="Normal 4 5 2 4 2 4 2" xfId="7857"/>
    <cellStyle name="Normal 4 5 2 4 2 4 2 2" xfId="7858"/>
    <cellStyle name="Normal 4 5 2 4 2 4 2 3" xfId="7859"/>
    <cellStyle name="Normal 4 5 2 4 2 4 3" xfId="7860"/>
    <cellStyle name="Normal 4 5 2 4 2 4 4" xfId="7861"/>
    <cellStyle name="Normal 4 5 2 4 2 4 5" xfId="7862"/>
    <cellStyle name="Normal 4 5 2 4 2 5" xfId="7863"/>
    <cellStyle name="Normal 4 5 2 4 2 5 2" xfId="7864"/>
    <cellStyle name="Normal 4 5 2 4 2 5 3" xfId="7865"/>
    <cellStyle name="Normal 4 5 2 4 2 6" xfId="7866"/>
    <cellStyle name="Normal 4 5 2 4 2 7" xfId="7867"/>
    <cellStyle name="Normal 4 5 2 4 2 8" xfId="7868"/>
    <cellStyle name="Normal 4 5 2 4 3" xfId="7869"/>
    <cellStyle name="Normal 4 5 2 4 3 2" xfId="7870"/>
    <cellStyle name="Normal 4 5 2 4 3 2 2" xfId="7871"/>
    <cellStyle name="Normal 4 5 2 4 3 2 2 2" xfId="7872"/>
    <cellStyle name="Normal 4 5 2 4 3 2 2 3" xfId="7873"/>
    <cellStyle name="Normal 4 5 2 4 3 2 3" xfId="7874"/>
    <cellStyle name="Normal 4 5 2 4 3 2 4" xfId="7875"/>
    <cellStyle name="Normal 4 5 2 4 3 2 5" xfId="7876"/>
    <cellStyle name="Normal 4 5 2 4 3 3" xfId="7877"/>
    <cellStyle name="Normal 4 5 2 4 3 3 2" xfId="7878"/>
    <cellStyle name="Normal 4 5 2 4 3 3 2 2" xfId="7879"/>
    <cellStyle name="Normal 4 5 2 4 3 3 2 3" xfId="7880"/>
    <cellStyle name="Normal 4 5 2 4 3 3 3" xfId="7881"/>
    <cellStyle name="Normal 4 5 2 4 3 3 4" xfId="7882"/>
    <cellStyle name="Normal 4 5 2 4 3 3 5" xfId="7883"/>
    <cellStyle name="Normal 4 5 2 4 3 4" xfId="7884"/>
    <cellStyle name="Normal 4 5 2 4 3 4 2" xfId="7885"/>
    <cellStyle name="Normal 4 5 2 4 3 4 3" xfId="7886"/>
    <cellStyle name="Normal 4 5 2 4 3 5" xfId="7887"/>
    <cellStyle name="Normal 4 5 2 4 3 6" xfId="7888"/>
    <cellStyle name="Normal 4 5 2 4 3 7" xfId="7889"/>
    <cellStyle name="Normal 4 5 2 4 4" xfId="7890"/>
    <cellStyle name="Normal 4 5 2 4 4 2" xfId="7891"/>
    <cellStyle name="Normal 4 5 2 4 4 2 2" xfId="7892"/>
    <cellStyle name="Normal 4 5 2 4 4 2 3" xfId="7893"/>
    <cellStyle name="Normal 4 5 2 4 4 3" xfId="7894"/>
    <cellStyle name="Normal 4 5 2 4 4 4" xfId="7895"/>
    <cellStyle name="Normal 4 5 2 4 4 5" xfId="7896"/>
    <cellStyle name="Normal 4 5 2 4 5" xfId="7897"/>
    <cellStyle name="Normal 4 5 2 4 5 2" xfId="7898"/>
    <cellStyle name="Normal 4 5 2 4 5 2 2" xfId="7899"/>
    <cellStyle name="Normal 4 5 2 4 5 2 3" xfId="7900"/>
    <cellStyle name="Normal 4 5 2 4 5 3" xfId="7901"/>
    <cellStyle name="Normal 4 5 2 4 5 4" xfId="7902"/>
    <cellStyle name="Normal 4 5 2 4 5 5" xfId="7903"/>
    <cellStyle name="Normal 4 5 2 4 6" xfId="7904"/>
    <cellStyle name="Normal 4 5 2 4 6 2" xfId="7905"/>
    <cellStyle name="Normal 4 5 2 4 6 3" xfId="7906"/>
    <cellStyle name="Normal 4 5 2 4 7" xfId="7907"/>
    <cellStyle name="Normal 4 5 2 4 8" xfId="7908"/>
    <cellStyle name="Normal 4 5 2 4 9" xfId="7909"/>
    <cellStyle name="Normal 4 5 2 5" xfId="7910"/>
    <cellStyle name="Normal 4 5 2 5 2" xfId="7911"/>
    <cellStyle name="Normal 4 5 2 5 2 2" xfId="7912"/>
    <cellStyle name="Normal 4 5 2 5 2 2 2" xfId="7913"/>
    <cellStyle name="Normal 4 5 2 5 2 2 2 2" xfId="7914"/>
    <cellStyle name="Normal 4 5 2 5 2 2 2 3" xfId="7915"/>
    <cellStyle name="Normal 4 5 2 5 2 2 3" xfId="7916"/>
    <cellStyle name="Normal 4 5 2 5 2 2 4" xfId="7917"/>
    <cellStyle name="Normal 4 5 2 5 2 2 5" xfId="7918"/>
    <cellStyle name="Normal 4 5 2 5 2 3" xfId="7919"/>
    <cellStyle name="Normal 4 5 2 5 2 3 2" xfId="7920"/>
    <cellStyle name="Normal 4 5 2 5 2 3 2 2" xfId="7921"/>
    <cellStyle name="Normal 4 5 2 5 2 3 2 3" xfId="7922"/>
    <cellStyle name="Normal 4 5 2 5 2 3 3" xfId="7923"/>
    <cellStyle name="Normal 4 5 2 5 2 3 4" xfId="7924"/>
    <cellStyle name="Normal 4 5 2 5 2 3 5" xfId="7925"/>
    <cellStyle name="Normal 4 5 2 5 2 4" xfId="7926"/>
    <cellStyle name="Normal 4 5 2 5 2 4 2" xfId="7927"/>
    <cellStyle name="Normal 4 5 2 5 2 4 3" xfId="7928"/>
    <cellStyle name="Normal 4 5 2 5 2 5" xfId="7929"/>
    <cellStyle name="Normal 4 5 2 5 2 6" xfId="7930"/>
    <cellStyle name="Normal 4 5 2 5 2 7" xfId="7931"/>
    <cellStyle name="Normal 4 5 2 5 3" xfId="7932"/>
    <cellStyle name="Normal 4 5 2 5 3 2" xfId="7933"/>
    <cellStyle name="Normal 4 5 2 5 3 2 2" xfId="7934"/>
    <cellStyle name="Normal 4 5 2 5 3 2 3" xfId="7935"/>
    <cellStyle name="Normal 4 5 2 5 3 3" xfId="7936"/>
    <cellStyle name="Normal 4 5 2 5 3 4" xfId="7937"/>
    <cellStyle name="Normal 4 5 2 5 3 5" xfId="7938"/>
    <cellStyle name="Normal 4 5 2 5 4" xfId="7939"/>
    <cellStyle name="Normal 4 5 2 5 4 2" xfId="7940"/>
    <cellStyle name="Normal 4 5 2 5 4 2 2" xfId="7941"/>
    <cellStyle name="Normal 4 5 2 5 4 2 3" xfId="7942"/>
    <cellStyle name="Normal 4 5 2 5 4 3" xfId="7943"/>
    <cellStyle name="Normal 4 5 2 5 4 4" xfId="7944"/>
    <cellStyle name="Normal 4 5 2 5 4 5" xfId="7945"/>
    <cellStyle name="Normal 4 5 2 5 5" xfId="7946"/>
    <cellStyle name="Normal 4 5 2 5 5 2" xfId="7947"/>
    <cellStyle name="Normal 4 5 2 5 5 3" xfId="7948"/>
    <cellStyle name="Normal 4 5 2 5 6" xfId="7949"/>
    <cellStyle name="Normal 4 5 2 5 7" xfId="7950"/>
    <cellStyle name="Normal 4 5 2 5 8" xfId="7951"/>
    <cellStyle name="Normal 4 5 2 6" xfId="7952"/>
    <cellStyle name="Normal 4 5 2 6 2" xfId="7953"/>
    <cellStyle name="Normal 4 5 2 6 2 2" xfId="7954"/>
    <cellStyle name="Normal 4 5 2 6 2 2 2" xfId="7955"/>
    <cellStyle name="Normal 4 5 2 6 2 2 3" xfId="7956"/>
    <cellStyle name="Normal 4 5 2 6 2 3" xfId="7957"/>
    <cellStyle name="Normal 4 5 2 6 2 4" xfId="7958"/>
    <cellStyle name="Normal 4 5 2 6 2 5" xfId="7959"/>
    <cellStyle name="Normal 4 5 2 6 3" xfId="7960"/>
    <cellStyle name="Normal 4 5 2 6 3 2" xfId="7961"/>
    <cellStyle name="Normal 4 5 2 6 3 2 2" xfId="7962"/>
    <cellStyle name="Normal 4 5 2 6 3 2 3" xfId="7963"/>
    <cellStyle name="Normal 4 5 2 6 3 3" xfId="7964"/>
    <cellStyle name="Normal 4 5 2 6 3 4" xfId="7965"/>
    <cellStyle name="Normal 4 5 2 6 3 5" xfId="7966"/>
    <cellStyle name="Normal 4 5 2 6 4" xfId="7967"/>
    <cellStyle name="Normal 4 5 2 6 4 2" xfId="7968"/>
    <cellStyle name="Normal 4 5 2 6 4 3" xfId="7969"/>
    <cellStyle name="Normal 4 5 2 6 5" xfId="7970"/>
    <cellStyle name="Normal 4 5 2 6 6" xfId="7971"/>
    <cellStyle name="Normal 4 5 2 6 7" xfId="7972"/>
    <cellStyle name="Normal 4 5 2 7" xfId="7973"/>
    <cellStyle name="Normal 4 5 2 7 2" xfId="7974"/>
    <cellStyle name="Normal 4 5 2 7 2 2" xfId="7975"/>
    <cellStyle name="Normal 4 5 2 7 2 3" xfId="7976"/>
    <cellStyle name="Normal 4 5 2 7 3" xfId="7977"/>
    <cellStyle name="Normal 4 5 2 7 4" xfId="7978"/>
    <cellStyle name="Normal 4 5 2 7 5" xfId="7979"/>
    <cellStyle name="Normal 4 5 2 8" xfId="7980"/>
    <cellStyle name="Normal 4 5 2 8 2" xfId="7981"/>
    <cellStyle name="Normal 4 5 2 8 2 2" xfId="7982"/>
    <cellStyle name="Normal 4 5 2 8 2 3" xfId="7983"/>
    <cellStyle name="Normal 4 5 2 8 3" xfId="7984"/>
    <cellStyle name="Normal 4 5 2 8 4" xfId="7985"/>
    <cellStyle name="Normal 4 5 2 8 5" xfId="7986"/>
    <cellStyle name="Normal 4 5 2 9" xfId="7987"/>
    <cellStyle name="Normal 4 5 2 9 2" xfId="7988"/>
    <cellStyle name="Normal 4 5 2 9 3" xfId="7989"/>
    <cellStyle name="Normal 4 5 3" xfId="7990"/>
    <cellStyle name="Normal 4 5 3 2" xfId="7991"/>
    <cellStyle name="Normal 4 5 3 2 2" xfId="7992"/>
    <cellStyle name="Normal 4 5 3 2 2 2" xfId="7993"/>
    <cellStyle name="Normal 4 5 3 2 2 2 2" xfId="7994"/>
    <cellStyle name="Normal 4 5 3 2 2 2 2 2" xfId="7995"/>
    <cellStyle name="Normal 4 5 3 2 2 2 2 3" xfId="7996"/>
    <cellStyle name="Normal 4 5 3 2 2 2 3" xfId="7997"/>
    <cellStyle name="Normal 4 5 3 2 2 2 4" xfId="7998"/>
    <cellStyle name="Normal 4 5 3 2 2 2 5" xfId="7999"/>
    <cellStyle name="Normal 4 5 3 2 2 3" xfId="8000"/>
    <cellStyle name="Normal 4 5 3 2 2 3 2" xfId="8001"/>
    <cellStyle name="Normal 4 5 3 2 2 3 2 2" xfId="8002"/>
    <cellStyle name="Normal 4 5 3 2 2 3 2 3" xfId="8003"/>
    <cellStyle name="Normal 4 5 3 2 2 3 3" xfId="8004"/>
    <cellStyle name="Normal 4 5 3 2 2 3 4" xfId="8005"/>
    <cellStyle name="Normal 4 5 3 2 2 3 5" xfId="8006"/>
    <cellStyle name="Normal 4 5 3 2 2 4" xfId="8007"/>
    <cellStyle name="Normal 4 5 3 2 2 4 2" xfId="8008"/>
    <cellStyle name="Normal 4 5 3 2 2 4 3" xfId="8009"/>
    <cellStyle name="Normal 4 5 3 2 2 5" xfId="8010"/>
    <cellStyle name="Normal 4 5 3 2 2 6" xfId="8011"/>
    <cellStyle name="Normal 4 5 3 2 2 7" xfId="8012"/>
    <cellStyle name="Normal 4 5 3 2 3" xfId="8013"/>
    <cellStyle name="Normal 4 5 3 2 3 2" xfId="8014"/>
    <cellStyle name="Normal 4 5 3 2 3 2 2" xfId="8015"/>
    <cellStyle name="Normal 4 5 3 2 3 2 3" xfId="8016"/>
    <cellStyle name="Normal 4 5 3 2 3 3" xfId="8017"/>
    <cellStyle name="Normal 4 5 3 2 3 4" xfId="8018"/>
    <cellStyle name="Normal 4 5 3 2 3 5" xfId="8019"/>
    <cellStyle name="Normal 4 5 3 2 4" xfId="8020"/>
    <cellStyle name="Normal 4 5 3 2 4 2" xfId="8021"/>
    <cellStyle name="Normal 4 5 3 2 4 2 2" xfId="8022"/>
    <cellStyle name="Normal 4 5 3 2 4 2 3" xfId="8023"/>
    <cellStyle name="Normal 4 5 3 2 4 3" xfId="8024"/>
    <cellStyle name="Normal 4 5 3 2 4 4" xfId="8025"/>
    <cellStyle name="Normal 4 5 3 2 4 5" xfId="8026"/>
    <cellStyle name="Normal 4 5 3 2 5" xfId="8027"/>
    <cellStyle name="Normal 4 5 3 2 5 2" xfId="8028"/>
    <cellStyle name="Normal 4 5 3 2 5 3" xfId="8029"/>
    <cellStyle name="Normal 4 5 3 2 6" xfId="8030"/>
    <cellStyle name="Normal 4 5 3 2 7" xfId="8031"/>
    <cellStyle name="Normal 4 5 3 2 8" xfId="8032"/>
    <cellStyle name="Normal 4 5 3 3" xfId="8033"/>
    <cellStyle name="Normal 4 5 3 3 2" xfId="8034"/>
    <cellStyle name="Normal 4 5 3 3 2 2" xfId="8035"/>
    <cellStyle name="Normal 4 5 3 3 2 2 2" xfId="8036"/>
    <cellStyle name="Normal 4 5 3 3 2 2 3" xfId="8037"/>
    <cellStyle name="Normal 4 5 3 3 2 3" xfId="8038"/>
    <cellStyle name="Normal 4 5 3 3 2 4" xfId="8039"/>
    <cellStyle name="Normal 4 5 3 3 2 5" xfId="8040"/>
    <cellStyle name="Normal 4 5 3 3 3" xfId="8041"/>
    <cellStyle name="Normal 4 5 3 3 3 2" xfId="8042"/>
    <cellStyle name="Normal 4 5 3 3 3 2 2" xfId="8043"/>
    <cellStyle name="Normal 4 5 3 3 3 2 3" xfId="8044"/>
    <cellStyle name="Normal 4 5 3 3 3 3" xfId="8045"/>
    <cellStyle name="Normal 4 5 3 3 3 4" xfId="8046"/>
    <cellStyle name="Normal 4 5 3 3 3 5" xfId="8047"/>
    <cellStyle name="Normal 4 5 3 3 4" xfId="8048"/>
    <cellStyle name="Normal 4 5 3 3 4 2" xfId="8049"/>
    <cellStyle name="Normal 4 5 3 3 4 3" xfId="8050"/>
    <cellStyle name="Normal 4 5 3 3 5" xfId="8051"/>
    <cellStyle name="Normal 4 5 3 3 6" xfId="8052"/>
    <cellStyle name="Normal 4 5 3 3 7" xfId="8053"/>
    <cellStyle name="Normal 4 5 3 4" xfId="8054"/>
    <cellStyle name="Normal 4 5 3 4 2" xfId="8055"/>
    <cellStyle name="Normal 4 5 3 4 2 2" xfId="8056"/>
    <cellStyle name="Normal 4 5 3 4 2 3" xfId="8057"/>
    <cellStyle name="Normal 4 5 3 4 3" xfId="8058"/>
    <cellStyle name="Normal 4 5 3 4 4" xfId="8059"/>
    <cellStyle name="Normal 4 5 3 4 5" xfId="8060"/>
    <cellStyle name="Normal 4 5 3 5" xfId="8061"/>
    <cellStyle name="Normal 4 5 3 5 2" xfId="8062"/>
    <cellStyle name="Normal 4 5 3 5 2 2" xfId="8063"/>
    <cellStyle name="Normal 4 5 3 5 2 3" xfId="8064"/>
    <cellStyle name="Normal 4 5 3 5 3" xfId="8065"/>
    <cellStyle name="Normal 4 5 3 5 4" xfId="8066"/>
    <cellStyle name="Normal 4 5 3 5 5" xfId="8067"/>
    <cellStyle name="Normal 4 5 3 6" xfId="8068"/>
    <cellStyle name="Normal 4 5 3 6 2" xfId="8069"/>
    <cellStyle name="Normal 4 5 3 6 3" xfId="8070"/>
    <cellStyle name="Normal 4 5 3 7" xfId="8071"/>
    <cellStyle name="Normal 4 5 3 8" xfId="8072"/>
    <cellStyle name="Normal 4 5 3 9" xfId="8073"/>
    <cellStyle name="Normal 4 5 4" xfId="8074"/>
    <cellStyle name="Normal 4 5 4 2" xfId="8075"/>
    <cellStyle name="Normal 4 5 4 2 2" xfId="8076"/>
    <cellStyle name="Normal 4 5 4 2 2 2" xfId="8077"/>
    <cellStyle name="Normal 4 5 4 2 2 2 2" xfId="8078"/>
    <cellStyle name="Normal 4 5 4 2 2 2 2 2" xfId="8079"/>
    <cellStyle name="Normal 4 5 4 2 2 2 2 3" xfId="8080"/>
    <cellStyle name="Normal 4 5 4 2 2 2 3" xfId="8081"/>
    <cellStyle name="Normal 4 5 4 2 2 2 4" xfId="8082"/>
    <cellStyle name="Normal 4 5 4 2 2 2 5" xfId="8083"/>
    <cellStyle name="Normal 4 5 4 2 2 3" xfId="8084"/>
    <cellStyle name="Normal 4 5 4 2 2 3 2" xfId="8085"/>
    <cellStyle name="Normal 4 5 4 2 2 3 2 2" xfId="8086"/>
    <cellStyle name="Normal 4 5 4 2 2 3 2 3" xfId="8087"/>
    <cellStyle name="Normal 4 5 4 2 2 3 3" xfId="8088"/>
    <cellStyle name="Normal 4 5 4 2 2 3 4" xfId="8089"/>
    <cellStyle name="Normal 4 5 4 2 2 3 5" xfId="8090"/>
    <cellStyle name="Normal 4 5 4 2 2 4" xfId="8091"/>
    <cellStyle name="Normal 4 5 4 2 2 4 2" xfId="8092"/>
    <cellStyle name="Normal 4 5 4 2 2 4 3" xfId="8093"/>
    <cellStyle name="Normal 4 5 4 2 2 5" xfId="8094"/>
    <cellStyle name="Normal 4 5 4 2 2 6" xfId="8095"/>
    <cellStyle name="Normal 4 5 4 2 2 7" xfId="8096"/>
    <cellStyle name="Normal 4 5 4 2 3" xfId="8097"/>
    <cellStyle name="Normal 4 5 4 2 3 2" xfId="8098"/>
    <cellStyle name="Normal 4 5 4 2 3 2 2" xfId="8099"/>
    <cellStyle name="Normal 4 5 4 2 3 2 3" xfId="8100"/>
    <cellStyle name="Normal 4 5 4 2 3 3" xfId="8101"/>
    <cellStyle name="Normal 4 5 4 2 3 4" xfId="8102"/>
    <cellStyle name="Normal 4 5 4 2 3 5" xfId="8103"/>
    <cellStyle name="Normal 4 5 4 2 4" xfId="8104"/>
    <cellStyle name="Normal 4 5 4 2 4 2" xfId="8105"/>
    <cellStyle name="Normal 4 5 4 2 4 2 2" xfId="8106"/>
    <cellStyle name="Normal 4 5 4 2 4 2 3" xfId="8107"/>
    <cellStyle name="Normal 4 5 4 2 4 3" xfId="8108"/>
    <cellStyle name="Normal 4 5 4 2 4 4" xfId="8109"/>
    <cellStyle name="Normal 4 5 4 2 4 5" xfId="8110"/>
    <cellStyle name="Normal 4 5 4 2 5" xfId="8111"/>
    <cellStyle name="Normal 4 5 4 2 5 2" xfId="8112"/>
    <cellStyle name="Normal 4 5 4 2 5 3" xfId="8113"/>
    <cellStyle name="Normal 4 5 4 2 6" xfId="8114"/>
    <cellStyle name="Normal 4 5 4 2 7" xfId="8115"/>
    <cellStyle name="Normal 4 5 4 2 8" xfId="8116"/>
    <cellStyle name="Normal 4 5 4 3" xfId="8117"/>
    <cellStyle name="Normal 4 5 4 3 2" xfId="8118"/>
    <cellStyle name="Normal 4 5 4 3 2 2" xfId="8119"/>
    <cellStyle name="Normal 4 5 4 3 2 2 2" xfId="8120"/>
    <cellStyle name="Normal 4 5 4 3 2 2 3" xfId="8121"/>
    <cellStyle name="Normal 4 5 4 3 2 3" xfId="8122"/>
    <cellStyle name="Normal 4 5 4 3 2 4" xfId="8123"/>
    <cellStyle name="Normal 4 5 4 3 2 5" xfId="8124"/>
    <cellStyle name="Normal 4 5 4 3 3" xfId="8125"/>
    <cellStyle name="Normal 4 5 4 3 3 2" xfId="8126"/>
    <cellStyle name="Normal 4 5 4 3 3 2 2" xfId="8127"/>
    <cellStyle name="Normal 4 5 4 3 3 2 3" xfId="8128"/>
    <cellStyle name="Normal 4 5 4 3 3 3" xfId="8129"/>
    <cellStyle name="Normal 4 5 4 3 3 4" xfId="8130"/>
    <cellStyle name="Normal 4 5 4 3 3 5" xfId="8131"/>
    <cellStyle name="Normal 4 5 4 3 4" xfId="8132"/>
    <cellStyle name="Normal 4 5 4 3 4 2" xfId="8133"/>
    <cellStyle name="Normal 4 5 4 3 4 3" xfId="8134"/>
    <cellStyle name="Normal 4 5 4 3 5" xfId="8135"/>
    <cellStyle name="Normal 4 5 4 3 6" xfId="8136"/>
    <cellStyle name="Normal 4 5 4 3 7" xfId="8137"/>
    <cellStyle name="Normal 4 5 4 4" xfId="8138"/>
    <cellStyle name="Normal 4 5 4 4 2" xfId="8139"/>
    <cellStyle name="Normal 4 5 4 4 2 2" xfId="8140"/>
    <cellStyle name="Normal 4 5 4 4 2 3" xfId="8141"/>
    <cellStyle name="Normal 4 5 4 4 3" xfId="8142"/>
    <cellStyle name="Normal 4 5 4 4 4" xfId="8143"/>
    <cellStyle name="Normal 4 5 4 4 5" xfId="8144"/>
    <cellStyle name="Normal 4 5 4 5" xfId="8145"/>
    <cellStyle name="Normal 4 5 4 5 2" xfId="8146"/>
    <cellStyle name="Normal 4 5 4 5 2 2" xfId="8147"/>
    <cellStyle name="Normal 4 5 4 5 2 3" xfId="8148"/>
    <cellStyle name="Normal 4 5 4 5 3" xfId="8149"/>
    <cellStyle name="Normal 4 5 4 5 4" xfId="8150"/>
    <cellStyle name="Normal 4 5 4 5 5" xfId="8151"/>
    <cellStyle name="Normal 4 5 4 6" xfId="8152"/>
    <cellStyle name="Normal 4 5 4 6 2" xfId="8153"/>
    <cellStyle name="Normal 4 5 4 6 3" xfId="8154"/>
    <cellStyle name="Normal 4 5 4 7" xfId="8155"/>
    <cellStyle name="Normal 4 5 4 8" xfId="8156"/>
    <cellStyle name="Normal 4 5 4 9" xfId="8157"/>
    <cellStyle name="Normal 4 5 5" xfId="8158"/>
    <cellStyle name="Normal 4 5 5 2" xfId="8159"/>
    <cellStyle name="Normal 4 5 5 2 2" xfId="8160"/>
    <cellStyle name="Normal 4 5 5 2 2 2" xfId="8161"/>
    <cellStyle name="Normal 4 5 5 2 2 2 2" xfId="8162"/>
    <cellStyle name="Normal 4 5 5 2 2 2 2 2" xfId="8163"/>
    <cellStyle name="Normal 4 5 5 2 2 2 2 3" xfId="8164"/>
    <cellStyle name="Normal 4 5 5 2 2 2 3" xfId="8165"/>
    <cellStyle name="Normal 4 5 5 2 2 2 4" xfId="8166"/>
    <cellStyle name="Normal 4 5 5 2 2 2 5" xfId="8167"/>
    <cellStyle name="Normal 4 5 5 2 2 3" xfId="8168"/>
    <cellStyle name="Normal 4 5 5 2 2 3 2" xfId="8169"/>
    <cellStyle name="Normal 4 5 5 2 2 3 2 2" xfId="8170"/>
    <cellStyle name="Normal 4 5 5 2 2 3 2 3" xfId="8171"/>
    <cellStyle name="Normal 4 5 5 2 2 3 3" xfId="8172"/>
    <cellStyle name="Normal 4 5 5 2 2 3 4" xfId="8173"/>
    <cellStyle name="Normal 4 5 5 2 2 3 5" xfId="8174"/>
    <cellStyle name="Normal 4 5 5 2 2 4" xfId="8175"/>
    <cellStyle name="Normal 4 5 5 2 2 4 2" xfId="8176"/>
    <cellStyle name="Normal 4 5 5 2 2 4 3" xfId="8177"/>
    <cellStyle name="Normal 4 5 5 2 2 5" xfId="8178"/>
    <cellStyle name="Normal 4 5 5 2 2 6" xfId="8179"/>
    <cellStyle name="Normal 4 5 5 2 2 7" xfId="8180"/>
    <cellStyle name="Normal 4 5 5 2 3" xfId="8181"/>
    <cellStyle name="Normal 4 5 5 2 3 2" xfId="8182"/>
    <cellStyle name="Normal 4 5 5 2 3 2 2" xfId="8183"/>
    <cellStyle name="Normal 4 5 5 2 3 2 3" xfId="8184"/>
    <cellStyle name="Normal 4 5 5 2 3 3" xfId="8185"/>
    <cellStyle name="Normal 4 5 5 2 3 4" xfId="8186"/>
    <cellStyle name="Normal 4 5 5 2 3 5" xfId="8187"/>
    <cellStyle name="Normal 4 5 5 2 4" xfId="8188"/>
    <cellStyle name="Normal 4 5 5 2 4 2" xfId="8189"/>
    <cellStyle name="Normal 4 5 5 2 4 2 2" xfId="8190"/>
    <cellStyle name="Normal 4 5 5 2 4 2 3" xfId="8191"/>
    <cellStyle name="Normal 4 5 5 2 4 3" xfId="8192"/>
    <cellStyle name="Normal 4 5 5 2 4 4" xfId="8193"/>
    <cellStyle name="Normal 4 5 5 2 4 5" xfId="8194"/>
    <cellStyle name="Normal 4 5 5 2 5" xfId="8195"/>
    <cellStyle name="Normal 4 5 5 2 5 2" xfId="8196"/>
    <cellStyle name="Normal 4 5 5 2 5 3" xfId="8197"/>
    <cellStyle name="Normal 4 5 5 2 6" xfId="8198"/>
    <cellStyle name="Normal 4 5 5 2 7" xfId="8199"/>
    <cellStyle name="Normal 4 5 5 2 8" xfId="8200"/>
    <cellStyle name="Normal 4 5 5 3" xfId="8201"/>
    <cellStyle name="Normal 4 5 5 3 2" xfId="8202"/>
    <cellStyle name="Normal 4 5 5 3 2 2" xfId="8203"/>
    <cellStyle name="Normal 4 5 5 3 2 2 2" xfId="8204"/>
    <cellStyle name="Normal 4 5 5 3 2 2 3" xfId="8205"/>
    <cellStyle name="Normal 4 5 5 3 2 3" xfId="8206"/>
    <cellStyle name="Normal 4 5 5 3 2 4" xfId="8207"/>
    <cellStyle name="Normal 4 5 5 3 2 5" xfId="8208"/>
    <cellStyle name="Normal 4 5 5 3 3" xfId="8209"/>
    <cellStyle name="Normal 4 5 5 3 3 2" xfId="8210"/>
    <cellStyle name="Normal 4 5 5 3 3 2 2" xfId="8211"/>
    <cellStyle name="Normal 4 5 5 3 3 2 3" xfId="8212"/>
    <cellStyle name="Normal 4 5 5 3 3 3" xfId="8213"/>
    <cellStyle name="Normal 4 5 5 3 3 4" xfId="8214"/>
    <cellStyle name="Normal 4 5 5 3 3 5" xfId="8215"/>
    <cellStyle name="Normal 4 5 5 3 4" xfId="8216"/>
    <cellStyle name="Normal 4 5 5 3 4 2" xfId="8217"/>
    <cellStyle name="Normal 4 5 5 3 4 3" xfId="8218"/>
    <cellStyle name="Normal 4 5 5 3 5" xfId="8219"/>
    <cellStyle name="Normal 4 5 5 3 6" xfId="8220"/>
    <cellStyle name="Normal 4 5 5 3 7" xfId="8221"/>
    <cellStyle name="Normal 4 5 5 4" xfId="8222"/>
    <cellStyle name="Normal 4 5 5 4 2" xfId="8223"/>
    <cellStyle name="Normal 4 5 5 4 2 2" xfId="8224"/>
    <cellStyle name="Normal 4 5 5 4 2 3" xfId="8225"/>
    <cellStyle name="Normal 4 5 5 4 3" xfId="8226"/>
    <cellStyle name="Normal 4 5 5 4 4" xfId="8227"/>
    <cellStyle name="Normal 4 5 5 4 5" xfId="8228"/>
    <cellStyle name="Normal 4 5 5 5" xfId="8229"/>
    <cellStyle name="Normal 4 5 5 5 2" xfId="8230"/>
    <cellStyle name="Normal 4 5 5 5 2 2" xfId="8231"/>
    <cellStyle name="Normal 4 5 5 5 2 3" xfId="8232"/>
    <cellStyle name="Normal 4 5 5 5 3" xfId="8233"/>
    <cellStyle name="Normal 4 5 5 5 4" xfId="8234"/>
    <cellStyle name="Normal 4 5 5 5 5" xfId="8235"/>
    <cellStyle name="Normal 4 5 5 6" xfId="8236"/>
    <cellStyle name="Normal 4 5 5 6 2" xfId="8237"/>
    <cellStyle name="Normal 4 5 5 6 3" xfId="8238"/>
    <cellStyle name="Normal 4 5 5 7" xfId="8239"/>
    <cellStyle name="Normal 4 5 5 8" xfId="8240"/>
    <cellStyle name="Normal 4 5 5 9" xfId="8241"/>
    <cellStyle name="Normal 4 5 6" xfId="8242"/>
    <cellStyle name="Normal 4 5 6 2" xfId="8243"/>
    <cellStyle name="Normal 4 5 6 2 2" xfId="8244"/>
    <cellStyle name="Normal 4 5 6 2 2 2" xfId="8245"/>
    <cellStyle name="Normal 4 5 6 2 2 2 2" xfId="8246"/>
    <cellStyle name="Normal 4 5 6 2 2 2 3" xfId="8247"/>
    <cellStyle name="Normal 4 5 6 2 2 3" xfId="8248"/>
    <cellStyle name="Normal 4 5 6 2 2 4" xfId="8249"/>
    <cellStyle name="Normal 4 5 6 2 2 5" xfId="8250"/>
    <cellStyle name="Normal 4 5 6 2 3" xfId="8251"/>
    <cellStyle name="Normal 4 5 6 2 3 2" xfId="8252"/>
    <cellStyle name="Normal 4 5 6 2 3 2 2" xfId="8253"/>
    <cellStyle name="Normal 4 5 6 2 3 2 3" xfId="8254"/>
    <cellStyle name="Normal 4 5 6 2 3 3" xfId="8255"/>
    <cellStyle name="Normal 4 5 6 2 3 4" xfId="8256"/>
    <cellStyle name="Normal 4 5 6 2 3 5" xfId="8257"/>
    <cellStyle name="Normal 4 5 6 2 4" xfId="8258"/>
    <cellStyle name="Normal 4 5 6 2 4 2" xfId="8259"/>
    <cellStyle name="Normal 4 5 6 2 4 3" xfId="8260"/>
    <cellStyle name="Normal 4 5 6 2 5" xfId="8261"/>
    <cellStyle name="Normal 4 5 6 2 6" xfId="8262"/>
    <cellStyle name="Normal 4 5 6 2 7" xfId="8263"/>
    <cellStyle name="Normal 4 5 6 3" xfId="8264"/>
    <cellStyle name="Normal 4 5 6 3 2" xfId="8265"/>
    <cellStyle name="Normal 4 5 6 3 2 2" xfId="8266"/>
    <cellStyle name="Normal 4 5 6 3 2 3" xfId="8267"/>
    <cellStyle name="Normal 4 5 6 3 3" xfId="8268"/>
    <cellStyle name="Normal 4 5 6 3 4" xfId="8269"/>
    <cellStyle name="Normal 4 5 6 3 5" xfId="8270"/>
    <cellStyle name="Normal 4 5 6 4" xfId="8271"/>
    <cellStyle name="Normal 4 5 6 4 2" xfId="8272"/>
    <cellStyle name="Normal 4 5 6 4 2 2" xfId="8273"/>
    <cellStyle name="Normal 4 5 6 4 2 3" xfId="8274"/>
    <cellStyle name="Normal 4 5 6 4 3" xfId="8275"/>
    <cellStyle name="Normal 4 5 6 4 4" xfId="8276"/>
    <cellStyle name="Normal 4 5 6 4 5" xfId="8277"/>
    <cellStyle name="Normal 4 5 6 5" xfId="8278"/>
    <cellStyle name="Normal 4 5 6 5 2" xfId="8279"/>
    <cellStyle name="Normal 4 5 6 5 3" xfId="8280"/>
    <cellStyle name="Normal 4 5 6 6" xfId="8281"/>
    <cellStyle name="Normal 4 5 6 7" xfId="8282"/>
    <cellStyle name="Normal 4 5 6 8" xfId="8283"/>
    <cellStyle name="Normal 4 5 7" xfId="8284"/>
    <cellStyle name="Normal 4 5 7 2" xfId="8285"/>
    <cellStyle name="Normal 4 5 7 2 2" xfId="8286"/>
    <cellStyle name="Normal 4 5 7 2 2 2" xfId="8287"/>
    <cellStyle name="Normal 4 5 7 2 2 3" xfId="8288"/>
    <cellStyle name="Normal 4 5 7 2 3" xfId="8289"/>
    <cellStyle name="Normal 4 5 7 2 4" xfId="8290"/>
    <cellStyle name="Normal 4 5 7 2 5" xfId="8291"/>
    <cellStyle name="Normal 4 5 7 3" xfId="8292"/>
    <cellStyle name="Normal 4 5 7 3 2" xfId="8293"/>
    <cellStyle name="Normal 4 5 7 3 2 2" xfId="8294"/>
    <cellStyle name="Normal 4 5 7 3 2 3" xfId="8295"/>
    <cellStyle name="Normal 4 5 7 3 3" xfId="8296"/>
    <cellStyle name="Normal 4 5 7 3 4" xfId="8297"/>
    <cellStyle name="Normal 4 5 7 3 5" xfId="8298"/>
    <cellStyle name="Normal 4 5 7 4" xfId="8299"/>
    <cellStyle name="Normal 4 5 7 4 2" xfId="8300"/>
    <cellStyle name="Normal 4 5 7 4 3" xfId="8301"/>
    <cellStyle name="Normal 4 5 7 5" xfId="8302"/>
    <cellStyle name="Normal 4 5 7 6" xfId="8303"/>
    <cellStyle name="Normal 4 5 7 7" xfId="8304"/>
    <cellStyle name="Normal 4 5 8" xfId="8305"/>
    <cellStyle name="Normal 4 5 8 2" xfId="8306"/>
    <cellStyle name="Normal 4 5 8 2 2" xfId="8307"/>
    <cellStyle name="Normal 4 5 8 2 2 2" xfId="8308"/>
    <cellStyle name="Normal 4 5 8 2 2 3" xfId="8309"/>
    <cellStyle name="Normal 4 5 8 2 3" xfId="8310"/>
    <cellStyle name="Normal 4 5 8 2 4" xfId="8311"/>
    <cellStyle name="Normal 4 5 8 2 5" xfId="8312"/>
    <cellStyle name="Normal 4 5 8 3" xfId="8313"/>
    <cellStyle name="Normal 4 5 8 3 2" xfId="8314"/>
    <cellStyle name="Normal 4 5 8 3 2 2" xfId="8315"/>
    <cellStyle name="Normal 4 5 8 3 2 3" xfId="8316"/>
    <cellStyle name="Normal 4 5 8 3 3" xfId="8317"/>
    <cellStyle name="Normal 4 5 8 3 4" xfId="8318"/>
    <cellStyle name="Normal 4 5 8 3 5" xfId="8319"/>
    <cellStyle name="Normal 4 5 8 4" xfId="8320"/>
    <cellStyle name="Normal 4 5 8 4 2" xfId="8321"/>
    <cellStyle name="Normal 4 5 8 4 3" xfId="8322"/>
    <cellStyle name="Normal 4 5 8 5" xfId="8323"/>
    <cellStyle name="Normal 4 5 8 6" xfId="8324"/>
    <cellStyle name="Normal 4 5 8 7" xfId="8325"/>
    <cellStyle name="Normal 4 5 9" xfId="8326"/>
    <cellStyle name="Normal 4 5 9 2" xfId="8327"/>
    <cellStyle name="Normal 4 5 9 2 2" xfId="8328"/>
    <cellStyle name="Normal 4 5 9 2 3" xfId="8329"/>
    <cellStyle name="Normal 4 5 9 3" xfId="8330"/>
    <cellStyle name="Normal 4 5 9 4" xfId="8331"/>
    <cellStyle name="Normal 4 5 9 5" xfId="8332"/>
    <cellStyle name="Normal 4 6" xfId="8333"/>
    <cellStyle name="Normal 4 6 10" xfId="8334"/>
    <cellStyle name="Normal 4 6 11" xfId="8335"/>
    <cellStyle name="Normal 4 6 12" xfId="8336"/>
    <cellStyle name="Normal 4 6 2" xfId="8337"/>
    <cellStyle name="Normal 4 6 2 2" xfId="8338"/>
    <cellStyle name="Normal 4 6 2 2 2" xfId="8339"/>
    <cellStyle name="Normal 4 6 2 2 2 2" xfId="8340"/>
    <cellStyle name="Normal 4 6 2 2 2 2 2" xfId="8341"/>
    <cellStyle name="Normal 4 6 2 2 2 2 2 2" xfId="8342"/>
    <cellStyle name="Normal 4 6 2 2 2 2 2 3" xfId="8343"/>
    <cellStyle name="Normal 4 6 2 2 2 2 3" xfId="8344"/>
    <cellStyle name="Normal 4 6 2 2 2 2 4" xfId="8345"/>
    <cellStyle name="Normal 4 6 2 2 2 2 5" xfId="8346"/>
    <cellStyle name="Normal 4 6 2 2 2 3" xfId="8347"/>
    <cellStyle name="Normal 4 6 2 2 2 3 2" xfId="8348"/>
    <cellStyle name="Normal 4 6 2 2 2 3 2 2" xfId="8349"/>
    <cellStyle name="Normal 4 6 2 2 2 3 2 3" xfId="8350"/>
    <cellStyle name="Normal 4 6 2 2 2 3 3" xfId="8351"/>
    <cellStyle name="Normal 4 6 2 2 2 3 4" xfId="8352"/>
    <cellStyle name="Normal 4 6 2 2 2 3 5" xfId="8353"/>
    <cellStyle name="Normal 4 6 2 2 2 4" xfId="8354"/>
    <cellStyle name="Normal 4 6 2 2 2 4 2" xfId="8355"/>
    <cellStyle name="Normal 4 6 2 2 2 4 3" xfId="8356"/>
    <cellStyle name="Normal 4 6 2 2 2 5" xfId="8357"/>
    <cellStyle name="Normal 4 6 2 2 2 6" xfId="8358"/>
    <cellStyle name="Normal 4 6 2 2 2 7" xfId="8359"/>
    <cellStyle name="Normal 4 6 2 2 3" xfId="8360"/>
    <cellStyle name="Normal 4 6 2 2 3 2" xfId="8361"/>
    <cellStyle name="Normal 4 6 2 2 3 2 2" xfId="8362"/>
    <cellStyle name="Normal 4 6 2 2 3 2 3" xfId="8363"/>
    <cellStyle name="Normal 4 6 2 2 3 3" xfId="8364"/>
    <cellStyle name="Normal 4 6 2 2 3 4" xfId="8365"/>
    <cellStyle name="Normal 4 6 2 2 3 5" xfId="8366"/>
    <cellStyle name="Normal 4 6 2 2 4" xfId="8367"/>
    <cellStyle name="Normal 4 6 2 2 4 2" xfId="8368"/>
    <cellStyle name="Normal 4 6 2 2 4 2 2" xfId="8369"/>
    <cellStyle name="Normal 4 6 2 2 4 2 3" xfId="8370"/>
    <cellStyle name="Normal 4 6 2 2 4 3" xfId="8371"/>
    <cellStyle name="Normal 4 6 2 2 4 4" xfId="8372"/>
    <cellStyle name="Normal 4 6 2 2 4 5" xfId="8373"/>
    <cellStyle name="Normal 4 6 2 2 5" xfId="8374"/>
    <cellStyle name="Normal 4 6 2 2 5 2" xfId="8375"/>
    <cellStyle name="Normal 4 6 2 2 5 3" xfId="8376"/>
    <cellStyle name="Normal 4 6 2 2 6" xfId="8377"/>
    <cellStyle name="Normal 4 6 2 2 7" xfId="8378"/>
    <cellStyle name="Normal 4 6 2 2 8" xfId="8379"/>
    <cellStyle name="Normal 4 6 2 3" xfId="8380"/>
    <cellStyle name="Normal 4 6 2 3 2" xfId="8381"/>
    <cellStyle name="Normal 4 6 2 3 2 2" xfId="8382"/>
    <cellStyle name="Normal 4 6 2 3 2 2 2" xfId="8383"/>
    <cellStyle name="Normal 4 6 2 3 2 2 3" xfId="8384"/>
    <cellStyle name="Normal 4 6 2 3 2 3" xfId="8385"/>
    <cellStyle name="Normal 4 6 2 3 2 4" xfId="8386"/>
    <cellStyle name="Normal 4 6 2 3 2 5" xfId="8387"/>
    <cellStyle name="Normal 4 6 2 3 3" xfId="8388"/>
    <cellStyle name="Normal 4 6 2 3 3 2" xfId="8389"/>
    <cellStyle name="Normal 4 6 2 3 3 2 2" xfId="8390"/>
    <cellStyle name="Normal 4 6 2 3 3 2 3" xfId="8391"/>
    <cellStyle name="Normal 4 6 2 3 3 3" xfId="8392"/>
    <cellStyle name="Normal 4 6 2 3 3 4" xfId="8393"/>
    <cellStyle name="Normal 4 6 2 3 3 5" xfId="8394"/>
    <cellStyle name="Normal 4 6 2 3 4" xfId="8395"/>
    <cellStyle name="Normal 4 6 2 3 4 2" xfId="8396"/>
    <cellStyle name="Normal 4 6 2 3 4 3" xfId="8397"/>
    <cellStyle name="Normal 4 6 2 3 5" xfId="8398"/>
    <cellStyle name="Normal 4 6 2 3 6" xfId="8399"/>
    <cellStyle name="Normal 4 6 2 3 7" xfId="8400"/>
    <cellStyle name="Normal 4 6 2 4" xfId="8401"/>
    <cellStyle name="Normal 4 6 2 4 2" xfId="8402"/>
    <cellStyle name="Normal 4 6 2 4 2 2" xfId="8403"/>
    <cellStyle name="Normal 4 6 2 4 2 3" xfId="8404"/>
    <cellStyle name="Normal 4 6 2 4 3" xfId="8405"/>
    <cellStyle name="Normal 4 6 2 4 4" xfId="8406"/>
    <cellStyle name="Normal 4 6 2 4 5" xfId="8407"/>
    <cellStyle name="Normal 4 6 2 5" xfId="8408"/>
    <cellStyle name="Normal 4 6 2 5 2" xfId="8409"/>
    <cellStyle name="Normal 4 6 2 5 2 2" xfId="8410"/>
    <cellStyle name="Normal 4 6 2 5 2 3" xfId="8411"/>
    <cellStyle name="Normal 4 6 2 5 3" xfId="8412"/>
    <cellStyle name="Normal 4 6 2 5 4" xfId="8413"/>
    <cellStyle name="Normal 4 6 2 5 5" xfId="8414"/>
    <cellStyle name="Normal 4 6 2 6" xfId="8415"/>
    <cellStyle name="Normal 4 6 2 6 2" xfId="8416"/>
    <cellStyle name="Normal 4 6 2 6 3" xfId="8417"/>
    <cellStyle name="Normal 4 6 2 7" xfId="8418"/>
    <cellStyle name="Normal 4 6 2 8" xfId="8419"/>
    <cellStyle name="Normal 4 6 2 9" xfId="8420"/>
    <cellStyle name="Normal 4 6 3" xfId="8421"/>
    <cellStyle name="Normal 4 6 3 2" xfId="8422"/>
    <cellStyle name="Normal 4 6 3 2 2" xfId="8423"/>
    <cellStyle name="Normal 4 6 3 2 2 2" xfId="8424"/>
    <cellStyle name="Normal 4 6 3 2 2 2 2" xfId="8425"/>
    <cellStyle name="Normal 4 6 3 2 2 2 2 2" xfId="8426"/>
    <cellStyle name="Normal 4 6 3 2 2 2 2 3" xfId="8427"/>
    <cellStyle name="Normal 4 6 3 2 2 2 3" xfId="8428"/>
    <cellStyle name="Normal 4 6 3 2 2 2 4" xfId="8429"/>
    <cellStyle name="Normal 4 6 3 2 2 2 5" xfId="8430"/>
    <cellStyle name="Normal 4 6 3 2 2 3" xfId="8431"/>
    <cellStyle name="Normal 4 6 3 2 2 3 2" xfId="8432"/>
    <cellStyle name="Normal 4 6 3 2 2 3 2 2" xfId="8433"/>
    <cellStyle name="Normal 4 6 3 2 2 3 2 3" xfId="8434"/>
    <cellStyle name="Normal 4 6 3 2 2 3 3" xfId="8435"/>
    <cellStyle name="Normal 4 6 3 2 2 3 4" xfId="8436"/>
    <cellStyle name="Normal 4 6 3 2 2 3 5" xfId="8437"/>
    <cellStyle name="Normal 4 6 3 2 2 4" xfId="8438"/>
    <cellStyle name="Normal 4 6 3 2 2 4 2" xfId="8439"/>
    <cellStyle name="Normal 4 6 3 2 2 4 3" xfId="8440"/>
    <cellStyle name="Normal 4 6 3 2 2 5" xfId="8441"/>
    <cellStyle name="Normal 4 6 3 2 2 6" xfId="8442"/>
    <cellStyle name="Normal 4 6 3 2 2 7" xfId="8443"/>
    <cellStyle name="Normal 4 6 3 2 3" xfId="8444"/>
    <cellStyle name="Normal 4 6 3 2 3 2" xfId="8445"/>
    <cellStyle name="Normal 4 6 3 2 3 2 2" xfId="8446"/>
    <cellStyle name="Normal 4 6 3 2 3 2 3" xfId="8447"/>
    <cellStyle name="Normal 4 6 3 2 3 3" xfId="8448"/>
    <cellStyle name="Normal 4 6 3 2 3 4" xfId="8449"/>
    <cellStyle name="Normal 4 6 3 2 3 5" xfId="8450"/>
    <cellStyle name="Normal 4 6 3 2 4" xfId="8451"/>
    <cellStyle name="Normal 4 6 3 2 4 2" xfId="8452"/>
    <cellStyle name="Normal 4 6 3 2 4 2 2" xfId="8453"/>
    <cellStyle name="Normal 4 6 3 2 4 2 3" xfId="8454"/>
    <cellStyle name="Normal 4 6 3 2 4 3" xfId="8455"/>
    <cellStyle name="Normal 4 6 3 2 4 4" xfId="8456"/>
    <cellStyle name="Normal 4 6 3 2 4 5" xfId="8457"/>
    <cellStyle name="Normal 4 6 3 2 5" xfId="8458"/>
    <cellStyle name="Normal 4 6 3 2 5 2" xfId="8459"/>
    <cellStyle name="Normal 4 6 3 2 5 3" xfId="8460"/>
    <cellStyle name="Normal 4 6 3 2 6" xfId="8461"/>
    <cellStyle name="Normal 4 6 3 2 7" xfId="8462"/>
    <cellStyle name="Normal 4 6 3 2 8" xfId="8463"/>
    <cellStyle name="Normal 4 6 3 3" xfId="8464"/>
    <cellStyle name="Normal 4 6 3 3 2" xfId="8465"/>
    <cellStyle name="Normal 4 6 3 3 2 2" xfId="8466"/>
    <cellStyle name="Normal 4 6 3 3 2 2 2" xfId="8467"/>
    <cellStyle name="Normal 4 6 3 3 2 2 3" xfId="8468"/>
    <cellStyle name="Normal 4 6 3 3 2 3" xfId="8469"/>
    <cellStyle name="Normal 4 6 3 3 2 4" xfId="8470"/>
    <cellStyle name="Normal 4 6 3 3 2 5" xfId="8471"/>
    <cellStyle name="Normal 4 6 3 3 3" xfId="8472"/>
    <cellStyle name="Normal 4 6 3 3 3 2" xfId="8473"/>
    <cellStyle name="Normal 4 6 3 3 3 2 2" xfId="8474"/>
    <cellStyle name="Normal 4 6 3 3 3 2 3" xfId="8475"/>
    <cellStyle name="Normal 4 6 3 3 3 3" xfId="8476"/>
    <cellStyle name="Normal 4 6 3 3 3 4" xfId="8477"/>
    <cellStyle name="Normal 4 6 3 3 3 5" xfId="8478"/>
    <cellStyle name="Normal 4 6 3 3 4" xfId="8479"/>
    <cellStyle name="Normal 4 6 3 3 4 2" xfId="8480"/>
    <cellStyle name="Normal 4 6 3 3 4 3" xfId="8481"/>
    <cellStyle name="Normal 4 6 3 3 5" xfId="8482"/>
    <cellStyle name="Normal 4 6 3 3 6" xfId="8483"/>
    <cellStyle name="Normal 4 6 3 3 7" xfId="8484"/>
    <cellStyle name="Normal 4 6 3 4" xfId="8485"/>
    <cellStyle name="Normal 4 6 3 4 2" xfId="8486"/>
    <cellStyle name="Normal 4 6 3 4 2 2" xfId="8487"/>
    <cellStyle name="Normal 4 6 3 4 2 3" xfId="8488"/>
    <cellStyle name="Normal 4 6 3 4 3" xfId="8489"/>
    <cellStyle name="Normal 4 6 3 4 4" xfId="8490"/>
    <cellStyle name="Normal 4 6 3 4 5" xfId="8491"/>
    <cellStyle name="Normal 4 6 3 5" xfId="8492"/>
    <cellStyle name="Normal 4 6 3 5 2" xfId="8493"/>
    <cellStyle name="Normal 4 6 3 5 2 2" xfId="8494"/>
    <cellStyle name="Normal 4 6 3 5 2 3" xfId="8495"/>
    <cellStyle name="Normal 4 6 3 5 3" xfId="8496"/>
    <cellStyle name="Normal 4 6 3 5 4" xfId="8497"/>
    <cellStyle name="Normal 4 6 3 5 5" xfId="8498"/>
    <cellStyle name="Normal 4 6 3 6" xfId="8499"/>
    <cellStyle name="Normal 4 6 3 6 2" xfId="8500"/>
    <cellStyle name="Normal 4 6 3 6 3" xfId="8501"/>
    <cellStyle name="Normal 4 6 3 7" xfId="8502"/>
    <cellStyle name="Normal 4 6 3 8" xfId="8503"/>
    <cellStyle name="Normal 4 6 3 9" xfId="8504"/>
    <cellStyle name="Normal 4 6 4" xfId="8505"/>
    <cellStyle name="Normal 4 6 4 2" xfId="8506"/>
    <cellStyle name="Normal 4 6 4 2 2" xfId="8507"/>
    <cellStyle name="Normal 4 6 4 2 2 2" xfId="8508"/>
    <cellStyle name="Normal 4 6 4 2 2 2 2" xfId="8509"/>
    <cellStyle name="Normal 4 6 4 2 2 2 2 2" xfId="8510"/>
    <cellStyle name="Normal 4 6 4 2 2 2 2 3" xfId="8511"/>
    <cellStyle name="Normal 4 6 4 2 2 2 3" xfId="8512"/>
    <cellStyle name="Normal 4 6 4 2 2 2 4" xfId="8513"/>
    <cellStyle name="Normal 4 6 4 2 2 2 5" xfId="8514"/>
    <cellStyle name="Normal 4 6 4 2 2 3" xfId="8515"/>
    <cellStyle name="Normal 4 6 4 2 2 3 2" xfId="8516"/>
    <cellStyle name="Normal 4 6 4 2 2 3 2 2" xfId="8517"/>
    <cellStyle name="Normal 4 6 4 2 2 3 2 3" xfId="8518"/>
    <cellStyle name="Normal 4 6 4 2 2 3 3" xfId="8519"/>
    <cellStyle name="Normal 4 6 4 2 2 3 4" xfId="8520"/>
    <cellStyle name="Normal 4 6 4 2 2 3 5" xfId="8521"/>
    <cellStyle name="Normal 4 6 4 2 2 4" xfId="8522"/>
    <cellStyle name="Normal 4 6 4 2 2 4 2" xfId="8523"/>
    <cellStyle name="Normal 4 6 4 2 2 4 3" xfId="8524"/>
    <cellStyle name="Normal 4 6 4 2 2 5" xfId="8525"/>
    <cellStyle name="Normal 4 6 4 2 2 6" xfId="8526"/>
    <cellStyle name="Normal 4 6 4 2 2 7" xfId="8527"/>
    <cellStyle name="Normal 4 6 4 2 3" xfId="8528"/>
    <cellStyle name="Normal 4 6 4 2 3 2" xfId="8529"/>
    <cellStyle name="Normal 4 6 4 2 3 2 2" xfId="8530"/>
    <cellStyle name="Normal 4 6 4 2 3 2 3" xfId="8531"/>
    <cellStyle name="Normal 4 6 4 2 3 3" xfId="8532"/>
    <cellStyle name="Normal 4 6 4 2 3 4" xfId="8533"/>
    <cellStyle name="Normal 4 6 4 2 3 5" xfId="8534"/>
    <cellStyle name="Normal 4 6 4 2 4" xfId="8535"/>
    <cellStyle name="Normal 4 6 4 2 4 2" xfId="8536"/>
    <cellStyle name="Normal 4 6 4 2 4 2 2" xfId="8537"/>
    <cellStyle name="Normal 4 6 4 2 4 2 3" xfId="8538"/>
    <cellStyle name="Normal 4 6 4 2 4 3" xfId="8539"/>
    <cellStyle name="Normal 4 6 4 2 4 4" xfId="8540"/>
    <cellStyle name="Normal 4 6 4 2 4 5" xfId="8541"/>
    <cellStyle name="Normal 4 6 4 2 5" xfId="8542"/>
    <cellStyle name="Normal 4 6 4 2 5 2" xfId="8543"/>
    <cellStyle name="Normal 4 6 4 2 5 3" xfId="8544"/>
    <cellStyle name="Normal 4 6 4 2 6" xfId="8545"/>
    <cellStyle name="Normal 4 6 4 2 7" xfId="8546"/>
    <cellStyle name="Normal 4 6 4 2 8" xfId="8547"/>
    <cellStyle name="Normal 4 6 4 3" xfId="8548"/>
    <cellStyle name="Normal 4 6 4 3 2" xfId="8549"/>
    <cellStyle name="Normal 4 6 4 3 2 2" xfId="8550"/>
    <cellStyle name="Normal 4 6 4 3 2 2 2" xfId="8551"/>
    <cellStyle name="Normal 4 6 4 3 2 2 3" xfId="8552"/>
    <cellStyle name="Normal 4 6 4 3 2 3" xfId="8553"/>
    <cellStyle name="Normal 4 6 4 3 2 4" xfId="8554"/>
    <cellStyle name="Normal 4 6 4 3 2 5" xfId="8555"/>
    <cellStyle name="Normal 4 6 4 3 3" xfId="8556"/>
    <cellStyle name="Normal 4 6 4 3 3 2" xfId="8557"/>
    <cellStyle name="Normal 4 6 4 3 3 2 2" xfId="8558"/>
    <cellStyle name="Normal 4 6 4 3 3 2 3" xfId="8559"/>
    <cellStyle name="Normal 4 6 4 3 3 3" xfId="8560"/>
    <cellStyle name="Normal 4 6 4 3 3 4" xfId="8561"/>
    <cellStyle name="Normal 4 6 4 3 3 5" xfId="8562"/>
    <cellStyle name="Normal 4 6 4 3 4" xfId="8563"/>
    <cellStyle name="Normal 4 6 4 3 4 2" xfId="8564"/>
    <cellStyle name="Normal 4 6 4 3 4 3" xfId="8565"/>
    <cellStyle name="Normal 4 6 4 3 5" xfId="8566"/>
    <cellStyle name="Normal 4 6 4 3 6" xfId="8567"/>
    <cellStyle name="Normal 4 6 4 3 7" xfId="8568"/>
    <cellStyle name="Normal 4 6 4 4" xfId="8569"/>
    <cellStyle name="Normal 4 6 4 4 2" xfId="8570"/>
    <cellStyle name="Normal 4 6 4 4 2 2" xfId="8571"/>
    <cellStyle name="Normal 4 6 4 4 2 3" xfId="8572"/>
    <cellStyle name="Normal 4 6 4 4 3" xfId="8573"/>
    <cellStyle name="Normal 4 6 4 4 4" xfId="8574"/>
    <cellStyle name="Normal 4 6 4 4 5" xfId="8575"/>
    <cellStyle name="Normal 4 6 4 5" xfId="8576"/>
    <cellStyle name="Normal 4 6 4 5 2" xfId="8577"/>
    <cellStyle name="Normal 4 6 4 5 2 2" xfId="8578"/>
    <cellStyle name="Normal 4 6 4 5 2 3" xfId="8579"/>
    <cellStyle name="Normal 4 6 4 5 3" xfId="8580"/>
    <cellStyle name="Normal 4 6 4 5 4" xfId="8581"/>
    <cellStyle name="Normal 4 6 4 5 5" xfId="8582"/>
    <cellStyle name="Normal 4 6 4 6" xfId="8583"/>
    <cellStyle name="Normal 4 6 4 6 2" xfId="8584"/>
    <cellStyle name="Normal 4 6 4 6 3" xfId="8585"/>
    <cellStyle name="Normal 4 6 4 7" xfId="8586"/>
    <cellStyle name="Normal 4 6 4 8" xfId="8587"/>
    <cellStyle name="Normal 4 6 4 9" xfId="8588"/>
    <cellStyle name="Normal 4 6 5" xfId="8589"/>
    <cellStyle name="Normal 4 6 5 2" xfId="8590"/>
    <cellStyle name="Normal 4 6 5 2 2" xfId="8591"/>
    <cellStyle name="Normal 4 6 5 2 2 2" xfId="8592"/>
    <cellStyle name="Normal 4 6 5 2 2 2 2" xfId="8593"/>
    <cellStyle name="Normal 4 6 5 2 2 2 3" xfId="8594"/>
    <cellStyle name="Normal 4 6 5 2 2 3" xfId="8595"/>
    <cellStyle name="Normal 4 6 5 2 2 4" xfId="8596"/>
    <cellStyle name="Normal 4 6 5 2 2 5" xfId="8597"/>
    <cellStyle name="Normal 4 6 5 2 3" xfId="8598"/>
    <cellStyle name="Normal 4 6 5 2 3 2" xfId="8599"/>
    <cellStyle name="Normal 4 6 5 2 3 2 2" xfId="8600"/>
    <cellStyle name="Normal 4 6 5 2 3 2 3" xfId="8601"/>
    <cellStyle name="Normal 4 6 5 2 3 3" xfId="8602"/>
    <cellStyle name="Normal 4 6 5 2 3 4" xfId="8603"/>
    <cellStyle name="Normal 4 6 5 2 3 5" xfId="8604"/>
    <cellStyle name="Normal 4 6 5 2 4" xfId="8605"/>
    <cellStyle name="Normal 4 6 5 2 4 2" xfId="8606"/>
    <cellStyle name="Normal 4 6 5 2 4 3" xfId="8607"/>
    <cellStyle name="Normal 4 6 5 2 5" xfId="8608"/>
    <cellStyle name="Normal 4 6 5 2 6" xfId="8609"/>
    <cellStyle name="Normal 4 6 5 2 7" xfId="8610"/>
    <cellStyle name="Normal 4 6 5 3" xfId="8611"/>
    <cellStyle name="Normal 4 6 5 3 2" xfId="8612"/>
    <cellStyle name="Normal 4 6 5 3 2 2" xfId="8613"/>
    <cellStyle name="Normal 4 6 5 3 2 3" xfId="8614"/>
    <cellStyle name="Normal 4 6 5 3 3" xfId="8615"/>
    <cellStyle name="Normal 4 6 5 3 4" xfId="8616"/>
    <cellStyle name="Normal 4 6 5 3 5" xfId="8617"/>
    <cellStyle name="Normal 4 6 5 4" xfId="8618"/>
    <cellStyle name="Normal 4 6 5 4 2" xfId="8619"/>
    <cellStyle name="Normal 4 6 5 4 2 2" xfId="8620"/>
    <cellStyle name="Normal 4 6 5 4 2 3" xfId="8621"/>
    <cellStyle name="Normal 4 6 5 4 3" xfId="8622"/>
    <cellStyle name="Normal 4 6 5 4 4" xfId="8623"/>
    <cellStyle name="Normal 4 6 5 4 5" xfId="8624"/>
    <cellStyle name="Normal 4 6 5 5" xfId="8625"/>
    <cellStyle name="Normal 4 6 5 5 2" xfId="8626"/>
    <cellStyle name="Normal 4 6 5 5 3" xfId="8627"/>
    <cellStyle name="Normal 4 6 5 6" xfId="8628"/>
    <cellStyle name="Normal 4 6 5 7" xfId="8629"/>
    <cellStyle name="Normal 4 6 5 8" xfId="8630"/>
    <cellStyle name="Normal 4 6 6" xfId="8631"/>
    <cellStyle name="Normal 4 6 6 2" xfId="8632"/>
    <cellStyle name="Normal 4 6 6 2 2" xfId="8633"/>
    <cellStyle name="Normal 4 6 6 2 2 2" xfId="8634"/>
    <cellStyle name="Normal 4 6 6 2 2 3" xfId="8635"/>
    <cellStyle name="Normal 4 6 6 2 3" xfId="8636"/>
    <cellStyle name="Normal 4 6 6 2 4" xfId="8637"/>
    <cellStyle name="Normal 4 6 6 2 5" xfId="8638"/>
    <cellStyle name="Normal 4 6 6 3" xfId="8639"/>
    <cellStyle name="Normal 4 6 6 3 2" xfId="8640"/>
    <cellStyle name="Normal 4 6 6 3 2 2" xfId="8641"/>
    <cellStyle name="Normal 4 6 6 3 2 3" xfId="8642"/>
    <cellStyle name="Normal 4 6 6 3 3" xfId="8643"/>
    <cellStyle name="Normal 4 6 6 3 4" xfId="8644"/>
    <cellStyle name="Normal 4 6 6 3 5" xfId="8645"/>
    <cellStyle name="Normal 4 6 6 4" xfId="8646"/>
    <cellStyle name="Normal 4 6 6 4 2" xfId="8647"/>
    <cellStyle name="Normal 4 6 6 4 3" xfId="8648"/>
    <cellStyle name="Normal 4 6 6 5" xfId="8649"/>
    <cellStyle name="Normal 4 6 6 6" xfId="8650"/>
    <cellStyle name="Normal 4 6 6 7" xfId="8651"/>
    <cellStyle name="Normal 4 6 7" xfId="8652"/>
    <cellStyle name="Normal 4 6 7 2" xfId="8653"/>
    <cellStyle name="Normal 4 6 7 2 2" xfId="8654"/>
    <cellStyle name="Normal 4 6 7 2 3" xfId="8655"/>
    <cellStyle name="Normal 4 6 7 3" xfId="8656"/>
    <cellStyle name="Normal 4 6 7 4" xfId="8657"/>
    <cellStyle name="Normal 4 6 7 5" xfId="8658"/>
    <cellStyle name="Normal 4 6 8" xfId="8659"/>
    <cellStyle name="Normal 4 6 8 2" xfId="8660"/>
    <cellStyle name="Normal 4 6 8 2 2" xfId="8661"/>
    <cellStyle name="Normal 4 6 8 2 3" xfId="8662"/>
    <cellStyle name="Normal 4 6 8 3" xfId="8663"/>
    <cellStyle name="Normal 4 6 8 4" xfId="8664"/>
    <cellStyle name="Normal 4 6 8 5" xfId="8665"/>
    <cellStyle name="Normal 4 6 9" xfId="8666"/>
    <cellStyle name="Normal 4 6 9 2" xfId="8667"/>
    <cellStyle name="Normal 4 6 9 3" xfId="8668"/>
    <cellStyle name="Normal 4 7" xfId="8669"/>
    <cellStyle name="Normal 4 7 2" xfId="8670"/>
    <cellStyle name="Normal 4 7 2 2" xfId="8671"/>
    <cellStyle name="Normal 4 7 2 2 2" xfId="8672"/>
    <cellStyle name="Normal 4 7 2 2 2 2" xfId="8673"/>
    <cellStyle name="Normal 4 7 2 2 2 2 2" xfId="8674"/>
    <cellStyle name="Normal 4 7 2 2 2 2 3" xfId="8675"/>
    <cellStyle name="Normal 4 7 2 2 2 3" xfId="8676"/>
    <cellStyle name="Normal 4 7 2 2 2 4" xfId="8677"/>
    <cellStyle name="Normal 4 7 2 2 2 5" xfId="8678"/>
    <cellStyle name="Normal 4 7 2 2 3" xfId="8679"/>
    <cellStyle name="Normal 4 7 2 2 3 2" xfId="8680"/>
    <cellStyle name="Normal 4 7 2 2 3 2 2" xfId="8681"/>
    <cellStyle name="Normal 4 7 2 2 3 2 3" xfId="8682"/>
    <cellStyle name="Normal 4 7 2 2 3 3" xfId="8683"/>
    <cellStyle name="Normal 4 7 2 2 3 4" xfId="8684"/>
    <cellStyle name="Normal 4 7 2 2 3 5" xfId="8685"/>
    <cellStyle name="Normal 4 7 2 2 4" xfId="8686"/>
    <cellStyle name="Normal 4 7 2 2 4 2" xfId="8687"/>
    <cellStyle name="Normal 4 7 2 2 4 3" xfId="8688"/>
    <cellStyle name="Normal 4 7 2 2 5" xfId="8689"/>
    <cellStyle name="Normal 4 7 2 2 6" xfId="8690"/>
    <cellStyle name="Normal 4 7 2 2 7" xfId="8691"/>
    <cellStyle name="Normal 4 7 2 3" xfId="8692"/>
    <cellStyle name="Normal 4 7 2 3 2" xfId="8693"/>
    <cellStyle name="Normal 4 7 2 3 2 2" xfId="8694"/>
    <cellStyle name="Normal 4 7 2 3 2 3" xfId="8695"/>
    <cellStyle name="Normal 4 7 2 3 3" xfId="8696"/>
    <cellStyle name="Normal 4 7 2 3 4" xfId="8697"/>
    <cellStyle name="Normal 4 7 2 3 5" xfId="8698"/>
    <cellStyle name="Normal 4 7 2 4" xfId="8699"/>
    <cellStyle name="Normal 4 7 2 4 2" xfId="8700"/>
    <cellStyle name="Normal 4 7 2 4 2 2" xfId="8701"/>
    <cellStyle name="Normal 4 7 2 4 2 3" xfId="8702"/>
    <cellStyle name="Normal 4 7 2 4 3" xfId="8703"/>
    <cellStyle name="Normal 4 7 2 4 4" xfId="8704"/>
    <cellStyle name="Normal 4 7 2 4 5" xfId="8705"/>
    <cellStyle name="Normal 4 7 2 5" xfId="8706"/>
    <cellStyle name="Normal 4 7 2 5 2" xfId="8707"/>
    <cellStyle name="Normal 4 7 2 5 3" xfId="8708"/>
    <cellStyle name="Normal 4 7 2 6" xfId="8709"/>
    <cellStyle name="Normal 4 7 2 7" xfId="8710"/>
    <cellStyle name="Normal 4 7 2 8" xfId="8711"/>
    <cellStyle name="Normal 4 7 3" xfId="8712"/>
    <cellStyle name="Normal 4 7 3 2" xfId="8713"/>
    <cellStyle name="Normal 4 7 3 2 2" xfId="8714"/>
    <cellStyle name="Normal 4 7 3 2 2 2" xfId="8715"/>
    <cellStyle name="Normal 4 7 3 2 2 3" xfId="8716"/>
    <cellStyle name="Normal 4 7 3 2 3" xfId="8717"/>
    <cellStyle name="Normal 4 7 3 2 4" xfId="8718"/>
    <cellStyle name="Normal 4 7 3 2 5" xfId="8719"/>
    <cellStyle name="Normal 4 7 3 3" xfId="8720"/>
    <cellStyle name="Normal 4 7 3 3 2" xfId="8721"/>
    <cellStyle name="Normal 4 7 3 3 2 2" xfId="8722"/>
    <cellStyle name="Normal 4 7 3 3 2 3" xfId="8723"/>
    <cellStyle name="Normal 4 7 3 3 3" xfId="8724"/>
    <cellStyle name="Normal 4 7 3 3 4" xfId="8725"/>
    <cellStyle name="Normal 4 7 3 3 5" xfId="8726"/>
    <cellStyle name="Normal 4 7 3 4" xfId="8727"/>
    <cellStyle name="Normal 4 7 3 4 2" xfId="8728"/>
    <cellStyle name="Normal 4 7 3 4 3" xfId="8729"/>
    <cellStyle name="Normal 4 7 3 5" xfId="8730"/>
    <cellStyle name="Normal 4 7 3 6" xfId="8731"/>
    <cellStyle name="Normal 4 7 3 7" xfId="8732"/>
    <cellStyle name="Normal 4 7 4" xfId="8733"/>
    <cellStyle name="Normal 4 7 4 2" xfId="8734"/>
    <cellStyle name="Normal 4 7 4 2 2" xfId="8735"/>
    <cellStyle name="Normal 4 7 4 2 3" xfId="8736"/>
    <cellStyle name="Normal 4 7 4 3" xfId="8737"/>
    <cellStyle name="Normal 4 7 4 4" xfId="8738"/>
    <cellStyle name="Normal 4 7 4 5" xfId="8739"/>
    <cellStyle name="Normal 4 7 5" xfId="8740"/>
    <cellStyle name="Normal 4 7 5 2" xfId="8741"/>
    <cellStyle name="Normal 4 7 5 2 2" xfId="8742"/>
    <cellStyle name="Normal 4 7 5 2 3" xfId="8743"/>
    <cellStyle name="Normal 4 7 5 3" xfId="8744"/>
    <cellStyle name="Normal 4 7 5 4" xfId="8745"/>
    <cellStyle name="Normal 4 7 5 5" xfId="8746"/>
    <cellStyle name="Normal 4 7 6" xfId="8747"/>
    <cellStyle name="Normal 4 7 6 2" xfId="8748"/>
    <cellStyle name="Normal 4 7 6 3" xfId="8749"/>
    <cellStyle name="Normal 4 7 7" xfId="8750"/>
    <cellStyle name="Normal 4 7 8" xfId="8751"/>
    <cellStyle name="Normal 4 7 9" xfId="8752"/>
    <cellStyle name="Normal 4 8" xfId="8753"/>
    <cellStyle name="Normal 4 8 2" xfId="8754"/>
    <cellStyle name="Normal 4 8 2 2" xfId="8755"/>
    <cellStyle name="Normal 4 8 2 2 2" xfId="8756"/>
    <cellStyle name="Normal 4 8 2 2 2 2" xfId="8757"/>
    <cellStyle name="Normal 4 8 2 2 2 2 2" xfId="8758"/>
    <cellStyle name="Normal 4 8 2 2 2 2 3" xfId="8759"/>
    <cellStyle name="Normal 4 8 2 2 2 3" xfId="8760"/>
    <cellStyle name="Normal 4 8 2 2 2 4" xfId="8761"/>
    <cellStyle name="Normal 4 8 2 2 2 5" xfId="8762"/>
    <cellStyle name="Normal 4 8 2 2 3" xfId="8763"/>
    <cellStyle name="Normal 4 8 2 2 3 2" xfId="8764"/>
    <cellStyle name="Normal 4 8 2 2 3 2 2" xfId="8765"/>
    <cellStyle name="Normal 4 8 2 2 3 2 3" xfId="8766"/>
    <cellStyle name="Normal 4 8 2 2 3 3" xfId="8767"/>
    <cellStyle name="Normal 4 8 2 2 3 4" xfId="8768"/>
    <cellStyle name="Normal 4 8 2 2 3 5" xfId="8769"/>
    <cellStyle name="Normal 4 8 2 2 4" xfId="8770"/>
    <cellStyle name="Normal 4 8 2 2 4 2" xfId="8771"/>
    <cellStyle name="Normal 4 8 2 2 4 3" xfId="8772"/>
    <cellStyle name="Normal 4 8 2 2 5" xfId="8773"/>
    <cellStyle name="Normal 4 8 2 2 6" xfId="8774"/>
    <cellStyle name="Normal 4 8 2 2 7" xfId="8775"/>
    <cellStyle name="Normal 4 8 2 3" xfId="8776"/>
    <cellStyle name="Normal 4 8 2 3 2" xfId="8777"/>
    <cellStyle name="Normal 4 8 2 3 2 2" xfId="8778"/>
    <cellStyle name="Normal 4 8 2 3 2 3" xfId="8779"/>
    <cellStyle name="Normal 4 8 2 3 3" xfId="8780"/>
    <cellStyle name="Normal 4 8 2 3 4" xfId="8781"/>
    <cellStyle name="Normal 4 8 2 3 5" xfId="8782"/>
    <cellStyle name="Normal 4 8 2 4" xfId="8783"/>
    <cellStyle name="Normal 4 8 2 4 2" xfId="8784"/>
    <cellStyle name="Normal 4 8 2 4 2 2" xfId="8785"/>
    <cellStyle name="Normal 4 8 2 4 2 3" xfId="8786"/>
    <cellStyle name="Normal 4 8 2 4 3" xfId="8787"/>
    <cellStyle name="Normal 4 8 2 4 4" xfId="8788"/>
    <cellStyle name="Normal 4 8 2 4 5" xfId="8789"/>
    <cellStyle name="Normal 4 8 2 5" xfId="8790"/>
    <cellStyle name="Normal 4 8 2 5 2" xfId="8791"/>
    <cellStyle name="Normal 4 8 2 5 3" xfId="8792"/>
    <cellStyle name="Normal 4 8 2 6" xfId="8793"/>
    <cellStyle name="Normal 4 8 2 7" xfId="8794"/>
    <cellStyle name="Normal 4 8 2 8" xfId="8795"/>
    <cellStyle name="Normal 4 8 3" xfId="8796"/>
    <cellStyle name="Normal 4 8 3 2" xfId="8797"/>
    <cellStyle name="Normal 4 8 3 2 2" xfId="8798"/>
    <cellStyle name="Normal 4 8 3 2 2 2" xfId="8799"/>
    <cellStyle name="Normal 4 8 3 2 2 3" xfId="8800"/>
    <cellStyle name="Normal 4 8 3 2 3" xfId="8801"/>
    <cellStyle name="Normal 4 8 3 2 4" xfId="8802"/>
    <cellStyle name="Normal 4 8 3 2 5" xfId="8803"/>
    <cellStyle name="Normal 4 8 3 3" xfId="8804"/>
    <cellStyle name="Normal 4 8 3 3 2" xfId="8805"/>
    <cellStyle name="Normal 4 8 3 3 2 2" xfId="8806"/>
    <cellStyle name="Normal 4 8 3 3 2 3" xfId="8807"/>
    <cellStyle name="Normal 4 8 3 3 3" xfId="8808"/>
    <cellStyle name="Normal 4 8 3 3 4" xfId="8809"/>
    <cellStyle name="Normal 4 8 3 3 5" xfId="8810"/>
    <cellStyle name="Normal 4 8 3 4" xfId="8811"/>
    <cellStyle name="Normal 4 8 3 4 2" xfId="8812"/>
    <cellStyle name="Normal 4 8 3 4 3" xfId="8813"/>
    <cellStyle name="Normal 4 8 3 5" xfId="8814"/>
    <cellStyle name="Normal 4 8 3 6" xfId="8815"/>
    <cellStyle name="Normal 4 8 3 7" xfId="8816"/>
    <cellStyle name="Normal 4 8 4" xfId="8817"/>
    <cellStyle name="Normal 4 8 4 2" xfId="8818"/>
    <cellStyle name="Normal 4 8 4 2 2" xfId="8819"/>
    <cellStyle name="Normal 4 8 4 2 3" xfId="8820"/>
    <cellStyle name="Normal 4 8 4 3" xfId="8821"/>
    <cellStyle name="Normal 4 8 4 4" xfId="8822"/>
    <cellStyle name="Normal 4 8 4 5" xfId="8823"/>
    <cellStyle name="Normal 4 8 5" xfId="8824"/>
    <cellStyle name="Normal 4 8 5 2" xfId="8825"/>
    <cellStyle name="Normal 4 8 5 2 2" xfId="8826"/>
    <cellStyle name="Normal 4 8 5 2 3" xfId="8827"/>
    <cellStyle name="Normal 4 8 5 3" xfId="8828"/>
    <cellStyle name="Normal 4 8 5 4" xfId="8829"/>
    <cellStyle name="Normal 4 8 5 5" xfId="8830"/>
    <cellStyle name="Normal 4 8 6" xfId="8831"/>
    <cellStyle name="Normal 4 8 6 2" xfId="8832"/>
    <cellStyle name="Normal 4 8 6 3" xfId="8833"/>
    <cellStyle name="Normal 4 8 7" xfId="8834"/>
    <cellStyle name="Normal 4 8 8" xfId="8835"/>
    <cellStyle name="Normal 4 8 9" xfId="8836"/>
    <cellStyle name="Normal 4 9" xfId="8837"/>
    <cellStyle name="Normal 4 9 2" xfId="8838"/>
    <cellStyle name="Normal 4 9 2 2" xfId="8839"/>
    <cellStyle name="Normal 4 9 2 2 2" xfId="8840"/>
    <cellStyle name="Normal 4 9 2 2 2 2" xfId="8841"/>
    <cellStyle name="Normal 4 9 2 2 2 2 2" xfId="8842"/>
    <cellStyle name="Normal 4 9 2 2 2 2 3" xfId="8843"/>
    <cellStyle name="Normal 4 9 2 2 2 3" xfId="8844"/>
    <cellStyle name="Normal 4 9 2 2 2 4" xfId="8845"/>
    <cellStyle name="Normal 4 9 2 2 2 5" xfId="8846"/>
    <cellStyle name="Normal 4 9 2 2 3" xfId="8847"/>
    <cellStyle name="Normal 4 9 2 2 3 2" xfId="8848"/>
    <cellStyle name="Normal 4 9 2 2 3 2 2" xfId="8849"/>
    <cellStyle name="Normal 4 9 2 2 3 2 3" xfId="8850"/>
    <cellStyle name="Normal 4 9 2 2 3 3" xfId="8851"/>
    <cellStyle name="Normal 4 9 2 2 3 4" xfId="8852"/>
    <cellStyle name="Normal 4 9 2 2 3 5" xfId="8853"/>
    <cellStyle name="Normal 4 9 2 2 4" xfId="8854"/>
    <cellStyle name="Normal 4 9 2 2 4 2" xfId="8855"/>
    <cellStyle name="Normal 4 9 2 2 4 3" xfId="8856"/>
    <cellStyle name="Normal 4 9 2 2 5" xfId="8857"/>
    <cellStyle name="Normal 4 9 2 2 6" xfId="8858"/>
    <cellStyle name="Normal 4 9 2 2 7" xfId="8859"/>
    <cellStyle name="Normal 4 9 2 3" xfId="8860"/>
    <cellStyle name="Normal 4 9 2 3 2" xfId="8861"/>
    <cellStyle name="Normal 4 9 2 3 2 2" xfId="8862"/>
    <cellStyle name="Normal 4 9 2 3 2 3" xfId="8863"/>
    <cellStyle name="Normal 4 9 2 3 3" xfId="8864"/>
    <cellStyle name="Normal 4 9 2 3 4" xfId="8865"/>
    <cellStyle name="Normal 4 9 2 3 5" xfId="8866"/>
    <cellStyle name="Normal 4 9 2 4" xfId="8867"/>
    <cellStyle name="Normal 4 9 2 4 2" xfId="8868"/>
    <cellStyle name="Normal 4 9 2 4 2 2" xfId="8869"/>
    <cellStyle name="Normal 4 9 2 4 2 3" xfId="8870"/>
    <cellStyle name="Normal 4 9 2 4 3" xfId="8871"/>
    <cellStyle name="Normal 4 9 2 4 4" xfId="8872"/>
    <cellStyle name="Normal 4 9 2 4 5" xfId="8873"/>
    <cellStyle name="Normal 4 9 2 5" xfId="8874"/>
    <cellStyle name="Normal 4 9 2 5 2" xfId="8875"/>
    <cellStyle name="Normal 4 9 2 5 3" xfId="8876"/>
    <cellStyle name="Normal 4 9 2 6" xfId="8877"/>
    <cellStyle name="Normal 4 9 2 7" xfId="8878"/>
    <cellStyle name="Normal 4 9 2 8" xfId="8879"/>
    <cellStyle name="Normal 4 9 3" xfId="8880"/>
    <cellStyle name="Normal 4 9 3 2" xfId="8881"/>
    <cellStyle name="Normal 4 9 3 2 2" xfId="8882"/>
    <cellStyle name="Normal 4 9 3 2 2 2" xfId="8883"/>
    <cellStyle name="Normal 4 9 3 2 2 3" xfId="8884"/>
    <cellStyle name="Normal 4 9 3 2 3" xfId="8885"/>
    <cellStyle name="Normal 4 9 3 2 4" xfId="8886"/>
    <cellStyle name="Normal 4 9 3 2 5" xfId="8887"/>
    <cellStyle name="Normal 4 9 3 3" xfId="8888"/>
    <cellStyle name="Normal 4 9 3 3 2" xfId="8889"/>
    <cellStyle name="Normal 4 9 3 3 2 2" xfId="8890"/>
    <cellStyle name="Normal 4 9 3 3 2 3" xfId="8891"/>
    <cellStyle name="Normal 4 9 3 3 3" xfId="8892"/>
    <cellStyle name="Normal 4 9 3 3 4" xfId="8893"/>
    <cellStyle name="Normal 4 9 3 3 5" xfId="8894"/>
    <cellStyle name="Normal 4 9 3 4" xfId="8895"/>
    <cellStyle name="Normal 4 9 3 4 2" xfId="8896"/>
    <cellStyle name="Normal 4 9 3 4 3" xfId="8897"/>
    <cellStyle name="Normal 4 9 3 5" xfId="8898"/>
    <cellStyle name="Normal 4 9 3 6" xfId="8899"/>
    <cellStyle name="Normal 4 9 3 7" xfId="8900"/>
    <cellStyle name="Normal 4 9 4" xfId="8901"/>
    <cellStyle name="Normal 4 9 4 2" xfId="8902"/>
    <cellStyle name="Normal 4 9 4 2 2" xfId="8903"/>
    <cellStyle name="Normal 4 9 4 2 3" xfId="8904"/>
    <cellStyle name="Normal 4 9 4 3" xfId="8905"/>
    <cellStyle name="Normal 4 9 4 4" xfId="8906"/>
    <cellStyle name="Normal 4 9 4 5" xfId="8907"/>
    <cellStyle name="Normal 4 9 5" xfId="8908"/>
    <cellStyle name="Normal 4 9 5 2" xfId="8909"/>
    <cellStyle name="Normal 4 9 5 2 2" xfId="8910"/>
    <cellStyle name="Normal 4 9 5 2 3" xfId="8911"/>
    <cellStyle name="Normal 4 9 5 3" xfId="8912"/>
    <cellStyle name="Normal 4 9 5 4" xfId="8913"/>
    <cellStyle name="Normal 4 9 5 5" xfId="8914"/>
    <cellStyle name="Normal 4 9 6" xfId="8915"/>
    <cellStyle name="Normal 4 9 6 2" xfId="8916"/>
    <cellStyle name="Normal 4 9 6 3" xfId="8917"/>
    <cellStyle name="Normal 4 9 7" xfId="8918"/>
    <cellStyle name="Normal 4 9 8" xfId="8919"/>
    <cellStyle name="Normal 4 9 9" xfId="8920"/>
    <cellStyle name="Normal 5 10" xfId="8921"/>
    <cellStyle name="Normal 5 10 2" xfId="8922"/>
    <cellStyle name="Normal 5 10 2 2" xfId="8923"/>
    <cellStyle name="Normal 5 10 2 3" xfId="8924"/>
    <cellStyle name="Normal 5 10 3" xfId="8925"/>
    <cellStyle name="Normal 5 10 4" xfId="8926"/>
    <cellStyle name="Normal 5 10 5" xfId="8927"/>
    <cellStyle name="Normal 5 11" xfId="8928"/>
    <cellStyle name="Normal 5 2 2" xfId="8929"/>
    <cellStyle name="Normal 5 2 2 2" xfId="8930"/>
    <cellStyle name="Normal 5 2 2 2 2" xfId="8931"/>
    <cellStyle name="Normal 5 2 2 2 2 2" xfId="8932"/>
    <cellStyle name="Normal 5 2 2 2 2 2 2" xfId="8933"/>
    <cellStyle name="Normal 5 2 2 2 2 2 2 2" xfId="8934"/>
    <cellStyle name="Normal 5 2 2 2 2 2 2 3" xfId="8935"/>
    <cellStyle name="Normal 5 2 2 2 2 2 3" xfId="8936"/>
    <cellStyle name="Normal 5 2 2 2 2 2 4" xfId="8937"/>
    <cellStyle name="Normal 5 2 2 2 2 2 5" xfId="8938"/>
    <cellStyle name="Normal 5 2 2 2 2 3" xfId="8939"/>
    <cellStyle name="Normal 5 2 2 2 2 3 2" xfId="8940"/>
    <cellStyle name="Normal 5 2 2 2 2 3 2 2" xfId="8941"/>
    <cellStyle name="Normal 5 2 2 2 2 3 2 3" xfId="8942"/>
    <cellStyle name="Normal 5 2 2 2 2 3 3" xfId="8943"/>
    <cellStyle name="Normal 5 2 2 2 2 3 4" xfId="8944"/>
    <cellStyle name="Normal 5 2 2 2 2 3 5" xfId="8945"/>
    <cellStyle name="Normal 5 2 2 2 2 4" xfId="8946"/>
    <cellStyle name="Normal 5 2 2 2 2 4 2" xfId="8947"/>
    <cellStyle name="Normal 5 2 2 2 2 4 3" xfId="8948"/>
    <cellStyle name="Normal 5 2 2 2 2 5" xfId="8949"/>
    <cellStyle name="Normal 5 2 2 2 2 6" xfId="8950"/>
    <cellStyle name="Normal 5 2 2 2 2 7" xfId="8951"/>
    <cellStyle name="Normal 5 2 2 2 3" xfId="8952"/>
    <cellStyle name="Normal 5 2 2 2 3 2" xfId="8953"/>
    <cellStyle name="Normal 5 2 2 2 3 2 2" xfId="8954"/>
    <cellStyle name="Normal 5 2 2 2 3 2 3" xfId="8955"/>
    <cellStyle name="Normal 5 2 2 2 3 3" xfId="8956"/>
    <cellStyle name="Normal 5 2 2 2 3 4" xfId="8957"/>
    <cellStyle name="Normal 5 2 2 2 3 5" xfId="8958"/>
    <cellStyle name="Normal 5 2 2 2 4" xfId="8959"/>
    <cellStyle name="Normal 5 2 2 2 4 2" xfId="8960"/>
    <cellStyle name="Normal 5 2 2 2 4 2 2" xfId="8961"/>
    <cellStyle name="Normal 5 2 2 2 4 2 3" xfId="8962"/>
    <cellStyle name="Normal 5 2 2 2 4 3" xfId="8963"/>
    <cellStyle name="Normal 5 2 2 2 4 4" xfId="8964"/>
    <cellStyle name="Normal 5 2 2 2 4 5" xfId="8965"/>
    <cellStyle name="Normal 5 2 2 2 5" xfId="8966"/>
    <cellStyle name="Normal 5 2 2 2 5 2" xfId="8967"/>
    <cellStyle name="Normal 5 2 2 2 5 3" xfId="8968"/>
    <cellStyle name="Normal 5 2 2 2 6" xfId="8969"/>
    <cellStyle name="Normal 5 2 2 2 7" xfId="8970"/>
    <cellStyle name="Normal 5 2 2 2 8" xfId="8971"/>
    <cellStyle name="Normal 5 2 2 3" xfId="8972"/>
    <cellStyle name="Normal 5 2 2 3 2" xfId="8973"/>
    <cellStyle name="Normal 5 2 2 3 2 2" xfId="8974"/>
    <cellStyle name="Normal 5 2 2 3 2 2 2" xfId="8975"/>
    <cellStyle name="Normal 5 2 2 3 2 2 3" xfId="8976"/>
    <cellStyle name="Normal 5 2 2 3 2 3" xfId="8977"/>
    <cellStyle name="Normal 5 2 2 3 2 4" xfId="8978"/>
    <cellStyle name="Normal 5 2 2 3 2 5" xfId="8979"/>
    <cellStyle name="Normal 5 2 2 3 3" xfId="8980"/>
    <cellStyle name="Normal 5 2 2 3 3 2" xfId="8981"/>
    <cellStyle name="Normal 5 2 2 3 3 2 2" xfId="8982"/>
    <cellStyle name="Normal 5 2 2 3 3 2 3" xfId="8983"/>
    <cellStyle name="Normal 5 2 2 3 3 3" xfId="8984"/>
    <cellStyle name="Normal 5 2 2 3 3 4" xfId="8985"/>
    <cellStyle name="Normal 5 2 2 3 3 5" xfId="8986"/>
    <cellStyle name="Normal 5 2 2 3 4" xfId="8987"/>
    <cellStyle name="Normal 5 2 2 3 4 2" xfId="8988"/>
    <cellStyle name="Normal 5 2 2 3 4 3" xfId="8989"/>
    <cellStyle name="Normal 5 2 2 3 5" xfId="8990"/>
    <cellStyle name="Normal 5 2 2 3 6" xfId="8991"/>
    <cellStyle name="Normal 5 2 2 3 7" xfId="8992"/>
    <cellStyle name="Normal 5 2 2 4" xfId="8993"/>
    <cellStyle name="Normal 5 2 2 4 2" xfId="8994"/>
    <cellStyle name="Normal 5 2 2 4 2 2" xfId="8995"/>
    <cellStyle name="Normal 5 2 2 4 2 3" xfId="8996"/>
    <cellStyle name="Normal 5 2 2 4 3" xfId="8997"/>
    <cellStyle name="Normal 5 2 2 4 4" xfId="8998"/>
    <cellStyle name="Normal 5 2 2 4 5" xfId="8999"/>
    <cellStyle name="Normal 5 2 2 5" xfId="9000"/>
    <cellStyle name="Normal 5 2 2 5 2" xfId="9001"/>
    <cellStyle name="Normal 5 2 2 5 2 2" xfId="9002"/>
    <cellStyle name="Normal 5 2 2 5 2 3" xfId="9003"/>
    <cellStyle name="Normal 5 2 2 5 3" xfId="9004"/>
    <cellStyle name="Normal 5 2 2 5 4" xfId="9005"/>
    <cellStyle name="Normal 5 2 2 5 5" xfId="9006"/>
    <cellStyle name="Normal 5 2 2 6" xfId="9007"/>
    <cellStyle name="Normal 5 2 2 6 2" xfId="9008"/>
    <cellStyle name="Normal 5 2 2 6 3" xfId="9009"/>
    <cellStyle name="Normal 5 2 2 7" xfId="9010"/>
    <cellStyle name="Normal 5 2 2 8" xfId="9011"/>
    <cellStyle name="Normal 5 2 2 9" xfId="9012"/>
    <cellStyle name="Normal 5 2 3" xfId="9013"/>
    <cellStyle name="Normal 5 2 3 2" xfId="9014"/>
    <cellStyle name="Normal 5 2 3 2 2" xfId="9015"/>
    <cellStyle name="Normal 5 2 3 2 2 2" xfId="9016"/>
    <cellStyle name="Normal 5 2 3 2 2 2 2" xfId="9017"/>
    <cellStyle name="Normal 5 2 3 2 2 2 2 2" xfId="9018"/>
    <cellStyle name="Normal 5 2 3 2 2 2 2 3" xfId="9019"/>
    <cellStyle name="Normal 5 2 3 2 2 2 3" xfId="9020"/>
    <cellStyle name="Normal 5 2 3 2 2 2 4" xfId="9021"/>
    <cellStyle name="Normal 5 2 3 2 2 2 5" xfId="9022"/>
    <cellStyle name="Normal 5 2 3 2 2 3" xfId="9023"/>
    <cellStyle name="Normal 5 2 3 2 2 3 2" xfId="9024"/>
    <cellStyle name="Normal 5 2 3 2 2 3 2 2" xfId="9025"/>
    <cellStyle name="Normal 5 2 3 2 2 3 2 3" xfId="9026"/>
    <cellStyle name="Normal 5 2 3 2 2 3 3" xfId="9027"/>
    <cellStyle name="Normal 5 2 3 2 2 3 4" xfId="9028"/>
    <cellStyle name="Normal 5 2 3 2 2 3 5" xfId="9029"/>
    <cellStyle name="Normal 5 2 3 2 2 4" xfId="9030"/>
    <cellStyle name="Normal 5 2 3 2 2 4 2" xfId="9031"/>
    <cellStyle name="Normal 5 2 3 2 2 4 3" xfId="9032"/>
    <cellStyle name="Normal 5 2 3 2 2 5" xfId="9033"/>
    <cellStyle name="Normal 5 2 3 2 2 6" xfId="9034"/>
    <cellStyle name="Normal 5 2 3 2 2 7" xfId="9035"/>
    <cellStyle name="Normal 5 2 3 2 3" xfId="9036"/>
    <cellStyle name="Normal 5 2 3 2 3 2" xfId="9037"/>
    <cellStyle name="Normal 5 2 3 2 3 2 2" xfId="9038"/>
    <cellStyle name="Normal 5 2 3 2 3 2 3" xfId="9039"/>
    <cellStyle name="Normal 5 2 3 2 3 3" xfId="9040"/>
    <cellStyle name="Normal 5 2 3 2 3 4" xfId="9041"/>
    <cellStyle name="Normal 5 2 3 2 3 5" xfId="9042"/>
    <cellStyle name="Normal 5 2 3 2 4" xfId="9043"/>
    <cellStyle name="Normal 5 2 3 2 4 2" xfId="9044"/>
    <cellStyle name="Normal 5 2 3 2 4 2 2" xfId="9045"/>
    <cellStyle name="Normal 5 2 3 2 4 2 3" xfId="9046"/>
    <cellStyle name="Normal 5 2 3 2 4 3" xfId="9047"/>
    <cellStyle name="Normal 5 2 3 2 4 4" xfId="9048"/>
    <cellStyle name="Normal 5 2 3 2 4 5" xfId="9049"/>
    <cellStyle name="Normal 5 2 3 2 5" xfId="9050"/>
    <cellStyle name="Normal 5 2 3 2 5 2" xfId="9051"/>
    <cellStyle name="Normal 5 2 3 2 5 3" xfId="9052"/>
    <cellStyle name="Normal 5 2 3 2 6" xfId="9053"/>
    <cellStyle name="Normal 5 2 3 2 7" xfId="9054"/>
    <cellStyle name="Normal 5 2 3 2 8" xfId="9055"/>
    <cellStyle name="Normal 5 2 3 3" xfId="9056"/>
    <cellStyle name="Normal 5 2 3 3 2" xfId="9057"/>
    <cellStyle name="Normal 5 2 3 3 2 2" xfId="9058"/>
    <cellStyle name="Normal 5 2 3 3 2 2 2" xfId="9059"/>
    <cellStyle name="Normal 5 2 3 3 2 2 3" xfId="9060"/>
    <cellStyle name="Normal 5 2 3 3 2 3" xfId="9061"/>
    <cellStyle name="Normal 5 2 3 3 2 4" xfId="9062"/>
    <cellStyle name="Normal 5 2 3 3 2 5" xfId="9063"/>
    <cellStyle name="Normal 5 2 3 3 3" xfId="9064"/>
    <cellStyle name="Normal 5 2 3 3 3 2" xfId="9065"/>
    <cellStyle name="Normal 5 2 3 3 3 2 2" xfId="9066"/>
    <cellStyle name="Normal 5 2 3 3 3 2 3" xfId="9067"/>
    <cellStyle name="Normal 5 2 3 3 3 3" xfId="9068"/>
    <cellStyle name="Normal 5 2 3 3 3 4" xfId="9069"/>
    <cellStyle name="Normal 5 2 3 3 3 5" xfId="9070"/>
    <cellStyle name="Normal 5 2 3 3 4" xfId="9071"/>
    <cellStyle name="Normal 5 2 3 3 4 2" xfId="9072"/>
    <cellStyle name="Normal 5 2 3 3 4 3" xfId="9073"/>
    <cellStyle name="Normal 5 2 3 3 5" xfId="9074"/>
    <cellStyle name="Normal 5 2 3 3 6" xfId="9075"/>
    <cellStyle name="Normal 5 2 3 3 7" xfId="9076"/>
    <cellStyle name="Normal 5 2 3 4" xfId="9077"/>
    <cellStyle name="Normal 5 2 3 4 2" xfId="9078"/>
    <cellStyle name="Normal 5 2 3 4 2 2" xfId="9079"/>
    <cellStyle name="Normal 5 2 3 4 2 3" xfId="9080"/>
    <cellStyle name="Normal 5 2 3 4 3" xfId="9081"/>
    <cellStyle name="Normal 5 2 3 4 4" xfId="9082"/>
    <cellStyle name="Normal 5 2 3 4 5" xfId="9083"/>
    <cellStyle name="Normal 5 2 3 5" xfId="9084"/>
    <cellStyle name="Normal 5 2 3 5 2" xfId="9085"/>
    <cellStyle name="Normal 5 2 3 5 2 2" xfId="9086"/>
    <cellStyle name="Normal 5 2 3 5 2 3" xfId="9087"/>
    <cellStyle name="Normal 5 2 3 5 3" xfId="9088"/>
    <cellStyle name="Normal 5 2 3 5 4" xfId="9089"/>
    <cellStyle name="Normal 5 2 3 5 5" xfId="9090"/>
    <cellStyle name="Normal 5 2 3 6" xfId="9091"/>
    <cellStyle name="Normal 5 2 3 6 2" xfId="9092"/>
    <cellStyle name="Normal 5 2 3 6 3" xfId="9093"/>
    <cellStyle name="Normal 5 2 3 7" xfId="9094"/>
    <cellStyle name="Normal 5 2 3 8" xfId="9095"/>
    <cellStyle name="Normal 5 2 3 9" xfId="9096"/>
    <cellStyle name="Normal 5 2 4" xfId="9097"/>
    <cellStyle name="Normal 5 2 4 2" xfId="9098"/>
    <cellStyle name="Normal 5 2 4 2 2" xfId="9099"/>
    <cellStyle name="Normal 5 2 4 2 2 2" xfId="9100"/>
    <cellStyle name="Normal 5 2 4 2 2 2 2" xfId="9101"/>
    <cellStyle name="Normal 5 2 4 2 2 2 2 2" xfId="9102"/>
    <cellStyle name="Normal 5 2 4 2 2 2 2 3" xfId="9103"/>
    <cellStyle name="Normal 5 2 4 2 2 2 3" xfId="9104"/>
    <cellStyle name="Normal 5 2 4 2 2 2 4" xfId="9105"/>
    <cellStyle name="Normal 5 2 4 2 2 2 5" xfId="9106"/>
    <cellStyle name="Normal 5 2 4 2 2 3" xfId="9107"/>
    <cellStyle name="Normal 5 2 4 2 2 3 2" xfId="9108"/>
    <cellStyle name="Normal 5 2 4 2 2 3 2 2" xfId="9109"/>
    <cellStyle name="Normal 5 2 4 2 2 3 2 3" xfId="9110"/>
    <cellStyle name="Normal 5 2 4 2 2 3 3" xfId="9111"/>
    <cellStyle name="Normal 5 2 4 2 2 3 4" xfId="9112"/>
    <cellStyle name="Normal 5 2 4 2 2 3 5" xfId="9113"/>
    <cellStyle name="Normal 5 2 4 2 2 4" xfId="9114"/>
    <cellStyle name="Normal 5 2 4 2 2 4 2" xfId="9115"/>
    <cellStyle name="Normal 5 2 4 2 2 4 3" xfId="9116"/>
    <cellStyle name="Normal 5 2 4 2 2 5" xfId="9117"/>
    <cellStyle name="Normal 5 2 4 2 2 6" xfId="9118"/>
    <cellStyle name="Normal 5 2 4 2 2 7" xfId="9119"/>
    <cellStyle name="Normal 5 2 4 2 3" xfId="9120"/>
    <cellStyle name="Normal 5 2 4 2 3 2" xfId="9121"/>
    <cellStyle name="Normal 5 2 4 2 3 2 2" xfId="9122"/>
    <cellStyle name="Normal 5 2 4 2 3 2 3" xfId="9123"/>
    <cellStyle name="Normal 5 2 4 2 3 3" xfId="9124"/>
    <cellStyle name="Normal 5 2 4 2 3 4" xfId="9125"/>
    <cellStyle name="Normal 5 2 4 2 3 5" xfId="9126"/>
    <cellStyle name="Normal 5 2 4 2 4" xfId="9127"/>
    <cellStyle name="Normal 5 2 4 2 4 2" xfId="9128"/>
    <cellStyle name="Normal 5 2 4 2 4 2 2" xfId="9129"/>
    <cellStyle name="Normal 5 2 4 2 4 2 3" xfId="9130"/>
    <cellStyle name="Normal 5 2 4 2 4 3" xfId="9131"/>
    <cellStyle name="Normal 5 2 4 2 4 4" xfId="9132"/>
    <cellStyle name="Normal 5 2 4 2 4 5" xfId="9133"/>
    <cellStyle name="Normal 5 2 4 2 5" xfId="9134"/>
    <cellStyle name="Normal 5 2 4 2 5 2" xfId="9135"/>
    <cellStyle name="Normal 5 2 4 2 5 3" xfId="9136"/>
    <cellStyle name="Normal 5 2 4 2 6" xfId="9137"/>
    <cellStyle name="Normal 5 2 4 2 7" xfId="9138"/>
    <cellStyle name="Normal 5 2 4 2 8" xfId="9139"/>
    <cellStyle name="Normal 5 2 4 3" xfId="9140"/>
    <cellStyle name="Normal 5 2 4 3 2" xfId="9141"/>
    <cellStyle name="Normal 5 2 4 3 2 2" xfId="9142"/>
    <cellStyle name="Normal 5 2 4 3 2 2 2" xfId="9143"/>
    <cellStyle name="Normal 5 2 4 3 2 2 3" xfId="9144"/>
    <cellStyle name="Normal 5 2 4 3 2 3" xfId="9145"/>
    <cellStyle name="Normal 5 2 4 3 2 4" xfId="9146"/>
    <cellStyle name="Normal 5 2 4 3 2 5" xfId="9147"/>
    <cellStyle name="Normal 5 2 4 3 3" xfId="9148"/>
    <cellStyle name="Normal 5 2 4 3 3 2" xfId="9149"/>
    <cellStyle name="Normal 5 2 4 3 3 2 2" xfId="9150"/>
    <cellStyle name="Normal 5 2 4 3 3 2 3" xfId="9151"/>
    <cellStyle name="Normal 5 2 4 3 3 3" xfId="9152"/>
    <cellStyle name="Normal 5 2 4 3 3 4" xfId="9153"/>
    <cellStyle name="Normal 5 2 4 3 3 5" xfId="9154"/>
    <cellStyle name="Normal 5 2 4 3 4" xfId="9155"/>
    <cellStyle name="Normal 5 2 4 3 4 2" xfId="9156"/>
    <cellStyle name="Normal 5 2 4 3 4 3" xfId="9157"/>
    <cellStyle name="Normal 5 2 4 3 5" xfId="9158"/>
    <cellStyle name="Normal 5 2 4 3 6" xfId="9159"/>
    <cellStyle name="Normal 5 2 4 3 7" xfId="9160"/>
    <cellStyle name="Normal 5 2 4 4" xfId="9161"/>
    <cellStyle name="Normal 5 2 4 4 2" xfId="9162"/>
    <cellStyle name="Normal 5 2 4 4 2 2" xfId="9163"/>
    <cellStyle name="Normal 5 2 4 4 2 3" xfId="9164"/>
    <cellStyle name="Normal 5 2 4 4 3" xfId="9165"/>
    <cellStyle name="Normal 5 2 4 4 4" xfId="9166"/>
    <cellStyle name="Normal 5 2 4 4 5" xfId="9167"/>
    <cellStyle name="Normal 5 2 4 5" xfId="9168"/>
    <cellStyle name="Normal 5 2 4 5 2" xfId="9169"/>
    <cellStyle name="Normal 5 2 4 5 2 2" xfId="9170"/>
    <cellStyle name="Normal 5 2 4 5 2 3" xfId="9171"/>
    <cellStyle name="Normal 5 2 4 5 3" xfId="9172"/>
    <cellStyle name="Normal 5 2 4 5 4" xfId="9173"/>
    <cellStyle name="Normal 5 2 4 5 5" xfId="9174"/>
    <cellStyle name="Normal 5 2 4 6" xfId="9175"/>
    <cellStyle name="Normal 5 2 4 6 2" xfId="9176"/>
    <cellStyle name="Normal 5 2 4 6 3" xfId="9177"/>
    <cellStyle name="Normal 5 2 4 7" xfId="9178"/>
    <cellStyle name="Normal 5 2 4 8" xfId="9179"/>
    <cellStyle name="Normal 5 2 4 9" xfId="9180"/>
    <cellStyle name="Normal 5 2 5" xfId="9181"/>
    <cellStyle name="Normal 5 2 5 2" xfId="9182"/>
    <cellStyle name="Normal 5 2 5 2 2" xfId="9183"/>
    <cellStyle name="Normal 5 2 5 2 2 2" xfId="9184"/>
    <cellStyle name="Normal 5 2 5 2 2 2 2" xfId="9185"/>
    <cellStyle name="Normal 5 2 5 2 2 2 3" xfId="9186"/>
    <cellStyle name="Normal 5 2 5 2 2 3" xfId="9187"/>
    <cellStyle name="Normal 5 2 5 2 2 4" xfId="9188"/>
    <cellStyle name="Normal 5 2 5 2 2 5" xfId="9189"/>
    <cellStyle name="Normal 5 2 5 2 3" xfId="9190"/>
    <cellStyle name="Normal 5 2 5 2 3 2" xfId="9191"/>
    <cellStyle name="Normal 5 2 5 2 3 2 2" xfId="9192"/>
    <cellStyle name="Normal 5 2 5 2 3 2 3" xfId="9193"/>
    <cellStyle name="Normal 5 2 5 2 3 3" xfId="9194"/>
    <cellStyle name="Normal 5 2 5 2 3 4" xfId="9195"/>
    <cellStyle name="Normal 5 2 5 2 3 5" xfId="9196"/>
    <cellStyle name="Normal 5 2 5 2 4" xfId="9197"/>
    <cellStyle name="Normal 5 2 5 2 4 2" xfId="9198"/>
    <cellStyle name="Normal 5 2 5 2 4 3" xfId="9199"/>
    <cellStyle name="Normal 5 2 5 2 5" xfId="9200"/>
    <cellStyle name="Normal 5 2 5 2 6" xfId="9201"/>
    <cellStyle name="Normal 5 2 5 2 7" xfId="9202"/>
    <cellStyle name="Normal 5 2 5 3" xfId="9203"/>
    <cellStyle name="Normal 5 2 5 3 2" xfId="9204"/>
    <cellStyle name="Normal 5 2 5 3 2 2" xfId="9205"/>
    <cellStyle name="Normal 5 2 5 3 2 3" xfId="9206"/>
    <cellStyle name="Normal 5 2 5 3 3" xfId="9207"/>
    <cellStyle name="Normal 5 2 5 3 4" xfId="9208"/>
    <cellStyle name="Normal 5 2 5 3 5" xfId="9209"/>
    <cellStyle name="Normal 5 2 5 4" xfId="9210"/>
    <cellStyle name="Normal 5 2 5 4 2" xfId="9211"/>
    <cellStyle name="Normal 5 2 5 4 2 2" xfId="9212"/>
    <cellStyle name="Normal 5 2 5 4 2 3" xfId="9213"/>
    <cellStyle name="Normal 5 2 5 4 3" xfId="9214"/>
    <cellStyle name="Normal 5 2 5 4 4" xfId="9215"/>
    <cellStyle name="Normal 5 2 5 4 5" xfId="9216"/>
    <cellStyle name="Normal 5 2 5 5" xfId="9217"/>
    <cellStyle name="Normal 5 2 5 5 2" xfId="9218"/>
    <cellStyle name="Normal 5 2 5 5 3" xfId="9219"/>
    <cellStyle name="Normal 5 2 5 6" xfId="9220"/>
    <cellStyle name="Normal 5 2 5 7" xfId="9221"/>
    <cellStyle name="Normal 5 2 5 8" xfId="9222"/>
    <cellStyle name="Normal 5 2 6" xfId="9223"/>
    <cellStyle name="Normal 5 2 6 2" xfId="9224"/>
    <cellStyle name="Normal 5 2 6 2 2" xfId="9225"/>
    <cellStyle name="Normal 5 2 6 2 2 2" xfId="9226"/>
    <cellStyle name="Normal 5 2 6 2 2 3" xfId="9227"/>
    <cellStyle name="Normal 5 2 6 2 3" xfId="9228"/>
    <cellStyle name="Normal 5 2 6 2 4" xfId="9229"/>
    <cellStyle name="Normal 5 2 6 2 5" xfId="9230"/>
    <cellStyle name="Normal 5 2 6 3" xfId="9231"/>
    <cellStyle name="Normal 5 2 6 3 2" xfId="9232"/>
    <cellStyle name="Normal 5 2 6 3 2 2" xfId="9233"/>
    <cellStyle name="Normal 5 2 6 3 2 3" xfId="9234"/>
    <cellStyle name="Normal 5 2 6 3 3" xfId="9235"/>
    <cellStyle name="Normal 5 2 6 3 4" xfId="9236"/>
    <cellStyle name="Normal 5 2 6 3 5" xfId="9237"/>
    <cellStyle name="Normal 5 2 6 4" xfId="9238"/>
    <cellStyle name="Normal 5 2 6 4 2" xfId="9239"/>
    <cellStyle name="Normal 5 2 6 4 3" xfId="9240"/>
    <cellStyle name="Normal 5 2 6 5" xfId="9241"/>
    <cellStyle name="Normal 5 2 6 6" xfId="9242"/>
    <cellStyle name="Normal 5 2 6 7" xfId="9243"/>
    <cellStyle name="Normal 5 2 7" xfId="9244"/>
    <cellStyle name="Normal 5 2 7 2" xfId="9245"/>
    <cellStyle name="Normal 5 2 7 2 2" xfId="9246"/>
    <cellStyle name="Normal 5 2 7 2 2 2" xfId="9247"/>
    <cellStyle name="Normal 5 2 7 2 2 3" xfId="9248"/>
    <cellStyle name="Normal 5 2 7 2 3" xfId="9249"/>
    <cellStyle name="Normal 5 2 7 2 4" xfId="9250"/>
    <cellStyle name="Normal 5 2 7 2 5" xfId="9251"/>
    <cellStyle name="Normal 5 2 7 3" xfId="9252"/>
    <cellStyle name="Normal 5 2 7 3 2" xfId="9253"/>
    <cellStyle name="Normal 5 2 7 3 2 2" xfId="9254"/>
    <cellStyle name="Normal 5 2 7 3 2 3" xfId="9255"/>
    <cellStyle name="Normal 5 2 7 3 3" xfId="9256"/>
    <cellStyle name="Normal 5 2 7 3 4" xfId="9257"/>
    <cellStyle name="Normal 5 2 7 3 5" xfId="9258"/>
    <cellStyle name="Normal 5 2 7 4" xfId="9259"/>
    <cellStyle name="Normal 5 2 7 4 2" xfId="9260"/>
    <cellStyle name="Normal 5 2 7 4 3" xfId="9261"/>
    <cellStyle name="Normal 5 2 7 5" xfId="9262"/>
    <cellStyle name="Normal 5 2 7 6" xfId="9263"/>
    <cellStyle name="Normal 5 2 7 7" xfId="9264"/>
    <cellStyle name="Normal 5 2 8" xfId="9265"/>
    <cellStyle name="Normal 5 2 8 2" xfId="9266"/>
    <cellStyle name="Normal 5 2 8 2 2" xfId="9267"/>
    <cellStyle name="Normal 5 2 8 2 3" xfId="9268"/>
    <cellStyle name="Normal 5 2 8 3" xfId="9269"/>
    <cellStyle name="Normal 5 2 8 4" xfId="9270"/>
    <cellStyle name="Normal 5 2 8 5" xfId="9271"/>
    <cellStyle name="Normal 5 2 9" xfId="9272"/>
    <cellStyle name="Normal 5 2 9 2" xfId="9273"/>
    <cellStyle name="Normal 5 2 9 2 2" xfId="9274"/>
    <cellStyle name="Normal 5 2 9 2 3" xfId="9275"/>
    <cellStyle name="Normal 5 2 9 3" xfId="9276"/>
    <cellStyle name="Normal 5 2 9 4" xfId="9277"/>
    <cellStyle name="Normal 5 2 9 5" xfId="9278"/>
    <cellStyle name="Normal 5 28" xfId="9279"/>
    <cellStyle name="Normal 5 28 2" xfId="9280"/>
    <cellStyle name="Normal 5 3 10" xfId="9281"/>
    <cellStyle name="Normal 5 3 2" xfId="9282"/>
    <cellStyle name="Normal 5 3 2 2" xfId="9283"/>
    <cellStyle name="Normal 5 3 2 2 2" xfId="9284"/>
    <cellStyle name="Normal 5 3 2 2 2 2" xfId="9285"/>
    <cellStyle name="Normal 5 3 2 2 2 2 2" xfId="9286"/>
    <cellStyle name="Normal 5 3 2 2 2 2 3" xfId="9287"/>
    <cellStyle name="Normal 5 3 2 2 2 3" xfId="9288"/>
    <cellStyle name="Normal 5 3 2 2 2 4" xfId="9289"/>
    <cellStyle name="Normal 5 3 2 2 2 5" xfId="9290"/>
    <cellStyle name="Normal 5 3 2 2 3" xfId="9291"/>
    <cellStyle name="Normal 5 3 2 2 3 2" xfId="9292"/>
    <cellStyle name="Normal 5 3 2 2 3 2 2" xfId="9293"/>
    <cellStyle name="Normal 5 3 2 2 3 2 3" xfId="9294"/>
    <cellStyle name="Normal 5 3 2 2 3 3" xfId="9295"/>
    <cellStyle name="Normal 5 3 2 2 3 4" xfId="9296"/>
    <cellStyle name="Normal 5 3 2 2 3 5" xfId="9297"/>
    <cellStyle name="Normal 5 3 2 2 4" xfId="9298"/>
    <cellStyle name="Normal 5 3 2 2 4 2" xfId="9299"/>
    <cellStyle name="Normal 5 3 2 2 4 3" xfId="9300"/>
    <cellStyle name="Normal 5 3 2 2 5" xfId="9301"/>
    <cellStyle name="Normal 5 3 2 2 6" xfId="9302"/>
    <cellStyle name="Normal 5 3 2 2 7" xfId="9303"/>
    <cellStyle name="Normal 5 3 2 3" xfId="9304"/>
    <cellStyle name="Normal 5 3 2 3 2" xfId="9305"/>
    <cellStyle name="Normal 5 3 2 3 2 2" xfId="9306"/>
    <cellStyle name="Normal 5 3 2 3 2 3" xfId="9307"/>
    <cellStyle name="Normal 5 3 2 3 3" xfId="9308"/>
    <cellStyle name="Normal 5 3 2 3 4" xfId="9309"/>
    <cellStyle name="Normal 5 3 2 3 5" xfId="9310"/>
    <cellStyle name="Normal 5 3 2 4" xfId="9311"/>
    <cellStyle name="Normal 5 3 2 4 2" xfId="9312"/>
    <cellStyle name="Normal 5 3 2 4 2 2" xfId="9313"/>
    <cellStyle name="Normal 5 3 2 4 2 3" xfId="9314"/>
    <cellStyle name="Normal 5 3 2 4 3" xfId="9315"/>
    <cellStyle name="Normal 5 3 2 4 4" xfId="9316"/>
    <cellStyle name="Normal 5 3 2 4 5" xfId="9317"/>
    <cellStyle name="Normal 5 3 2 5" xfId="9318"/>
    <cellStyle name="Normal 5 3 2 5 2" xfId="9319"/>
    <cellStyle name="Normal 5 3 2 5 3" xfId="9320"/>
    <cellStyle name="Normal 5 3 2 6" xfId="9321"/>
    <cellStyle name="Normal 5 3 2 7" xfId="9322"/>
    <cellStyle name="Normal 5 3 2 8" xfId="9323"/>
    <cellStyle name="Normal 5 3 3" xfId="9324"/>
    <cellStyle name="Normal 5 3 3 2" xfId="9325"/>
    <cellStyle name="Normal 5 3 3 2 2" xfId="9326"/>
    <cellStyle name="Normal 5 3 3 2 2 2" xfId="9327"/>
    <cellStyle name="Normal 5 3 3 2 2 3" xfId="9328"/>
    <cellStyle name="Normal 5 3 3 2 3" xfId="9329"/>
    <cellStyle name="Normal 5 3 3 2 4" xfId="9330"/>
    <cellStyle name="Normal 5 3 3 2 5" xfId="9331"/>
    <cellStyle name="Normal 5 3 3 3" xfId="9332"/>
    <cellStyle name="Normal 5 3 3 3 2" xfId="9333"/>
    <cellStyle name="Normal 5 3 3 3 2 2" xfId="9334"/>
    <cellStyle name="Normal 5 3 3 3 2 3" xfId="9335"/>
    <cellStyle name="Normal 5 3 3 3 3" xfId="9336"/>
    <cellStyle name="Normal 5 3 3 3 4" xfId="9337"/>
    <cellStyle name="Normal 5 3 3 3 5" xfId="9338"/>
    <cellStyle name="Normal 5 3 3 4" xfId="9339"/>
    <cellStyle name="Normal 5 3 3 4 2" xfId="9340"/>
    <cellStyle name="Normal 5 3 3 4 3" xfId="9341"/>
    <cellStyle name="Normal 5 3 3 5" xfId="9342"/>
    <cellStyle name="Normal 5 3 3 6" xfId="9343"/>
    <cellStyle name="Normal 5 3 3 7" xfId="9344"/>
    <cellStyle name="Normal 5 3 4" xfId="9345"/>
    <cellStyle name="Normal 5 3 4 2" xfId="9346"/>
    <cellStyle name="Normal 5 3 4 2 2" xfId="9347"/>
    <cellStyle name="Normal 5 3 4 2 3" xfId="9348"/>
    <cellStyle name="Normal 5 3 4 3" xfId="9349"/>
    <cellStyle name="Normal 5 3 4 4" xfId="9350"/>
    <cellStyle name="Normal 5 3 4 5" xfId="9351"/>
    <cellStyle name="Normal 5 3 5" xfId="9352"/>
    <cellStyle name="Normal 5 3 5 2" xfId="9353"/>
    <cellStyle name="Normal 5 3 5 2 2" xfId="9354"/>
    <cellStyle name="Normal 5 3 5 2 3" xfId="9355"/>
    <cellStyle name="Normal 5 3 5 3" xfId="9356"/>
    <cellStyle name="Normal 5 3 5 4" xfId="9357"/>
    <cellStyle name="Normal 5 3 5 5" xfId="9358"/>
    <cellStyle name="Normal 5 3 6" xfId="9359"/>
    <cellStyle name="Normal 5 3 6 2" xfId="9360"/>
    <cellStyle name="Normal 5 3 6 3" xfId="9361"/>
    <cellStyle name="Normal 5 3 7" xfId="9362"/>
    <cellStyle name="Normal 5 3 8" xfId="9363"/>
    <cellStyle name="Normal 5 3 9" xfId="9364"/>
    <cellStyle name="Normal 5 4 10" xfId="9365"/>
    <cellStyle name="Normal 5 4 2" xfId="9366"/>
    <cellStyle name="Normal 5 4 2 2" xfId="9367"/>
    <cellStyle name="Normal 5 4 2 2 2" xfId="9368"/>
    <cellStyle name="Normal 5 4 2 2 2 2" xfId="9369"/>
    <cellStyle name="Normal 5 4 2 2 2 2 2" xfId="9370"/>
    <cellStyle name="Normal 5 4 2 2 2 2 3" xfId="9371"/>
    <cellStyle name="Normal 5 4 2 2 2 3" xfId="9372"/>
    <cellStyle name="Normal 5 4 2 2 2 4" xfId="9373"/>
    <cellStyle name="Normal 5 4 2 2 2 5" xfId="9374"/>
    <cellStyle name="Normal 5 4 2 2 3" xfId="9375"/>
    <cellStyle name="Normal 5 4 2 2 3 2" xfId="9376"/>
    <cellStyle name="Normal 5 4 2 2 3 2 2" xfId="9377"/>
    <cellStyle name="Normal 5 4 2 2 3 2 3" xfId="9378"/>
    <cellStyle name="Normal 5 4 2 2 3 3" xfId="9379"/>
    <cellStyle name="Normal 5 4 2 2 3 4" xfId="9380"/>
    <cellStyle name="Normal 5 4 2 2 3 5" xfId="9381"/>
    <cellStyle name="Normal 5 4 2 2 4" xfId="9382"/>
    <cellStyle name="Normal 5 4 2 2 4 2" xfId="9383"/>
    <cellStyle name="Normal 5 4 2 2 4 3" xfId="9384"/>
    <cellStyle name="Normal 5 4 2 2 5" xfId="9385"/>
    <cellStyle name="Normal 5 4 2 2 6" xfId="9386"/>
    <cellStyle name="Normal 5 4 2 2 7" xfId="9387"/>
    <cellStyle name="Normal 5 4 2 3" xfId="9388"/>
    <cellStyle name="Normal 5 4 2 3 2" xfId="9389"/>
    <cellStyle name="Normal 5 4 2 3 2 2" xfId="9390"/>
    <cellStyle name="Normal 5 4 2 3 2 3" xfId="9391"/>
    <cellStyle name="Normal 5 4 2 3 3" xfId="9392"/>
    <cellStyle name="Normal 5 4 2 3 4" xfId="9393"/>
    <cellStyle name="Normal 5 4 2 3 5" xfId="9394"/>
    <cellStyle name="Normal 5 4 2 4" xfId="9395"/>
    <cellStyle name="Normal 5 4 2 4 2" xfId="9396"/>
    <cellStyle name="Normal 5 4 2 4 2 2" xfId="9397"/>
    <cellStyle name="Normal 5 4 2 4 2 3" xfId="9398"/>
    <cellStyle name="Normal 5 4 2 4 3" xfId="9399"/>
    <cellStyle name="Normal 5 4 2 4 4" xfId="9400"/>
    <cellStyle name="Normal 5 4 2 4 5" xfId="9401"/>
    <cellStyle name="Normal 5 4 2 5" xfId="9402"/>
    <cellStyle name="Normal 5 4 2 5 2" xfId="9403"/>
    <cellStyle name="Normal 5 4 2 5 3" xfId="9404"/>
    <cellStyle name="Normal 5 4 2 6" xfId="9405"/>
    <cellStyle name="Normal 5 4 2 7" xfId="9406"/>
    <cellStyle name="Normal 5 4 2 8" xfId="9407"/>
    <cellStyle name="Normal 5 4 3" xfId="9408"/>
    <cellStyle name="Normal 5 4 3 2" xfId="9409"/>
    <cellStyle name="Normal 5 4 3 2 2" xfId="9410"/>
    <cellStyle name="Normal 5 4 3 2 2 2" xfId="9411"/>
    <cellStyle name="Normal 5 4 3 2 2 3" xfId="9412"/>
    <cellStyle name="Normal 5 4 3 2 3" xfId="9413"/>
    <cellStyle name="Normal 5 4 3 2 4" xfId="9414"/>
    <cellStyle name="Normal 5 4 3 2 5" xfId="9415"/>
    <cellStyle name="Normal 5 4 3 3" xfId="9416"/>
    <cellStyle name="Normal 5 4 3 3 2" xfId="9417"/>
    <cellStyle name="Normal 5 4 3 3 2 2" xfId="9418"/>
    <cellStyle name="Normal 5 4 3 3 2 3" xfId="9419"/>
    <cellStyle name="Normal 5 4 3 3 3" xfId="9420"/>
    <cellStyle name="Normal 5 4 3 3 4" xfId="9421"/>
    <cellStyle name="Normal 5 4 3 3 5" xfId="9422"/>
    <cellStyle name="Normal 5 4 3 4" xfId="9423"/>
    <cellStyle name="Normal 5 4 3 4 2" xfId="9424"/>
    <cellStyle name="Normal 5 4 3 4 3" xfId="9425"/>
    <cellStyle name="Normal 5 4 3 5" xfId="9426"/>
    <cellStyle name="Normal 5 4 3 6" xfId="9427"/>
    <cellStyle name="Normal 5 4 3 7" xfId="9428"/>
    <cellStyle name="Normal 5 4 4" xfId="9429"/>
    <cellStyle name="Normal 5 4 4 2" xfId="9430"/>
    <cellStyle name="Normal 5 4 4 2 2" xfId="9431"/>
    <cellStyle name="Normal 5 4 4 2 3" xfId="9432"/>
    <cellStyle name="Normal 5 4 4 3" xfId="9433"/>
    <cellStyle name="Normal 5 4 4 4" xfId="9434"/>
    <cellStyle name="Normal 5 4 4 5" xfId="9435"/>
    <cellStyle name="Normal 5 4 5" xfId="9436"/>
    <cellStyle name="Normal 5 4 5 2" xfId="9437"/>
    <cellStyle name="Normal 5 4 5 2 2" xfId="9438"/>
    <cellStyle name="Normal 5 4 5 2 3" xfId="9439"/>
    <cellStyle name="Normal 5 4 5 3" xfId="9440"/>
    <cellStyle name="Normal 5 4 5 4" xfId="9441"/>
    <cellStyle name="Normal 5 4 5 5" xfId="9442"/>
    <cellStyle name="Normal 5 4 6" xfId="9443"/>
    <cellStyle name="Normal 5 4 6 2" xfId="9444"/>
    <cellStyle name="Normal 5 4 6 3" xfId="9445"/>
    <cellStyle name="Normal 5 4 7" xfId="9446"/>
    <cellStyle name="Normal 5 4 8" xfId="9447"/>
    <cellStyle name="Normal 5 4 9" xfId="9448"/>
    <cellStyle name="Normal 5 5 10" xfId="9449"/>
    <cellStyle name="Normal 5 5 2" xfId="9450"/>
    <cellStyle name="Normal 5 5 2 2" xfId="9451"/>
    <cellStyle name="Normal 5 5 2 2 2" xfId="9452"/>
    <cellStyle name="Normal 5 5 2 2 2 2" xfId="9453"/>
    <cellStyle name="Normal 5 5 2 2 2 2 2" xfId="9454"/>
    <cellStyle name="Normal 5 5 2 2 2 2 3" xfId="9455"/>
    <cellStyle name="Normal 5 5 2 2 2 3" xfId="9456"/>
    <cellStyle name="Normal 5 5 2 2 2 4" xfId="9457"/>
    <cellStyle name="Normal 5 5 2 2 2 5" xfId="9458"/>
    <cellStyle name="Normal 5 5 2 2 3" xfId="9459"/>
    <cellStyle name="Normal 5 5 2 2 3 2" xfId="9460"/>
    <cellStyle name="Normal 5 5 2 2 3 2 2" xfId="9461"/>
    <cellStyle name="Normal 5 5 2 2 3 2 3" xfId="9462"/>
    <cellStyle name="Normal 5 5 2 2 3 3" xfId="9463"/>
    <cellStyle name="Normal 5 5 2 2 3 4" xfId="9464"/>
    <cellStyle name="Normal 5 5 2 2 3 5" xfId="9465"/>
    <cellStyle name="Normal 5 5 2 2 4" xfId="9466"/>
    <cellStyle name="Normal 5 5 2 2 4 2" xfId="9467"/>
    <cellStyle name="Normal 5 5 2 2 4 3" xfId="9468"/>
    <cellStyle name="Normal 5 5 2 2 5" xfId="9469"/>
    <cellStyle name="Normal 5 5 2 2 6" xfId="9470"/>
    <cellStyle name="Normal 5 5 2 2 7" xfId="9471"/>
    <cellStyle name="Normal 5 5 2 3" xfId="9472"/>
    <cellStyle name="Normal 5 5 2 3 2" xfId="9473"/>
    <cellStyle name="Normal 5 5 2 3 2 2" xfId="9474"/>
    <cellStyle name="Normal 5 5 2 3 2 3" xfId="9475"/>
    <cellStyle name="Normal 5 5 2 3 3" xfId="9476"/>
    <cellStyle name="Normal 5 5 2 3 4" xfId="9477"/>
    <cellStyle name="Normal 5 5 2 3 5" xfId="9478"/>
    <cellStyle name="Normal 5 5 2 4" xfId="9479"/>
    <cellStyle name="Normal 5 5 2 4 2" xfId="9480"/>
    <cellStyle name="Normal 5 5 2 4 2 2" xfId="9481"/>
    <cellStyle name="Normal 5 5 2 4 2 3" xfId="9482"/>
    <cellStyle name="Normal 5 5 2 4 3" xfId="9483"/>
    <cellStyle name="Normal 5 5 2 4 4" xfId="9484"/>
    <cellStyle name="Normal 5 5 2 4 5" xfId="9485"/>
    <cellStyle name="Normal 5 5 2 5" xfId="9486"/>
    <cellStyle name="Normal 5 5 2 5 2" xfId="9487"/>
    <cellStyle name="Normal 5 5 2 5 3" xfId="9488"/>
    <cellStyle name="Normal 5 5 2 6" xfId="9489"/>
    <cellStyle name="Normal 5 5 2 7" xfId="9490"/>
    <cellStyle name="Normal 5 5 2 8" xfId="9491"/>
    <cellStyle name="Normal 5 5 3" xfId="9492"/>
    <cellStyle name="Normal 5 5 3 2" xfId="9493"/>
    <cellStyle name="Normal 5 5 3 2 2" xfId="9494"/>
    <cellStyle name="Normal 5 5 3 2 2 2" xfId="9495"/>
    <cellStyle name="Normal 5 5 3 2 2 3" xfId="9496"/>
    <cellStyle name="Normal 5 5 3 2 3" xfId="9497"/>
    <cellStyle name="Normal 5 5 3 2 4" xfId="9498"/>
    <cellStyle name="Normal 5 5 3 2 5" xfId="9499"/>
    <cellStyle name="Normal 5 5 3 3" xfId="9500"/>
    <cellStyle name="Normal 5 5 3 3 2" xfId="9501"/>
    <cellStyle name="Normal 5 5 3 3 2 2" xfId="9502"/>
    <cellStyle name="Normal 5 5 3 3 2 3" xfId="9503"/>
    <cellStyle name="Normal 5 5 3 3 3" xfId="9504"/>
    <cellStyle name="Normal 5 5 3 3 4" xfId="9505"/>
    <cellStyle name="Normal 5 5 3 3 5" xfId="9506"/>
    <cellStyle name="Normal 5 5 3 4" xfId="9507"/>
    <cellStyle name="Normal 5 5 3 4 2" xfId="9508"/>
    <cellStyle name="Normal 5 5 3 4 3" xfId="9509"/>
    <cellStyle name="Normal 5 5 3 5" xfId="9510"/>
    <cellStyle name="Normal 5 5 3 6" xfId="9511"/>
    <cellStyle name="Normal 5 5 3 7" xfId="9512"/>
    <cellStyle name="Normal 5 5 4" xfId="9513"/>
    <cellStyle name="Normal 5 5 4 2" xfId="9514"/>
    <cellStyle name="Normal 5 5 4 2 2" xfId="9515"/>
    <cellStyle name="Normal 5 5 4 2 3" xfId="9516"/>
    <cellStyle name="Normal 5 5 4 3" xfId="9517"/>
    <cellStyle name="Normal 5 5 4 4" xfId="9518"/>
    <cellStyle name="Normal 5 5 4 5" xfId="9519"/>
    <cellStyle name="Normal 5 5 5" xfId="9520"/>
    <cellStyle name="Normal 5 5 5 2" xfId="9521"/>
    <cellStyle name="Normal 5 5 5 2 2" xfId="9522"/>
    <cellStyle name="Normal 5 5 5 2 3" xfId="9523"/>
    <cellStyle name="Normal 5 5 5 3" xfId="9524"/>
    <cellStyle name="Normal 5 5 5 4" xfId="9525"/>
    <cellStyle name="Normal 5 5 5 5" xfId="9526"/>
    <cellStyle name="Normal 5 5 6" xfId="9527"/>
    <cellStyle name="Normal 5 5 6 2" xfId="9528"/>
    <cellStyle name="Normal 5 5 6 3" xfId="9529"/>
    <cellStyle name="Normal 5 5 7" xfId="9530"/>
    <cellStyle name="Normal 5 5 8" xfId="9531"/>
    <cellStyle name="Normal 5 5 9" xfId="9532"/>
    <cellStyle name="Normal 5 6" xfId="9533"/>
    <cellStyle name="Normal 5 6 2" xfId="9534"/>
    <cellStyle name="Normal 5 6 2 2" xfId="9535"/>
    <cellStyle name="Normal 5 6 2 2 2" xfId="9536"/>
    <cellStyle name="Normal 5 6 2 2 2 2" xfId="9537"/>
    <cellStyle name="Normal 5 6 2 2 2 3" xfId="9538"/>
    <cellStyle name="Normal 5 6 2 2 3" xfId="9539"/>
    <cellStyle name="Normal 5 6 2 2 4" xfId="9540"/>
    <cellStyle name="Normal 5 6 2 2 5" xfId="9541"/>
    <cellStyle name="Normal 5 6 2 3" xfId="9542"/>
    <cellStyle name="Normal 5 6 2 3 2" xfId="9543"/>
    <cellStyle name="Normal 5 6 2 3 2 2" xfId="9544"/>
    <cellStyle name="Normal 5 6 2 3 2 3" xfId="9545"/>
    <cellStyle name="Normal 5 6 2 3 3" xfId="9546"/>
    <cellStyle name="Normal 5 6 2 3 4" xfId="9547"/>
    <cellStyle name="Normal 5 6 2 3 5" xfId="9548"/>
    <cellStyle name="Normal 5 6 2 4" xfId="9549"/>
    <cellStyle name="Normal 5 6 2 4 2" xfId="9550"/>
    <cellStyle name="Normal 5 6 2 4 3" xfId="9551"/>
    <cellStyle name="Normal 5 6 2 5" xfId="9552"/>
    <cellStyle name="Normal 5 6 2 6" xfId="9553"/>
    <cellStyle name="Normal 5 6 2 7" xfId="9554"/>
    <cellStyle name="Normal 5 6 3" xfId="9555"/>
    <cellStyle name="Normal 5 6 3 2" xfId="9556"/>
    <cellStyle name="Normal 5 6 3 2 2" xfId="9557"/>
    <cellStyle name="Normal 5 6 3 2 3" xfId="9558"/>
    <cellStyle name="Normal 5 6 3 3" xfId="9559"/>
    <cellStyle name="Normal 5 6 3 4" xfId="9560"/>
    <cellStyle name="Normal 5 6 3 5" xfId="9561"/>
    <cellStyle name="Normal 5 6 4" xfId="9562"/>
    <cellStyle name="Normal 5 6 4 2" xfId="9563"/>
    <cellStyle name="Normal 5 6 4 2 2" xfId="9564"/>
    <cellStyle name="Normal 5 6 4 2 3" xfId="9565"/>
    <cellStyle name="Normal 5 6 4 3" xfId="9566"/>
    <cellStyle name="Normal 5 6 4 4" xfId="9567"/>
    <cellStyle name="Normal 5 6 4 5" xfId="9568"/>
    <cellStyle name="Normal 5 6 5" xfId="9569"/>
    <cellStyle name="Normal 5 6 5 2" xfId="9570"/>
    <cellStyle name="Normal 5 6 5 3" xfId="9571"/>
    <cellStyle name="Normal 5 6 6" xfId="9572"/>
    <cellStyle name="Normal 5 6 7" xfId="9573"/>
    <cellStyle name="Normal 5 6 8" xfId="9574"/>
    <cellStyle name="Normal 5 7" xfId="9575"/>
    <cellStyle name="Normal 5 7 2" xfId="9576"/>
    <cellStyle name="Normal 5 7 2 2" xfId="9577"/>
    <cellStyle name="Normal 5 7 2 2 2" xfId="9578"/>
    <cellStyle name="Normal 5 7 2 2 3" xfId="9579"/>
    <cellStyle name="Normal 5 7 2 3" xfId="9580"/>
    <cellStyle name="Normal 5 7 2 4" xfId="9581"/>
    <cellStyle name="Normal 5 7 2 5" xfId="9582"/>
    <cellStyle name="Normal 5 7 3" xfId="9583"/>
    <cellStyle name="Normal 5 7 3 2" xfId="9584"/>
    <cellStyle name="Normal 5 7 3 2 2" xfId="9585"/>
    <cellStyle name="Normal 5 7 3 2 3" xfId="9586"/>
    <cellStyle name="Normal 5 7 3 3" xfId="9587"/>
    <cellStyle name="Normal 5 7 3 4" xfId="9588"/>
    <cellStyle name="Normal 5 7 3 5" xfId="9589"/>
    <cellStyle name="Normal 5 8" xfId="9590"/>
    <cellStyle name="Normal 5 8 2" xfId="9591"/>
    <cellStyle name="Normal 5 8 2 2" xfId="9592"/>
    <cellStyle name="Normal 5 8 2 2 2" xfId="9593"/>
    <cellStyle name="Normal 5 8 2 2 3" xfId="9594"/>
    <cellStyle name="Normal 5 8 2 3" xfId="9595"/>
    <cellStyle name="Normal 5 8 2 4" xfId="9596"/>
    <cellStyle name="Normal 5 8 2 5" xfId="9597"/>
    <cellStyle name="Normal 5 8 3" xfId="9598"/>
    <cellStyle name="Normal 5 8 3 2" xfId="9599"/>
    <cellStyle name="Normal 5 8 3 2 2" xfId="9600"/>
    <cellStyle name="Normal 5 8 3 2 3" xfId="9601"/>
    <cellStyle name="Normal 5 8 3 3" xfId="9602"/>
    <cellStyle name="Normal 5 8 3 4" xfId="9603"/>
    <cellStyle name="Normal 5 8 3 5" xfId="9604"/>
    <cellStyle name="Normal 5 8 4" xfId="9605"/>
    <cellStyle name="Normal 5 8 4 2" xfId="9606"/>
    <cellStyle name="Normal 5 8 4 3" xfId="9607"/>
    <cellStyle name="Normal 5 8 5" xfId="9608"/>
    <cellStyle name="Normal 5 8 6" xfId="9609"/>
    <cellStyle name="Normal 5 8 7" xfId="9610"/>
    <cellStyle name="Normal 5 9" xfId="9611"/>
    <cellStyle name="Normal 5 9 2" xfId="9612"/>
    <cellStyle name="Normal 5 9 2 2" xfId="9613"/>
    <cellStyle name="Normal 5 9 2 3" xfId="9614"/>
    <cellStyle name="Normal 5 9 3" xfId="9615"/>
    <cellStyle name="Normal 5 9 4" xfId="9616"/>
    <cellStyle name="Normal 5 9 5" xfId="9617"/>
    <cellStyle name="Normal 53" xfId="9618"/>
    <cellStyle name="Normal 53 2" xfId="9619"/>
    <cellStyle name="Normal 7 2 2" xfId="9620"/>
    <cellStyle name="Normal 7 2 2 2" xfId="9621"/>
    <cellStyle name="Normal 7 2 2 2 2" xfId="9622"/>
    <cellStyle name="Normal 7 2 2 2 3" xfId="9623"/>
    <cellStyle name="Normal 7 2 2 3" xfId="9624"/>
    <cellStyle name="Normal 7 2 2 4" xfId="9625"/>
    <cellStyle name="Normal 7 2 2 5" xfId="9626"/>
    <cellStyle name="Normal 7 3" xfId="9627"/>
    <cellStyle name="Normal 7 3 2" xfId="9628"/>
    <cellStyle name="Normal 7 3 2 2" xfId="9629"/>
    <cellStyle name="Normal 7 3 2 3" xfId="9630"/>
    <cellStyle name="Normal 7 3 3" xfId="9631"/>
    <cellStyle name="Normal 7 3 4" xfId="9632"/>
    <cellStyle name="Normal 7 3 5" xfId="9633"/>
    <cellStyle name="Normal 7 4" xfId="9634"/>
    <cellStyle name="Note 2 2 6" xfId="9635"/>
    <cellStyle name="Note 4 2" xfId="9636"/>
    <cellStyle name="Note 5" xfId="9637"/>
    <cellStyle name="Note 5 2" xfId="9638"/>
    <cellStyle name="Note 5 2 2" xfId="9639"/>
    <cellStyle name="Note 5 2 3" xfId="9640"/>
    <cellStyle name="Note 5 3" xfId="9641"/>
    <cellStyle name="Note 5 4" xfId="9642"/>
    <cellStyle name="Note 5 5" xfId="9643"/>
    <cellStyle name="Note 6" xfId="9644"/>
    <cellStyle name="Note 7" xfId="9645"/>
    <cellStyle name="Note 8" xfId="9646"/>
    <cellStyle name="Note 9" xfId="9647"/>
    <cellStyle name="Output 3" xfId="9648"/>
    <cellStyle name="Output 4" xfId="9649"/>
    <cellStyle name="Output 5" xfId="9650"/>
    <cellStyle name="Output 6" xfId="9651"/>
    <cellStyle name="Output 7" xfId="9652"/>
    <cellStyle name="Output 8" xfId="9653"/>
    <cellStyle name="Output 9" xfId="9654"/>
    <cellStyle name="Percent 2 3 3" xfId="9655"/>
    <cellStyle name="Percent 7 2 4" xfId="9656"/>
    <cellStyle name="Percent 7 2 2" xfId="9657"/>
    <cellStyle name="Percent 7 2 3" xfId="9658"/>
    <cellStyle name="Percent 7 3" xfId="9659"/>
    <cellStyle name="Percent 7 4" xfId="9660"/>
    <cellStyle name="Percent 7 5" xfId="9661"/>
    <cellStyle name="PSChar 10" xfId="9662"/>
    <cellStyle name="PSChar 10 2" xfId="9663"/>
    <cellStyle name="PSChar 11" xfId="9664"/>
    <cellStyle name="PSChar 11 2" xfId="9665"/>
    <cellStyle name="PSChar 12" xfId="9666"/>
    <cellStyle name="PSChar 12 2" xfId="9667"/>
    <cellStyle name="PSChar 13" xfId="9668"/>
    <cellStyle name="PSChar 14" xfId="9669"/>
    <cellStyle name="PSChar 14 2" xfId="9670"/>
    <cellStyle name="PSChar 15" xfId="9671"/>
    <cellStyle name="PSChar 16" xfId="9672"/>
    <cellStyle name="PSChar 16 2" xfId="9673"/>
    <cellStyle name="PSChar 2" xfId="9674"/>
    <cellStyle name="PSChar 2 2" xfId="9675"/>
    <cellStyle name="PSChar 3" xfId="9676"/>
    <cellStyle name="PSChar 3 2" xfId="9677"/>
    <cellStyle name="PSChar 4" xfId="9678"/>
    <cellStyle name="PSChar 4 2" xfId="9679"/>
    <cellStyle name="PSChar 5" xfId="9680"/>
    <cellStyle name="PSChar 5 2" xfId="9681"/>
    <cellStyle name="PSChar 6" xfId="9682"/>
    <cellStyle name="PSChar 6 2" xfId="9683"/>
    <cellStyle name="PSChar 7" xfId="9684"/>
    <cellStyle name="PSChar 7 2" xfId="9685"/>
    <cellStyle name="PSChar 8" xfId="9686"/>
    <cellStyle name="PSChar 8 2" xfId="9687"/>
    <cellStyle name="PSChar 9" xfId="9688"/>
    <cellStyle name="PSChar 9 2" xfId="9689"/>
    <cellStyle name="PSChar 9 2 2" xfId="9690"/>
    <cellStyle name="PSChar 9 3" xfId="9691"/>
    <cellStyle name="PSDate 10" xfId="9692"/>
    <cellStyle name="PSDate 10 2" xfId="9693"/>
    <cellStyle name="PSDate 11" xfId="9694"/>
    <cellStyle name="PSDate 11 2" xfId="9695"/>
    <cellStyle name="PSDate 12" xfId="9696"/>
    <cellStyle name="PSDate 12 2" xfId="9697"/>
    <cellStyle name="PSDate 13" xfId="9698"/>
    <cellStyle name="PSDate 14" xfId="9699"/>
    <cellStyle name="PSDate 14 2" xfId="9700"/>
    <cellStyle name="PSDate 15" xfId="9701"/>
    <cellStyle name="PSDate 16" xfId="9702"/>
    <cellStyle name="PSDate 16 2" xfId="9703"/>
    <cellStyle name="PSDate 2" xfId="9704"/>
    <cellStyle name="PSDate 2 2" xfId="9705"/>
    <cellStyle name="PSDate 3" xfId="9706"/>
    <cellStyle name="PSDate 3 2" xfId="9707"/>
    <cellStyle name="PSDate 4" xfId="9708"/>
    <cellStyle name="PSDate 4 2" xfId="9709"/>
    <cellStyle name="PSDate 5" xfId="9710"/>
    <cellStyle name="PSDate 5 2" xfId="9711"/>
    <cellStyle name="PSDate 6" xfId="9712"/>
    <cellStyle name="PSDate 6 2" xfId="9713"/>
    <cellStyle name="PSDate 7" xfId="9714"/>
    <cellStyle name="PSDate 7 2" xfId="9715"/>
    <cellStyle name="PSDate 8" xfId="9716"/>
    <cellStyle name="PSDate 8 2" xfId="9717"/>
    <cellStyle name="PSDate 9" xfId="9718"/>
    <cellStyle name="PSDate 9 2" xfId="9719"/>
    <cellStyle name="PSDate 9 2 2" xfId="9720"/>
    <cellStyle name="PSDate 9 3" xfId="9721"/>
    <cellStyle name="PSDec 10" xfId="9722"/>
    <cellStyle name="PSDec 10 2" xfId="9723"/>
    <cellStyle name="PSDec 11" xfId="9724"/>
    <cellStyle name="PSDec 11 2" xfId="9725"/>
    <cellStyle name="PSDec 12" xfId="9726"/>
    <cellStyle name="PSDec 12 2" xfId="9727"/>
    <cellStyle name="PSDec 13" xfId="9728"/>
    <cellStyle name="PSDec 14" xfId="9729"/>
    <cellStyle name="PSDec 14 2" xfId="9730"/>
    <cellStyle name="PSDec 15" xfId="9731"/>
    <cellStyle name="PSDec 16" xfId="9732"/>
    <cellStyle name="PSDec 16 2" xfId="9733"/>
    <cellStyle name="PSDec 2" xfId="9734"/>
    <cellStyle name="PSDec 2 2" xfId="9735"/>
    <cellStyle name="PSDec 3" xfId="9736"/>
    <cellStyle name="PSDec 3 2" xfId="9737"/>
    <cellStyle name="PSDec 4" xfId="9738"/>
    <cellStyle name="PSDec 4 2" xfId="9739"/>
    <cellStyle name="PSDec 5" xfId="9740"/>
    <cellStyle name="PSDec 5 2" xfId="9741"/>
    <cellStyle name="PSDec 6" xfId="9742"/>
    <cellStyle name="PSDec 6 2" xfId="9743"/>
    <cellStyle name="PSDec 7" xfId="9744"/>
    <cellStyle name="PSDec 7 2" xfId="9745"/>
    <cellStyle name="PSDec 8" xfId="9746"/>
    <cellStyle name="PSDec 8 2" xfId="9747"/>
    <cellStyle name="PSDec 9" xfId="9748"/>
    <cellStyle name="PSDec 9 2" xfId="9749"/>
    <cellStyle name="PSDec 9 2 2" xfId="9750"/>
    <cellStyle name="PSDec 9 3" xfId="9751"/>
    <cellStyle name="PSHeading 10" xfId="9752"/>
    <cellStyle name="PSHeading 10 2" xfId="9753"/>
    <cellStyle name="PSHeading 11" xfId="9754"/>
    <cellStyle name="PSHeading 11 2" xfId="9755"/>
    <cellStyle name="PSHeading 11 2 2" xfId="9756"/>
    <cellStyle name="PSHeading 11 3" xfId="9757"/>
    <cellStyle name="PSHeading 12" xfId="9758"/>
    <cellStyle name="PSHeading 12 2" xfId="9759"/>
    <cellStyle name="PSHeading 13" xfId="9760"/>
    <cellStyle name="PSHeading 13 2" xfId="9761"/>
    <cellStyle name="PSHeading 14" xfId="9762"/>
    <cellStyle name="PSHeading 14 2" xfId="9763"/>
    <cellStyle name="PSHeading 15" xfId="9764"/>
    <cellStyle name="PSHeading 16" xfId="9765"/>
    <cellStyle name="PSHeading 16 2" xfId="9766"/>
    <cellStyle name="PSHeading 17" xfId="9767"/>
    <cellStyle name="PSHeading 18" xfId="9768"/>
    <cellStyle name="PSHeading 19" xfId="9769"/>
    <cellStyle name="PSHeading 19 2" xfId="9770"/>
    <cellStyle name="PSHeading 19 3" xfId="9771"/>
    <cellStyle name="PSHeading 2" xfId="9772"/>
    <cellStyle name="PSHeading 2 2" xfId="9773"/>
    <cellStyle name="PSHeading 20" xfId="9774"/>
    <cellStyle name="PSHeading 20 2" xfId="9775"/>
    <cellStyle name="PSHeading 3" xfId="9776"/>
    <cellStyle name="PSHeading 3 2" xfId="9777"/>
    <cellStyle name="PSHeading 4" xfId="9778"/>
    <cellStyle name="PSHeading 4 2" xfId="9779"/>
    <cellStyle name="PSHeading 5" xfId="9780"/>
    <cellStyle name="PSHeading 5 2" xfId="9781"/>
    <cellStyle name="PSHeading 6" xfId="9782"/>
    <cellStyle name="PSHeading 6 2" xfId="9783"/>
    <cellStyle name="PSHeading 7" xfId="9784"/>
    <cellStyle name="PSHeading 7 2" xfId="9785"/>
    <cellStyle name="PSHeading 8" xfId="9786"/>
    <cellStyle name="PSHeading 8 2" xfId="9787"/>
    <cellStyle name="PSHeading 9" xfId="9788"/>
    <cellStyle name="PSHeading_July prelim tb" xfId="9789"/>
    <cellStyle name="PSInt 10" xfId="9790"/>
    <cellStyle name="PSInt 10 2" xfId="9791"/>
    <cellStyle name="PSInt 11" xfId="9792"/>
    <cellStyle name="PSInt 11 2" xfId="9793"/>
    <cellStyle name="PSInt 12" xfId="9794"/>
    <cellStyle name="PSInt 12 2" xfId="9795"/>
    <cellStyle name="PSInt 13" xfId="9796"/>
    <cellStyle name="PSInt 14" xfId="9797"/>
    <cellStyle name="PSInt 14 2" xfId="9798"/>
    <cellStyle name="PSInt 15" xfId="9799"/>
    <cellStyle name="PSInt 16" xfId="9800"/>
    <cellStyle name="PSInt 16 2" xfId="9801"/>
    <cellStyle name="PSInt 2" xfId="9802"/>
    <cellStyle name="PSInt 2 2" xfId="9803"/>
    <cellStyle name="PSInt 3" xfId="9804"/>
    <cellStyle name="PSInt 3 2" xfId="9805"/>
    <cellStyle name="PSInt 4" xfId="9806"/>
    <cellStyle name="PSInt 4 2" xfId="9807"/>
    <cellStyle name="PSInt 5" xfId="9808"/>
    <cellStyle name="PSInt 5 2" xfId="9809"/>
    <cellStyle name="PSInt 6" xfId="9810"/>
    <cellStyle name="PSInt 6 2" xfId="9811"/>
    <cellStyle name="PSInt 7" xfId="9812"/>
    <cellStyle name="PSInt 7 2" xfId="9813"/>
    <cellStyle name="PSInt 8" xfId="9814"/>
    <cellStyle name="PSInt 8 2" xfId="9815"/>
    <cellStyle name="PSInt 9" xfId="9816"/>
    <cellStyle name="PSInt 9 2" xfId="9817"/>
    <cellStyle name="PSInt 9 2 2" xfId="9818"/>
    <cellStyle name="PSInt 9 3" xfId="9819"/>
    <cellStyle name="PSSpacer 10" xfId="9820"/>
    <cellStyle name="PSSpacer 10 2" xfId="9821"/>
    <cellStyle name="PSSpacer 11" xfId="9822"/>
    <cellStyle name="PSSpacer 11 2" xfId="9823"/>
    <cellStyle name="PSSpacer 12" xfId="9824"/>
    <cellStyle name="PSSpacer 13" xfId="9825"/>
    <cellStyle name="PSSpacer 13 2" xfId="9826"/>
    <cellStyle name="PSSpacer 14" xfId="9827"/>
    <cellStyle name="PSSpacer 15" xfId="9828"/>
    <cellStyle name="PSSpacer 15 2" xfId="9829"/>
    <cellStyle name="PSSpacer 2" xfId="9830"/>
    <cellStyle name="PSSpacer 2 2" xfId="9831"/>
    <cellStyle name="PSSpacer 3" xfId="9832"/>
    <cellStyle name="PSSpacer 3 2" xfId="9833"/>
    <cellStyle name="PSSpacer 4" xfId="9834"/>
    <cellStyle name="PSSpacer 4 2" xfId="9835"/>
    <cellStyle name="PSSpacer 5" xfId="9836"/>
    <cellStyle name="PSSpacer 5 2" xfId="9837"/>
    <cellStyle name="PSSpacer 6" xfId="9838"/>
    <cellStyle name="PSSpacer 6 2" xfId="9839"/>
    <cellStyle name="PSSpacer 7" xfId="9840"/>
    <cellStyle name="PSSpacer 7 2" xfId="9841"/>
    <cellStyle name="PSSpacer 8" xfId="9842"/>
    <cellStyle name="PSSpacer 8 2" xfId="9843"/>
    <cellStyle name="PSSpacer 8 2 2" xfId="9844"/>
    <cellStyle name="PSSpacer 8 3" xfId="9845"/>
    <cellStyle name="PSSpacer 9" xfId="9846"/>
    <cellStyle name="PSSpacer 9 2" xfId="9847"/>
    <cellStyle name="Title 3" xfId="9848"/>
    <cellStyle name="Title 4" xfId="9849"/>
    <cellStyle name="Title 5" xfId="9850"/>
    <cellStyle name="Title 6" xfId="9851"/>
    <cellStyle name="Title 7" xfId="9852"/>
    <cellStyle name="Title 8" xfId="9853"/>
    <cellStyle name="Total 2 5" xfId="9854"/>
    <cellStyle name="Total 2 2 2" xfId="9855"/>
    <cellStyle name="Total 3" xfId="9856"/>
    <cellStyle name="Total 4" xfId="9857"/>
    <cellStyle name="Total 5" xfId="9858"/>
    <cellStyle name="Total 6" xfId="9859"/>
    <cellStyle name="Total 7" xfId="9860"/>
    <cellStyle name="Total 8" xfId="9861"/>
    <cellStyle name="Warning Text 2 2 2" xfId="9862"/>
    <cellStyle name="Warning Text 3" xfId="9863"/>
    <cellStyle name="Warning Text 4" xfId="9864"/>
    <cellStyle name="Warning Text 5" xfId="9865"/>
    <cellStyle name="Warning Text 6" xfId="9866"/>
    <cellStyle name="Warning Text 7" xfId="9867"/>
    <cellStyle name="Warning Text 8" xfId="9868"/>
    <cellStyle name="Warning Text 9" xfId="9869"/>
    <cellStyle name="Normal 35 2" xfId="9870"/>
    <cellStyle name="Heading 5" xfId="9871"/>
    <cellStyle name="Heading1 2" xfId="9872"/>
    <cellStyle name="Normal 10 11" xfId="9873"/>
    <cellStyle name="Normal 6 12" xfId="9874"/>
    <cellStyle name="Normal 6 2 10" xfId="9875"/>
    <cellStyle name="Normal 6 2 2 9" xfId="9876"/>
    <cellStyle name="Normal 6 2 2 2 8" xfId="9877"/>
    <cellStyle name="Normal 6 2 3 8" xfId="9878"/>
    <cellStyle name="Normal 6 3 9" xfId="9879"/>
    <cellStyle name="Normal 6 3 2 8" xfId="9880"/>
    <cellStyle name="Normal 6 4 8" xfId="9881"/>
    <cellStyle name="Normal 8 17" xfId="9882"/>
    <cellStyle name="Normal 8 2 11" xfId="9883"/>
    <cellStyle name="Normal 9 12" xfId="9884"/>
    <cellStyle name="Normal 9 2 8" xfId="9885"/>
    <cellStyle name="PSHeading 21" xfId="9886"/>
    <cellStyle name="scenario 2" xfId="9887"/>
    <cellStyle name="Normal 10 2 5" xfId="9888"/>
    <cellStyle name="Normal 6 5 5" xfId="9889"/>
    <cellStyle name="Normal 6 2 4 5" xfId="9890"/>
    <cellStyle name="Normal 6 2 2 3 5" xfId="9891"/>
    <cellStyle name="Normal 6 2 2 2 2 5" xfId="9892"/>
    <cellStyle name="Normal 6 2 3 2 5" xfId="9893"/>
    <cellStyle name="Normal 6 3 3 5" xfId="9894"/>
    <cellStyle name="Normal 6 3 2 2 5" xfId="9895"/>
    <cellStyle name="Normal 6 4 2 5" xfId="9896"/>
    <cellStyle name="Normal 8 3 10" xfId="9897"/>
    <cellStyle name="Normal 8 2 2 6" xfId="9898"/>
    <cellStyle name="Normal 9 3 5" xfId="9899"/>
    <cellStyle name="Normal 9 2 2 5" xfId="9900"/>
    <cellStyle name="Normal 10 3 5" xfId="9901"/>
    <cellStyle name="Normal 6 6 5" xfId="9902"/>
    <cellStyle name="Normal 6 2 5 5" xfId="9903"/>
    <cellStyle name="Normal 6 2 2 4 5" xfId="9904"/>
    <cellStyle name="Normal 6 2 2 2 3 5" xfId="9905"/>
    <cellStyle name="Normal 6 2 3 3 5" xfId="9906"/>
    <cellStyle name="Normal 6 3 4 5" xfId="9907"/>
    <cellStyle name="Normal 6 3 2 3 5" xfId="9908"/>
    <cellStyle name="Normal 6 4 3 5" xfId="9909"/>
    <cellStyle name="Normal 8 4 10" xfId="9910"/>
    <cellStyle name="Normal 8 2 3 6" xfId="9911"/>
    <cellStyle name="Normal 9 4 5" xfId="9912"/>
    <cellStyle name="Normal 9 2 3 5" xfId="9913"/>
    <cellStyle name="Comma 4 3 8" xfId="9914"/>
    <cellStyle name="Comma 3 2 2 8" xfId="9915"/>
    <cellStyle name="Comma 3 2 2 2 5" xfId="9916"/>
    <cellStyle name="Comma 4 3 2 5" xfId="9917"/>
    <cellStyle name="Normal 10 4 5" xfId="9918"/>
    <cellStyle name="Normal 11 2 5" xfId="9919"/>
    <cellStyle name="Normal 2 2 3 5" xfId="9920"/>
    <cellStyle name="Normal 9 5 5" xfId="9921"/>
    <cellStyle name="Comma 3 2 2 3 5" xfId="9922"/>
    <cellStyle name="Comma 4 3 3 5" xfId="9923"/>
    <cellStyle name="Normal 10 5 5" xfId="9924"/>
    <cellStyle name="Normal 11 3 5" xfId="9925"/>
    <cellStyle name="Normal 2 2 4 5" xfId="9926"/>
    <cellStyle name="Normal 9 6 5" xfId="9927"/>
    <cellStyle name="Normal 10 6 5" xfId="9928"/>
    <cellStyle name="Normal 6 8 5" xfId="9929"/>
    <cellStyle name="Normal 6 2 6 5" xfId="9930"/>
    <cellStyle name="Normal 6 2 2 5 5" xfId="9931"/>
    <cellStyle name="Normal 6 2 2 2 4 5" xfId="9932"/>
    <cellStyle name="Normal 6 2 3 4 5" xfId="9933"/>
    <cellStyle name="Normal 6 3 5 5" xfId="9934"/>
    <cellStyle name="Normal 6 3 2 4 5" xfId="9935"/>
    <cellStyle name="Normal 6 4 4 5" xfId="9936"/>
    <cellStyle name="Normal 8 13 5" xfId="9937"/>
    <cellStyle name="Normal 8 2 7 5" xfId="9938"/>
    <cellStyle name="Normal 9 7 5" xfId="9939"/>
    <cellStyle name="Normal 9 2 4 5" xfId="9940"/>
    <cellStyle name="Comma 3 2 2 4 5" xfId="9941"/>
    <cellStyle name="Comma 4 3 4 5" xfId="9942"/>
    <cellStyle name="Normal 10 7 5" xfId="9943"/>
    <cellStyle name="Normal 11 4 5" xfId="9944"/>
    <cellStyle name="Normal 2 2 5 5" xfId="9945"/>
    <cellStyle name="Normal 9 8 5" xfId="9946"/>
    <cellStyle name="Normal 10 8 3" xfId="9947"/>
    <cellStyle name="Normal 6 9 3" xfId="9948"/>
    <cellStyle name="Normal 6 2 7 3" xfId="9949"/>
    <cellStyle name="Normal 6 2 2 6 3" xfId="9950"/>
    <cellStyle name="Normal 6 2 2 2 5 3" xfId="9951"/>
    <cellStyle name="Normal 6 2 3 5 3" xfId="9952"/>
    <cellStyle name="Normal 6 3 6 3" xfId="9953"/>
    <cellStyle name="Normal 6 3 2 5 3" xfId="9954"/>
    <cellStyle name="Normal 6 4 5 3" xfId="9955"/>
    <cellStyle name="Normal 8 14 3" xfId="9956"/>
    <cellStyle name="Normal 8 2 8 3" xfId="9957"/>
    <cellStyle name="Normal 9 9 3" xfId="9958"/>
    <cellStyle name="Normal 9 2 5 3" xfId="9959"/>
    <cellStyle name="Normal 10 2 2 3" xfId="9960"/>
    <cellStyle name="Normal 6 5 2 3" xfId="9961"/>
    <cellStyle name="Normal 6 2 4 2 3" xfId="9962"/>
    <cellStyle name="Normal 6 2 2 3 2 3" xfId="9963"/>
    <cellStyle name="Normal 6 2 2 2 2 2 3" xfId="9964"/>
    <cellStyle name="Normal 6 2 3 2 2 3" xfId="9965"/>
    <cellStyle name="Normal 6 3 3 2 3" xfId="9966"/>
    <cellStyle name="Normal 6 3 2 2 2 3" xfId="9967"/>
    <cellStyle name="Normal 6 4 2 2 3" xfId="9968"/>
    <cellStyle name="Normal 8 3 7 3" xfId="9969"/>
    <cellStyle name="Normal 8 2 2 3 3" xfId="9970"/>
    <cellStyle name="Normal 9 3 2 3" xfId="9971"/>
    <cellStyle name="Normal 9 2 2 2 3" xfId="9972"/>
    <cellStyle name="Normal 10 3 2 3" xfId="9973"/>
    <cellStyle name="Normal 6 6 2 3" xfId="9974"/>
    <cellStyle name="Normal 6 2 5 2 3" xfId="9975"/>
    <cellStyle name="Normal 6 2 2 4 2 3" xfId="9976"/>
    <cellStyle name="Normal 6 2 2 2 3 2 3" xfId="9977"/>
    <cellStyle name="Normal 6 2 3 3 2 3" xfId="9978"/>
    <cellStyle name="Normal 6 3 4 2 3" xfId="9979"/>
    <cellStyle name="Normal 6 3 2 3 2 3" xfId="9980"/>
    <cellStyle name="Normal 6 4 3 2 3" xfId="9981"/>
    <cellStyle name="Normal 8 4 7 3" xfId="9982"/>
    <cellStyle name="Normal 8 2 3 3 3" xfId="9983"/>
    <cellStyle name="Normal 9 4 2 3" xfId="9984"/>
    <cellStyle name="Normal 9 2 3 2 3" xfId="9985"/>
    <cellStyle name="Comma 4 3 5 3" xfId="9986"/>
    <cellStyle name="Comma 3 2 2 5 3" xfId="9987"/>
    <cellStyle name="Comma 3 2 2 2 2 3" xfId="9988"/>
    <cellStyle name="Comma 4 3 2 2 3" xfId="9989"/>
    <cellStyle name="Normal 10 4 2 3" xfId="9990"/>
    <cellStyle name="Normal 11 2 2 3" xfId="9991"/>
    <cellStyle name="Normal 2 2 3 2 3" xfId="9992"/>
    <cellStyle name="Normal 9 5 2 3" xfId="9993"/>
    <cellStyle name="Comma 3 2 2 3 2 3" xfId="9994"/>
    <cellStyle name="Comma 4 3 3 2 3" xfId="9995"/>
    <cellStyle name="Normal 10 5 2 3" xfId="9996"/>
    <cellStyle name="Normal 11 3 2 3" xfId="9997"/>
    <cellStyle name="Normal 2 2 4 2 3" xfId="9998"/>
    <cellStyle name="Normal 9 6 2 3" xfId="9999"/>
    <cellStyle name="Normal 10 6 2 3" xfId="10000"/>
    <cellStyle name="Normal 6 8 2 3" xfId="10001"/>
    <cellStyle name="Normal 6 2 6 2 3" xfId="10002"/>
    <cellStyle name="Normal 6 2 2 5 2 3" xfId="10003"/>
    <cellStyle name="Normal 6 2 2 2 4 2 3" xfId="10004"/>
    <cellStyle name="Normal 6 2 3 4 2 3" xfId="10005"/>
    <cellStyle name="Normal 6 3 5 2 3" xfId="10006"/>
    <cellStyle name="Normal 6 3 2 4 2 3" xfId="10007"/>
    <cellStyle name="Normal 6 4 4 2 3" xfId="10008"/>
    <cellStyle name="Normal 8 13 2 3" xfId="10009"/>
    <cellStyle name="Normal 8 2 7 2 3" xfId="10010"/>
    <cellStyle name="Normal 9 7 2 3" xfId="10011"/>
    <cellStyle name="Normal 9 2 4 2 3" xfId="10012"/>
    <cellStyle name="Comma 3 2 2 4 2 3" xfId="10013"/>
    <cellStyle name="Comma 4 3 4 2 3" xfId="10014"/>
    <cellStyle name="Normal 10 7 2 3" xfId="10015"/>
    <cellStyle name="Normal 11 4 2 3" xfId="10016"/>
    <cellStyle name="Normal 2 2 5 2 3" xfId="10017"/>
    <cellStyle name="Normal 9 8 2 3" xfId="10018"/>
    <cellStyle name="Normal 10 9 3" xfId="10019"/>
    <cellStyle name="Normal 6 10 3" xfId="10020"/>
    <cellStyle name="Normal 6 2 8 3" xfId="10021"/>
    <cellStyle name="Normal 6 2 2 7 3" xfId="10022"/>
    <cellStyle name="Normal 6 2 2 2 6 3" xfId="10023"/>
    <cellStyle name="Normal 6 2 3 6 3" xfId="10024"/>
    <cellStyle name="Normal 6 3 7 3" xfId="10025"/>
    <cellStyle name="Normal 6 3 2 6 3" xfId="10026"/>
    <cellStyle name="Normal 6 4 6 3" xfId="10027"/>
    <cellStyle name="Normal 8 15 3" xfId="10028"/>
    <cellStyle name="Normal 8 2 9 3" xfId="10029"/>
    <cellStyle name="Normal 9 10 3" xfId="10030"/>
    <cellStyle name="Normal 9 2 6 3" xfId="10031"/>
    <cellStyle name="Normal 10 2 3 3" xfId="10032"/>
    <cellStyle name="Normal 6 5 3 3" xfId="10033"/>
    <cellStyle name="Normal 6 2 4 3 3" xfId="10034"/>
    <cellStyle name="Normal 6 2 2 3 3 3" xfId="10035"/>
    <cellStyle name="Normal 6 2 2 2 2 3 3" xfId="10036"/>
    <cellStyle name="Normal 6 2 3 2 3 3" xfId="10037"/>
    <cellStyle name="Normal 6 3 3 3 3" xfId="10038"/>
    <cellStyle name="Normal 6 3 2 2 3 3" xfId="10039"/>
    <cellStyle name="Normal 6 4 2 3 3" xfId="10040"/>
    <cellStyle name="Normal 8 3 8 3" xfId="10041"/>
    <cellStyle name="Normal 8 2 2 4 3" xfId="10042"/>
    <cellStyle name="Normal 9 3 3 3" xfId="10043"/>
    <cellStyle name="Normal 9 2 2 3 3" xfId="10044"/>
    <cellStyle name="Normal 10 3 3 3" xfId="10045"/>
    <cellStyle name="Normal 6 6 3 3" xfId="10046"/>
    <cellStyle name="Normal 6 2 5 3 3" xfId="10047"/>
    <cellStyle name="Normal 6 2 2 4 3 3" xfId="10048"/>
    <cellStyle name="Normal 6 2 2 2 3 3 3" xfId="10049"/>
    <cellStyle name="Normal 6 2 3 3 3 3" xfId="10050"/>
    <cellStyle name="Normal 6 3 4 3 3" xfId="10051"/>
    <cellStyle name="Normal 6 3 2 3 3 3" xfId="10052"/>
    <cellStyle name="Normal 6 4 3 3 3" xfId="10053"/>
    <cellStyle name="Normal 8 4 8 3" xfId="10054"/>
    <cellStyle name="Normal 8 2 3 4 3" xfId="10055"/>
    <cellStyle name="Normal 9 4 3 3" xfId="10056"/>
    <cellStyle name="Normal 9 2 3 3 3" xfId="10057"/>
    <cellStyle name="Comma 4 3 6 3" xfId="10058"/>
    <cellStyle name="Comma 3 2 2 6 3" xfId="10059"/>
    <cellStyle name="Comma 3 2 2 2 3 3" xfId="10060"/>
    <cellStyle name="Comma 4 3 2 3 3" xfId="10061"/>
    <cellStyle name="Normal 10 4 3 3" xfId="10062"/>
    <cellStyle name="Normal 11 2 3 3" xfId="10063"/>
    <cellStyle name="Normal 2 2 3 3 3" xfId="10064"/>
    <cellStyle name="Normal 9 5 3 3" xfId="10065"/>
    <cellStyle name="Comma 3 2 2 3 3 3" xfId="10066"/>
    <cellStyle name="Comma 4 3 3 3 3" xfId="10067"/>
    <cellStyle name="Normal 10 5 3 3" xfId="10068"/>
    <cellStyle name="Normal 11 3 3 3" xfId="10069"/>
    <cellStyle name="Normal 2 2 4 3 3" xfId="10070"/>
    <cellStyle name="Normal 9 6 3 3" xfId="10071"/>
    <cellStyle name="Normal 10 6 3 3" xfId="10072"/>
    <cellStyle name="Normal 6 8 3 3" xfId="10073"/>
    <cellStyle name="Normal 6 2 6 3 3" xfId="10074"/>
    <cellStyle name="Normal 6 2 2 5 3 3" xfId="10075"/>
    <cellStyle name="Normal 6 2 2 2 4 3 3" xfId="10076"/>
    <cellStyle name="Normal 6 2 3 4 3 3" xfId="10077"/>
    <cellStyle name="Normal 6 3 5 3 3" xfId="10078"/>
    <cellStyle name="Normal 6 3 2 4 3 3" xfId="10079"/>
    <cellStyle name="Normal 6 4 4 3 3" xfId="10080"/>
    <cellStyle name="Normal 8 13 3 3" xfId="10081"/>
    <cellStyle name="Normal 8 2 7 3 3" xfId="10082"/>
    <cellStyle name="Normal 9 7 3 3" xfId="10083"/>
    <cellStyle name="Normal 9 2 4 3 3" xfId="10084"/>
    <cellStyle name="Comma 3 2 2 4 3 3" xfId="10085"/>
    <cellStyle name="Comma 4 3 4 3 3" xfId="10086"/>
    <cellStyle name="Normal 10 7 3 3" xfId="10087"/>
    <cellStyle name="Normal 11 4 3 3" xfId="10088"/>
    <cellStyle name="Normal 2 2 5 3 3" xfId="10089"/>
    <cellStyle name="Normal 9 8 3 3" xfId="10090"/>
    <cellStyle name="Normal 10 10 2" xfId="10091"/>
    <cellStyle name="Normal 6 11 2" xfId="10092"/>
    <cellStyle name="Normal 6 2 9 2" xfId="10093"/>
    <cellStyle name="Normal 6 2 2 8 2" xfId="10094"/>
    <cellStyle name="Normal 6 2 2 2 7 2" xfId="10095"/>
    <cellStyle name="Normal 6 2 3 7 2" xfId="10096"/>
    <cellStyle name="Normal 6 3 8 2" xfId="10097"/>
    <cellStyle name="Normal 6 3 2 7 2" xfId="10098"/>
    <cellStyle name="Normal 6 4 7 2" xfId="10099"/>
    <cellStyle name="Normal 8 16 2" xfId="10100"/>
    <cellStyle name="Normal 8 2 10 2" xfId="10101"/>
    <cellStyle name="Normal 9 11 2" xfId="10102"/>
    <cellStyle name="Normal 9 2 7 2" xfId="10103"/>
    <cellStyle name="Normal 10 2 4 2" xfId="10104"/>
    <cellStyle name="Normal 6 5 4 2" xfId="10105"/>
    <cellStyle name="Normal 6 2 4 4 2" xfId="10106"/>
    <cellStyle name="Normal 6 2 2 3 4 2" xfId="10107"/>
    <cellStyle name="Normal 6 2 2 2 2 4 2" xfId="10108"/>
    <cellStyle name="Normal 6 2 3 2 4 2" xfId="10109"/>
    <cellStyle name="Normal 6 3 3 4 2" xfId="10110"/>
    <cellStyle name="Normal 6 3 2 2 4 2" xfId="10111"/>
    <cellStyle name="Normal 6 4 2 4 2" xfId="10112"/>
    <cellStyle name="Normal 8 3 9 2" xfId="10113"/>
    <cellStyle name="Normal 8 2 2 5 2" xfId="10114"/>
    <cellStyle name="Normal 9 3 4 2" xfId="10115"/>
    <cellStyle name="Normal 9 2 2 4 2" xfId="10116"/>
    <cellStyle name="Normal 10 3 4 2" xfId="10117"/>
    <cellStyle name="Normal 6 6 4 2" xfId="10118"/>
    <cellStyle name="Normal 6 2 5 4 2" xfId="10119"/>
    <cellStyle name="Normal 6 2 2 4 4 2" xfId="10120"/>
    <cellStyle name="Normal 6 2 2 2 3 4 2" xfId="10121"/>
    <cellStyle name="Normal 6 2 3 3 4 2" xfId="10122"/>
    <cellStyle name="Normal 6 3 4 4 2" xfId="10123"/>
    <cellStyle name="Normal 6 3 2 3 4 2" xfId="10124"/>
    <cellStyle name="Normal 6 4 3 4 2" xfId="10125"/>
    <cellStyle name="Normal 8 4 9 2" xfId="10126"/>
    <cellStyle name="Normal 8 2 3 5 2" xfId="10127"/>
    <cellStyle name="Normal 9 4 4 2" xfId="10128"/>
    <cellStyle name="Normal 9 2 3 4 2" xfId="10129"/>
    <cellStyle name="Comma 4 3 7 2" xfId="10130"/>
    <cellStyle name="Comma 3 2 2 7 2" xfId="10131"/>
    <cellStyle name="Comma 3 2 2 2 4 2" xfId="10132"/>
    <cellStyle name="Comma 4 3 2 4 2" xfId="10133"/>
    <cellStyle name="Normal 10 4 4 2" xfId="10134"/>
    <cellStyle name="Normal 11 2 4 2" xfId="10135"/>
    <cellStyle name="Normal 2 2 3 4 2" xfId="10136"/>
    <cellStyle name="Normal 9 5 4 2" xfId="10137"/>
    <cellStyle name="Comma 3 2 2 3 4 2" xfId="10138"/>
    <cellStyle name="Comma 4 3 3 4 2" xfId="10139"/>
    <cellStyle name="Normal 10 5 4 2" xfId="10140"/>
    <cellStyle name="Normal 11 3 4 2" xfId="10141"/>
    <cellStyle name="Normal 2 2 4 4 2" xfId="10142"/>
    <cellStyle name="Normal 9 6 4 2" xfId="10143"/>
    <cellStyle name="Normal 10 6 4 2" xfId="10144"/>
    <cellStyle name="Normal 6 8 4 2" xfId="10145"/>
    <cellStyle name="Normal 6 2 6 4 2" xfId="10146"/>
    <cellStyle name="Normal 6 2 2 5 4 2" xfId="10147"/>
    <cellStyle name="Normal 6 2 2 2 4 4 2" xfId="10148"/>
    <cellStyle name="Normal 6 2 3 4 4 2" xfId="10149"/>
    <cellStyle name="Normal 6 3 5 4 2" xfId="10150"/>
    <cellStyle name="Normal 6 3 2 4 4 2" xfId="10151"/>
    <cellStyle name="Normal 6 4 4 4 2" xfId="10152"/>
    <cellStyle name="Normal 8 13 4 2" xfId="10153"/>
    <cellStyle name="Normal 8 2 7 4 2" xfId="10154"/>
    <cellStyle name="Normal 9 7 4 2" xfId="10155"/>
    <cellStyle name="Normal 9 2 4 4 2" xfId="10156"/>
    <cellStyle name="Comma 3 2 2 4 4 2" xfId="10157"/>
    <cellStyle name="Comma 4 3 4 4 2" xfId="10158"/>
    <cellStyle name="Normal 10 7 4 2" xfId="10159"/>
    <cellStyle name="Normal 11 4 4 2" xfId="10160"/>
    <cellStyle name="Normal 2 2 5 4 2" xfId="10161"/>
    <cellStyle name="Normal 9 8 4 2" xfId="10162"/>
    <cellStyle name="Normal 10 8 2 2" xfId="10163"/>
    <cellStyle name="Normal 6 9 2 2" xfId="10164"/>
    <cellStyle name="Normal 6 2 7 2 2" xfId="10165"/>
    <cellStyle name="Normal 6 2 2 6 2 2" xfId="10166"/>
    <cellStyle name="Normal 6 2 2 2 5 2 2" xfId="10167"/>
    <cellStyle name="Normal 6 2 3 5 2 2" xfId="10168"/>
    <cellStyle name="Normal 6 3 6 2 2" xfId="10169"/>
    <cellStyle name="Normal 6 3 2 5 2 2" xfId="10170"/>
    <cellStyle name="Normal 6 4 5 2 2" xfId="10171"/>
    <cellStyle name="Normal 8 14 2 2" xfId="10172"/>
    <cellStyle name="Normal 8 2 8 2 2" xfId="10173"/>
    <cellStyle name="Normal 9 9 2 2" xfId="10174"/>
    <cellStyle name="Normal 9 2 5 2 2" xfId="10175"/>
    <cellStyle name="Normal 10 2 2 2 2" xfId="10176"/>
    <cellStyle name="Normal 6 5 2 2 2" xfId="10177"/>
    <cellStyle name="Normal 6 2 4 2 2 2" xfId="10178"/>
    <cellStyle name="Normal 6 2 2 3 2 2 2" xfId="10179"/>
    <cellStyle name="Normal 6 2 2 2 2 2 2 2" xfId="10180"/>
    <cellStyle name="Normal 6 2 3 2 2 2 2" xfId="10181"/>
    <cellStyle name="Normal 6 3 3 2 2 2" xfId="10182"/>
    <cellStyle name="Normal 6 3 2 2 2 2 2" xfId="10183"/>
    <cellStyle name="Normal 6 4 2 2 2 2" xfId="10184"/>
    <cellStyle name="Normal 8 3 7 2 2" xfId="10185"/>
    <cellStyle name="Normal 8 2 2 3 2 2" xfId="10186"/>
    <cellStyle name="Normal 9 3 2 2 2" xfId="10187"/>
    <cellStyle name="Normal 9 2 2 2 2 2" xfId="10188"/>
    <cellStyle name="Normal 10 3 2 2 2" xfId="10189"/>
    <cellStyle name="Normal 6 6 2 2 2" xfId="10190"/>
    <cellStyle name="Normal 6 2 5 2 2 2" xfId="10191"/>
    <cellStyle name="Normal 6 2 2 4 2 2 2" xfId="10192"/>
    <cellStyle name="Normal 6 2 2 2 3 2 2 2" xfId="10193"/>
    <cellStyle name="Normal 6 2 3 3 2 2 2" xfId="10194"/>
    <cellStyle name="Normal 6 3 4 2 2 2" xfId="10195"/>
    <cellStyle name="Normal 6 3 2 3 2 2 2" xfId="10196"/>
    <cellStyle name="Normal 6 4 3 2 2 2" xfId="10197"/>
    <cellStyle name="Normal 8 4 7 2 2" xfId="10198"/>
    <cellStyle name="Normal 8 2 3 3 2 2" xfId="10199"/>
    <cellStyle name="Normal 9 4 2 2 2" xfId="10200"/>
    <cellStyle name="Normal 9 2 3 2 2 2" xfId="10201"/>
    <cellStyle name="Comma 4 3 5 2 2" xfId="10202"/>
    <cellStyle name="Comma 3 2 2 5 2 2" xfId="10203"/>
    <cellStyle name="Comma 3 2 2 2 2 2 2" xfId="10204"/>
    <cellStyle name="Comma 4 3 2 2 2 2" xfId="10205"/>
    <cellStyle name="Normal 10 4 2 2 2" xfId="10206"/>
    <cellStyle name="Normal 11 2 2 2 2" xfId="10207"/>
    <cellStyle name="Normal 2 2 3 2 2 2" xfId="10208"/>
    <cellStyle name="Normal 9 5 2 2 2" xfId="10209"/>
    <cellStyle name="Comma 3 2 2 3 2 2 2" xfId="10210"/>
    <cellStyle name="Comma 4 3 3 2 2 2" xfId="10211"/>
    <cellStyle name="Normal 10 5 2 2 2" xfId="10212"/>
    <cellStyle name="Normal 11 3 2 2 2" xfId="10213"/>
    <cellStyle name="Normal 2 2 4 2 2 2" xfId="10214"/>
    <cellStyle name="Normal 9 6 2 2 2" xfId="10215"/>
    <cellStyle name="Normal 10 6 2 2 2" xfId="10216"/>
    <cellStyle name="Normal 6 8 2 2 2" xfId="10217"/>
    <cellStyle name="Normal 6 2 6 2 2 2" xfId="10218"/>
    <cellStyle name="Normal 6 2 2 5 2 2 2" xfId="10219"/>
    <cellStyle name="Normal 6 2 2 2 4 2 2 2" xfId="10220"/>
    <cellStyle name="Normal 6 2 3 4 2 2 2" xfId="10221"/>
    <cellStyle name="Normal 6 3 5 2 2 2" xfId="10222"/>
    <cellStyle name="Normal 6 3 2 4 2 2 2" xfId="10223"/>
    <cellStyle name="Normal 6 4 4 2 2 2" xfId="10224"/>
    <cellStyle name="Normal 8 13 2 2 2" xfId="10225"/>
    <cellStyle name="Normal 8 2 7 2 2 2" xfId="10226"/>
    <cellStyle name="Normal 9 7 2 2 2" xfId="10227"/>
    <cellStyle name="Normal 9 2 4 2 2 2" xfId="10228"/>
    <cellStyle name="Comma 3 2 2 4 2 2 2" xfId="10229"/>
    <cellStyle name="Comma 4 3 4 2 2 2" xfId="10230"/>
    <cellStyle name="Normal 10 7 2 2 2" xfId="10231"/>
    <cellStyle name="Normal 11 4 2 2 2" xfId="10232"/>
    <cellStyle name="Normal 2 2 5 2 2 2" xfId="10233"/>
    <cellStyle name="Normal 9 8 2 2 2" xfId="10234"/>
    <cellStyle name="Normal 10 9 2 2" xfId="10235"/>
    <cellStyle name="Normal 6 10 2 2" xfId="10236"/>
    <cellStyle name="Normal 6 2 8 2 2" xfId="10237"/>
    <cellStyle name="Normal 6 2 2 7 2 2" xfId="10238"/>
    <cellStyle name="Normal 6 2 2 2 6 2 2" xfId="10239"/>
    <cellStyle name="Normal 6 2 3 6 2 2" xfId="10240"/>
    <cellStyle name="Normal 6 3 7 2 2" xfId="10241"/>
    <cellStyle name="Normal 6 3 2 6 2 2" xfId="10242"/>
    <cellStyle name="Normal 6 4 6 2 2" xfId="10243"/>
    <cellStyle name="Normal 8 15 2 2" xfId="10244"/>
    <cellStyle name="Normal 8 2 9 2 2" xfId="10245"/>
    <cellStyle name="Normal 9 10 2 2" xfId="10246"/>
    <cellStyle name="Normal 9 2 6 2 2" xfId="10247"/>
    <cellStyle name="Normal 10 2 3 2 2" xfId="10248"/>
    <cellStyle name="Normal 6 5 3 2 2" xfId="10249"/>
    <cellStyle name="Normal 6 2 4 3 2 2" xfId="10250"/>
    <cellStyle name="Normal 6 2 2 3 3 2 2" xfId="10251"/>
    <cellStyle name="Normal 6 2 2 2 2 3 2 2" xfId="10252"/>
    <cellStyle name="Normal 6 2 3 2 3 2 2" xfId="10253"/>
    <cellStyle name="Normal 6 3 3 3 2 2" xfId="10254"/>
    <cellStyle name="Normal 6 3 2 2 3 2 2" xfId="10255"/>
    <cellStyle name="Normal 6 4 2 3 2 2" xfId="10256"/>
    <cellStyle name="Normal 8 3 8 2 2" xfId="10257"/>
    <cellStyle name="Normal 8 2 2 4 2 2" xfId="10258"/>
    <cellStyle name="Normal 9 3 3 2 2" xfId="10259"/>
    <cellStyle name="Normal 9 2 2 3 2 2" xfId="10260"/>
    <cellStyle name="Normal 10 3 3 2 2" xfId="10261"/>
    <cellStyle name="Normal 6 6 3 2 2" xfId="10262"/>
    <cellStyle name="Normal 6 2 5 3 2 2" xfId="10263"/>
    <cellStyle name="Normal 6 2 2 4 3 2 2" xfId="10264"/>
    <cellStyle name="Normal 6 2 2 2 3 3 2 2" xfId="10265"/>
    <cellStyle name="Normal 6 2 3 3 3 2 2" xfId="10266"/>
    <cellStyle name="Normal 6 3 4 3 2 2" xfId="10267"/>
    <cellStyle name="Normal 6 3 2 3 3 2 2" xfId="10268"/>
    <cellStyle name="Normal 6 4 3 3 2 2" xfId="10269"/>
    <cellStyle name="Normal 8 4 8 2 2" xfId="10270"/>
    <cellStyle name="Normal 8 2 3 4 2 2" xfId="10271"/>
    <cellStyle name="Normal 9 4 3 2 2" xfId="10272"/>
    <cellStyle name="Normal 9 2 3 3 2 2" xfId="10273"/>
    <cellStyle name="Comma 4 3 6 2 2" xfId="10274"/>
    <cellStyle name="Comma 3 2 2 6 2 2" xfId="10275"/>
    <cellStyle name="Comma 3 2 2 2 3 2 2" xfId="10276"/>
    <cellStyle name="Comma 4 3 2 3 2 2" xfId="10277"/>
    <cellStyle name="Normal 10 4 3 2 2" xfId="10278"/>
    <cellStyle name="Normal 11 2 3 2 2" xfId="10279"/>
    <cellStyle name="Normal 2 2 3 3 2 2" xfId="10280"/>
    <cellStyle name="Normal 9 5 3 2 2" xfId="10281"/>
    <cellStyle name="Comma 3 2 2 3 3 2 2" xfId="10282"/>
    <cellStyle name="Comma 4 3 3 3 2 2" xfId="10283"/>
    <cellStyle name="Normal 10 5 3 2 2" xfId="10284"/>
    <cellStyle name="Normal 11 3 3 2 2" xfId="10285"/>
    <cellStyle name="Normal 2 2 4 3 2 2" xfId="10286"/>
    <cellStyle name="Normal 9 6 3 2 2" xfId="10287"/>
    <cellStyle name="Normal 10 6 3 2 2" xfId="10288"/>
    <cellStyle name="Normal 6 8 3 2 2" xfId="10289"/>
    <cellStyle name="Normal 6 2 6 3 2 2" xfId="10290"/>
    <cellStyle name="Normal 6 2 2 5 3 2 2" xfId="10291"/>
    <cellStyle name="Normal 6 2 2 2 4 3 2 2" xfId="10292"/>
    <cellStyle name="Normal 6 2 3 4 3 2 2" xfId="10293"/>
    <cellStyle name="Normal 6 3 5 3 2 2" xfId="10294"/>
    <cellStyle name="Normal 6 3 2 4 3 2 2" xfId="10295"/>
    <cellStyle name="Normal 6 4 4 3 2 2" xfId="10296"/>
    <cellStyle name="Normal 8 13 3 2 2" xfId="10297"/>
    <cellStyle name="Normal 8 2 7 3 2 2" xfId="10298"/>
    <cellStyle name="Normal 9 7 3 2 2" xfId="10299"/>
    <cellStyle name="Normal 9 2 4 3 2 2" xfId="10300"/>
    <cellStyle name="Comma 3 2 2 4 3 2 2" xfId="10301"/>
    <cellStyle name="Comma 4 3 4 3 2 2" xfId="10302"/>
    <cellStyle name="Normal 10 7 3 2 2" xfId="10303"/>
    <cellStyle name="Normal 11 4 3 2 2" xfId="10304"/>
    <cellStyle name="Normal 2 2 5 3 2 2" xfId="10305"/>
    <cellStyle name="Normal 9 8 3 2 2" xfId="10306"/>
    <cellStyle name="Normal 12 4 2" xfId="10307"/>
    <cellStyle name="Comma 12 2 2" xfId="10308"/>
    <cellStyle name="Normal 2 11 8" xfId="10309"/>
    <cellStyle name="Date 4" xfId="10310"/>
    <cellStyle name="PSHeading 10 3" xfId="10311"/>
    <cellStyle name="PSHeading 10 2 2" xfId="10312"/>
    <cellStyle name="PSHeading 11 4" xfId="10313"/>
    <cellStyle name="PSHeading 11 2 3" xfId="10314"/>
    <cellStyle name="PSHeading 11 2 2 2" xfId="10315"/>
    <cellStyle name="PSHeading 11 3 2" xfId="10316"/>
    <cellStyle name="PSHeading 12 3" xfId="10317"/>
    <cellStyle name="PSHeading 12 2 2" xfId="10318"/>
    <cellStyle name="PSHeading 13 3" xfId="10319"/>
    <cellStyle name="PSHeading 13 2 2" xfId="10320"/>
    <cellStyle name="PSHeading 14 3" xfId="10321"/>
    <cellStyle name="PSHeading 14 2 2" xfId="10322"/>
    <cellStyle name="PSHeading 15 2" xfId="10323"/>
    <cellStyle name="PSHeading 16 3" xfId="10324"/>
    <cellStyle name="PSHeading 16 2 2" xfId="10325"/>
    <cellStyle name="PSHeading 17 2" xfId="10326"/>
    <cellStyle name="PSHeading 18 2" xfId="10327"/>
    <cellStyle name="PSHeading 19 4" xfId="10328"/>
    <cellStyle name="PSHeading 19 2 2" xfId="10329"/>
    <cellStyle name="PSHeading 19 3 2" xfId="10330"/>
    <cellStyle name="PSHeading 2 3" xfId="10331"/>
    <cellStyle name="PSHeading 2 2 2" xfId="10332"/>
    <cellStyle name="PSHeading 20 3" xfId="10333"/>
    <cellStyle name="PSHeading 20 2 2" xfId="10334"/>
    <cellStyle name="PSHeading 3 3" xfId="10335"/>
    <cellStyle name="PSHeading 3 2 2" xfId="10336"/>
    <cellStyle name="PSHeading 4 3" xfId="10337"/>
    <cellStyle name="PSHeading 4 2 2" xfId="10338"/>
    <cellStyle name="PSHeading 5 3" xfId="10339"/>
    <cellStyle name="PSHeading 5 2 2" xfId="10340"/>
    <cellStyle name="PSHeading 6 3" xfId="10341"/>
    <cellStyle name="PSHeading 6 2 2" xfId="10342"/>
    <cellStyle name="PSHeading 7 3" xfId="10343"/>
    <cellStyle name="PSHeading 7 2 2" xfId="10344"/>
    <cellStyle name="PSHeading 8 3" xfId="10345"/>
    <cellStyle name="PSHeading 8 2 2" xfId="10346"/>
    <cellStyle name="PSHeading 9 2" xfId="10347"/>
    <cellStyle name="Normal 54" xfId="10348"/>
    <cellStyle name="Comma 86" xfId="10349"/>
    <cellStyle name="Normal 55" xfId="10350"/>
    <cellStyle name="Comma 87" xfId="103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6" Type="http://schemas.openxmlformats.org/officeDocument/2006/relationships/worksheet" Target="worksheets/sheet5.xml" /><Relationship Id="rId48" Type="http://schemas.openxmlformats.org/officeDocument/2006/relationships/externalLink" Target="externalLinks/externalLink21.xml" /><Relationship Id="rId49" Type="http://schemas.openxmlformats.org/officeDocument/2006/relationships/externalLink" Target="externalLinks/externalLink22.xml" /><Relationship Id="rId55" Type="http://schemas.openxmlformats.org/officeDocument/2006/relationships/externalLink" Target="externalLinks/externalLink28.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externalLink" Target="externalLinks/externalLink10.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5" Type="http://schemas.openxmlformats.org/officeDocument/2006/relationships/worksheet" Target="worksheets/sheet4.xml" /><Relationship Id="rId38" Type="http://schemas.openxmlformats.org/officeDocument/2006/relationships/externalLink" Target="externalLinks/externalLink11.xml" /><Relationship Id="rId39" Type="http://schemas.openxmlformats.org/officeDocument/2006/relationships/externalLink" Target="externalLinks/externalLink12.xml" /><Relationship Id="rId9" Type="http://schemas.openxmlformats.org/officeDocument/2006/relationships/worksheet" Target="worksheets/sheet8.xml" /><Relationship Id="rId24" Type="http://schemas.openxmlformats.org/officeDocument/2006/relationships/customXml" Target="../customXml/item1.xml" /><Relationship Id="rId25" Type="http://schemas.openxmlformats.org/officeDocument/2006/relationships/customXml" Target="../customXml/item2.xml" /><Relationship Id="rId26" Type="http://schemas.openxmlformats.org/officeDocument/2006/relationships/customXml" Target="../customXml/item3.xml" /><Relationship Id="rId27" Type="http://schemas.openxmlformats.org/officeDocument/2006/relationships/customXml" Target="../customXml/item4.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4" Type="http://schemas.openxmlformats.org/officeDocument/2006/relationships/worksheet" Target="worksheets/sheet3.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8" Type="http://schemas.openxmlformats.org/officeDocument/2006/relationships/worksheet" Target="worksheets/sheet7.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3" Type="http://schemas.openxmlformats.org/officeDocument/2006/relationships/worksheet" Target="worksheets/sheet2.xml" /><Relationship Id="rId18" Type="http://schemas.openxmlformats.org/officeDocument/2006/relationships/worksheet" Target="worksheets/sheet17.xml" /><Relationship Id="rId19" Type="http://schemas.openxmlformats.org/officeDocument/2006/relationships/worksheet" Target="worksheets/sheet18.xml" /><Relationship Id="rId54" Type="http://schemas.openxmlformats.org/officeDocument/2006/relationships/externalLink" Target="externalLinks/externalLink27.xml" /><Relationship Id="rId1" Type="http://schemas.openxmlformats.org/officeDocument/2006/relationships/theme" Target="theme/theme1.xml" /><Relationship Id="rId56" Type="http://schemas.openxmlformats.org/officeDocument/2006/relationships/externalLink" Target="externalLinks/externalLink29.xml" /><Relationship Id="rId57" Type="http://schemas.openxmlformats.org/officeDocument/2006/relationships/externalLink" Target="externalLinks/externalLink30.xml" /><Relationship Id="rId50" Type="http://schemas.openxmlformats.org/officeDocument/2006/relationships/externalLink" Target="externalLinks/externalLink23.xml" /><Relationship Id="rId51" Type="http://schemas.openxmlformats.org/officeDocument/2006/relationships/externalLink" Target="externalLinks/externalLink24.xml" /><Relationship Id="rId2" Type="http://schemas.openxmlformats.org/officeDocument/2006/relationships/worksheet" Target="worksheets/sheet1.xml" /><Relationship Id="rId53" Type="http://schemas.openxmlformats.org/officeDocument/2006/relationships/externalLink" Target="externalLinks/externalLink26.xml" /><Relationship Id="rId7" Type="http://schemas.openxmlformats.org/officeDocument/2006/relationships/worksheet" Target="worksheets/sheet6.xml" /><Relationship Id="rId58" Type="http://schemas.openxmlformats.org/officeDocument/2006/relationships/calcChain" Target="calcChain.xml" /><Relationship Id="rId52" Type="http://schemas.openxmlformats.org/officeDocument/2006/relationships/externalLink" Target="externalLinks/externalLink25.xml" /><Relationship Id="rId44" Type="http://schemas.openxmlformats.org/officeDocument/2006/relationships/externalLink" Target="externalLinks/externalLink17.xml" /><Relationship Id="rId45" Type="http://schemas.openxmlformats.org/officeDocument/2006/relationships/externalLink" Target="externalLinks/externalLink18.xml" /><Relationship Id="rId46" Type="http://schemas.openxmlformats.org/officeDocument/2006/relationships/externalLink" Target="externalLinks/externalLink19.xml" /><Relationship Id="rId47" Type="http://schemas.openxmlformats.org/officeDocument/2006/relationships/externalLink" Target="externalLinks/externalLink20.xml" /><Relationship Id="rId40" Type="http://schemas.openxmlformats.org/officeDocument/2006/relationships/externalLink" Target="externalLinks/externalLink13.xml" /><Relationship Id="rId41" Type="http://schemas.openxmlformats.org/officeDocument/2006/relationships/externalLink" Target="externalLinks/externalLink14.xml" /><Relationship Id="rId42" Type="http://schemas.openxmlformats.org/officeDocument/2006/relationships/externalLink" Target="externalLinks/externalLink15.xml" /><Relationship Id="rId43" Type="http://schemas.openxmlformats.org/officeDocument/2006/relationships/externalLink" Target="externalLinks/externalLink16.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P%20Data/2007/SAFETY/ED_Sept200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jnwkfp06\PSE&amp;G\Utilities_SC\2010\Utility\LOB'sCurrentScoreCard\2010_GD_ScoreCard.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cmk8b/Local%20Settings/Temporary%20Internet%20Files/OLK1C/Economic_Metrics_Master.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tilities_SC/2010/Utility/LOB'sCurrentScoreCard/2010_ED_ScoreCard.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GreenEnergy_Metrics_Master.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cmk8b/Local%20Settings/Temporary%20Internet%20Files/OLK1C/GreenEnergy_Metrics_Master.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Utilities_SC/2009/Utility/LOB'sCurrentScoreCard/2009_COps_ScoreCard.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Utilities_SC/2009/Utility/LOB'sCurrentScoreCard/2009_ED_ScoreCard.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Utilities_SC/2009/Utility/LOB'sCurrentScoreCard/2009_Gas_ScoreCard.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Documents%20and%20Settings/cmk8b/Local%20Settings/Temporary%20Internet%20Files/OLK1C/People_Metrics_Mast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jnwkfp10\entdata10\2000%20Cost%20Plan\99BUDV4.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Utilities_SC/2009/Utility/LOB'sCurrentScoreCard/2009_RES_ScoreCard.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TEMP/Distrib%20Month%20Rpt%20Package.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Documents%20and%20Settings/spj3s/Local%20Settings/Temporary%20Internet%20Files/OLK8E9/People_Metrics_MasterSampl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Utilities_SC/2010/Utility/LOB'sCurrentScoreCard/2010_GD_ScoreCard.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Documents%20and%20Settings/cmk8b/Local%20Settings/Temporary%20Internet%20Files/OLK1C/SafeReliable_Metrics_Master.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Documents%20and%20Settings/spj3s/Local%20Settings/Temporary%20Internet%20Files/OLK8E9/2009_PSE&amp;G_BSC.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Documents%20and%20Settings/cmm6j/Local%20Settings/Temporary%20Internet%20Files/OLK282/2010_PSE&amp;G_BS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4/Account%20Recs/Dec%202014/UPS%20Dec%202014%20TC10%20.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tdsjs/Local%20Settings/Temporary%20Internet%20Files/OLK770/YE%20Forecast%20CWIP%20AFUDCSummary_April13%20FINAL%20SUBMIS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tilities_SC/2010/Utility/LOB'sCurrentScoreCard/2010_CO_ScoreCar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jnwkfp06\PSE&amp;G\Utilities_SC\2010\Utility\LOB'sCurrentScoreCard\2010_CO_ScoreCar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cmm6j/Local%20Settings/Temporary%20Internet%20Files/OLK282/SafeReliable_Metrics_Master%20(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jnwkfp06\PSE&amp;G\Utilities_SC\2010\Utility\LOB'sCurrentScoreCard\2010_ED_ScoreCar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4.64</v>
          </cell>
          <cell r="G9">
            <v>4.2</v>
          </cell>
          <cell r="H9">
            <v>6.05</v>
          </cell>
          <cell r="I9">
            <v>4.12</v>
          </cell>
          <cell r="J9">
            <v>7.54</v>
          </cell>
          <cell r="K9">
            <v>3.34</v>
          </cell>
          <cell r="M9" t="str">
            <v>Motor Vehicle Accident Rate</v>
          </cell>
          <cell r="N9" t="str">
            <v>L</v>
          </cell>
          <cell r="O9">
            <v>9.29</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0.968</v>
          </cell>
          <cell r="D11">
            <v>0.973</v>
          </cell>
          <cell r="E11" t="str">
            <v>ê</v>
          </cell>
          <cell r="F11">
            <v>0.971</v>
          </cell>
          <cell r="G11">
            <v>0.971</v>
          </cell>
          <cell r="H11">
            <v>0.965</v>
          </cell>
          <cell r="I11">
            <v>0.973</v>
          </cell>
          <cell r="J11">
            <v>0.978</v>
          </cell>
          <cell r="K11">
            <v>0.975</v>
          </cell>
          <cell r="M11" t="str">
            <v>Availability - Illness</v>
          </cell>
          <cell r="N11" t="str">
            <v>H</v>
          </cell>
          <cell r="O11">
            <v>0.966</v>
          </cell>
          <cell r="P11">
            <v>0.973</v>
          </cell>
          <cell r="Q11" t="str">
            <v>-</v>
          </cell>
          <cell r="R11">
            <v>0.966</v>
          </cell>
          <cell r="S11">
            <v>0.968</v>
          </cell>
          <cell r="T11">
            <v>0.962</v>
          </cell>
          <cell r="U11">
            <v>0.969</v>
          </cell>
          <cell r="V11">
            <v>0.958</v>
          </cell>
          <cell r="W11">
            <v>0.958</v>
          </cell>
        </row>
        <row r="12">
          <cell r="A12" t="str">
            <v>Overtime</v>
          </cell>
          <cell r="B12" t="str">
            <v>L</v>
          </cell>
          <cell r="C12">
            <v>0.1713</v>
          </cell>
          <cell r="D12">
            <v>0.174</v>
          </cell>
          <cell r="E12" t="str">
            <v>ê</v>
          </cell>
          <cell r="F12">
            <v>0.224114267702116</v>
          </cell>
          <cell r="G12">
            <v>0.232649086832825</v>
          </cell>
          <cell r="H12">
            <v>0.25474698541119</v>
          </cell>
          <cell r="I12">
            <v>0.22546662928562</v>
          </cell>
          <cell r="J12">
            <v>0.066623957196663</v>
          </cell>
          <cell r="K12">
            <v>0.0487801179699465</v>
          </cell>
          <cell r="M12" t="str">
            <v>Overtime</v>
          </cell>
          <cell r="N12" t="str">
            <v>L</v>
          </cell>
          <cell r="O12">
            <v>0.2829</v>
          </cell>
          <cell r="P12">
            <v>0.1825</v>
          </cell>
          <cell r="Q12" t="str">
            <v>-</v>
          </cell>
          <cell r="R12">
            <v>0.280123836017945</v>
          </cell>
          <cell r="S12">
            <v>0.298083908055144</v>
          </cell>
          <cell r="T12">
            <v>0.338788864054315</v>
          </cell>
          <cell r="U12">
            <v>0.264759483684072</v>
          </cell>
          <cell r="V12">
            <v>0.0777905355531863</v>
          </cell>
          <cell r="W12">
            <v>0.0541404785533135</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0.982</v>
          </cell>
          <cell r="D14">
            <v>0.97</v>
          </cell>
          <cell r="E14" t="str">
            <v>é</v>
          </cell>
          <cell r="F14">
            <v>0.988</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v>
          </cell>
          <cell r="D17">
            <v>0.21</v>
          </cell>
          <cell r="E17" t="str">
            <v>é</v>
          </cell>
          <cell r="F17">
            <v>0.209</v>
          </cell>
          <cell r="G17">
            <v>0.246</v>
          </cell>
          <cell r="H17">
            <v>0.238</v>
          </cell>
          <cell r="I17">
            <v>0.172</v>
          </cell>
          <cell r="M17" t="str">
            <v>Gas Leak Reports Per Mile</v>
          </cell>
          <cell r="N17" t="str">
            <v>L</v>
          </cell>
          <cell r="O17">
            <v>0.012</v>
          </cell>
          <cell r="P17">
            <v>0.21</v>
          </cell>
          <cell r="Q17" t="str">
            <v>+</v>
          </cell>
          <cell r="R17">
            <v>0.018</v>
          </cell>
          <cell r="S17">
            <v>0.019</v>
          </cell>
          <cell r="T17">
            <v>0.018</v>
          </cell>
          <cell r="U17">
            <v>0.017</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0.994</v>
          </cell>
          <cell r="T18">
            <v>0.994</v>
          </cell>
          <cell r="U18">
            <v>0.998</v>
          </cell>
        </row>
        <row r="19">
          <cell r="A19" t="str">
            <v>Appointments Kept</v>
          </cell>
          <cell r="B19" t="str">
            <v>H</v>
          </cell>
          <cell r="C19" t="str">
            <v>Nov 08 YTD</v>
          </cell>
          <cell r="D19">
            <v>0.92</v>
          </cell>
          <cell r="E19" t="str">
            <v>ê</v>
          </cell>
          <cell r="F19">
            <v>0.893</v>
          </cell>
          <cell r="G19">
            <v>0.901</v>
          </cell>
          <cell r="H19">
            <v>0.868</v>
          </cell>
          <cell r="I19">
            <v>0.899</v>
          </cell>
          <cell r="J19" t="str">
            <v>GSOC M&amp;R</v>
          </cell>
          <cell r="K19" t="str">
            <v>VP &amp; Support</v>
          </cell>
          <cell r="M19" t="str">
            <v>Appointment Kept</v>
          </cell>
          <cell r="N19" t="str">
            <v>H</v>
          </cell>
          <cell r="O19" t="str">
            <v>Nov 08</v>
          </cell>
          <cell r="P19">
            <v>0.92</v>
          </cell>
          <cell r="Q19" t="str">
            <v>-</v>
          </cell>
          <cell r="R19">
            <v>0.87</v>
          </cell>
          <cell r="S19">
            <v>0.887</v>
          </cell>
          <cell r="T19">
            <v>0.842</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v>
          </cell>
          <cell r="E22" t="str">
            <v>ê</v>
          </cell>
          <cell r="F22">
            <v>9.1</v>
          </cell>
          <cell r="G22">
            <v>9.1</v>
          </cell>
          <cell r="H22">
            <v>8.9</v>
          </cell>
          <cell r="I22">
            <v>9.2</v>
          </cell>
          <cell r="M22" t="str">
            <v>Moment of Truth Survey</v>
          </cell>
          <cell r="N22" t="str">
            <v>H</v>
          </cell>
          <cell r="O22">
            <v>9.1</v>
          </cell>
          <cell r="P22">
            <v>9.3</v>
          </cell>
          <cell r="Q22" t="str">
            <v>-</v>
          </cell>
          <cell r="R22">
            <v>9</v>
          </cell>
          <cell r="S22">
            <v>9</v>
          </cell>
          <cell r="T22">
            <v>8.8</v>
          </cell>
          <cell r="U22">
            <v>9.1</v>
          </cell>
        </row>
        <row r="23">
          <cell r="A23" t="str">
            <v>Damages Per 1,000 Locate Requests</v>
          </cell>
          <cell r="B23" t="str">
            <v>L</v>
          </cell>
          <cell r="C23">
            <v>1.48</v>
          </cell>
          <cell r="D23">
            <v>1.5</v>
          </cell>
          <cell r="E23" t="str">
            <v>ê</v>
          </cell>
          <cell r="F23">
            <v>1.69</v>
          </cell>
          <cell r="G23">
            <v>1.55</v>
          </cell>
          <cell r="H23">
            <v>2.55</v>
          </cell>
          <cell r="I23">
            <v>1.69</v>
          </cell>
          <cell r="M23" t="str">
            <v>Damages Per 1,000 Locate Requests</v>
          </cell>
          <cell r="N23" t="str">
            <v>L</v>
          </cell>
          <cell r="O23">
            <v>1.31</v>
          </cell>
          <cell r="P23">
            <v>1.5</v>
          </cell>
          <cell r="Q23" t="str">
            <v>-</v>
          </cell>
          <cell r="R23">
            <v>1.67</v>
          </cell>
          <cell r="S23">
            <v>1.52</v>
          </cell>
          <cell r="T23">
            <v>2.43</v>
          </cell>
          <cell r="U23">
            <v>1.67</v>
          </cell>
        </row>
        <row r="24">
          <cell r="A24" t="str">
            <v>Gas Damages Per 1,000 Locate Requests</v>
          </cell>
          <cell r="B24" t="str">
            <v>L</v>
          </cell>
          <cell r="C24">
            <v>2.28</v>
          </cell>
          <cell r="D24">
            <v>2.27</v>
          </cell>
          <cell r="E24" t="str">
            <v>ê</v>
          </cell>
          <cell r="F24">
            <v>2.58</v>
          </cell>
          <cell r="G24">
            <v>2.55</v>
          </cell>
          <cell r="H24">
            <v>3.34</v>
          </cell>
          <cell r="I24">
            <v>2.32</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v>
          </cell>
          <cell r="Q25" t="str">
            <v>-</v>
          </cell>
          <cell r="R25">
            <v>9.2</v>
          </cell>
        </row>
        <row r="26">
          <cell r="A26" t="str">
            <v>% Regulatory Compliance</v>
          </cell>
          <cell r="B26" t="str">
            <v>H</v>
          </cell>
          <cell r="C26">
            <v>0.97</v>
          </cell>
          <cell r="D26">
            <v>1</v>
          </cell>
          <cell r="E26" t="str">
            <v>é</v>
          </cell>
          <cell r="F26">
            <v>1.002</v>
          </cell>
          <cell r="G26">
            <v>1.001</v>
          </cell>
          <cell r="H26">
            <v>0.996</v>
          </cell>
          <cell r="I26">
            <v>1.005</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v>
          </cell>
          <cell r="D29">
            <v>345.2</v>
          </cell>
          <cell r="E29" t="str">
            <v>é</v>
          </cell>
          <cell r="F29">
            <v>306.503</v>
          </cell>
          <cell r="G29">
            <v>112.65485833</v>
          </cell>
          <cell r="H29">
            <v>64.94690771</v>
          </cell>
          <cell r="I29">
            <v>118.32689246</v>
          </cell>
          <cell r="J29">
            <v>9.402569</v>
          </cell>
          <cell r="K29">
            <v>1.17</v>
          </cell>
          <cell r="M29" t="str">
            <v>Total CapEx ($M)</v>
          </cell>
          <cell r="N29" t="str">
            <v>L</v>
          </cell>
          <cell r="O29">
            <v>31.325</v>
          </cell>
          <cell r="P29">
            <v>34.687</v>
          </cell>
          <cell r="Q29" t="str">
            <v>+</v>
          </cell>
          <cell r="R29">
            <v>26.771</v>
          </cell>
          <cell r="S29">
            <v>8.42498912</v>
          </cell>
          <cell r="T29">
            <v>6.06027618</v>
          </cell>
          <cell r="U29">
            <v>11.7289848</v>
          </cell>
          <cell r="V29">
            <v>0.50339</v>
          </cell>
          <cell r="W29">
            <v>0.053696</v>
          </cell>
        </row>
        <row r="30">
          <cell r="A30" t="str">
            <v>NJ Stimulus Earnings Contribution ($M)</v>
          </cell>
          <cell r="B30" t="str">
            <v>H</v>
          </cell>
          <cell r="C30" t="str">
            <v>N/A</v>
          </cell>
          <cell r="D30">
            <v>6.256</v>
          </cell>
          <cell r="E30" t="str">
            <v>é</v>
          </cell>
          <cell r="F30">
            <v>6.38</v>
          </cell>
          <cell r="G30" t="str">
            <v>N/A</v>
          </cell>
          <cell r="H30" t="str">
            <v>N/A</v>
          </cell>
          <cell r="I30" t="str">
            <v>N/A</v>
          </cell>
          <cell r="M30" t="str">
            <v>NJ Stimulus Capital Spend</v>
          </cell>
          <cell r="N30" t="str">
            <v>L</v>
          </cell>
          <cell r="O30" t="str">
            <v>N/A</v>
          </cell>
          <cell r="P30">
            <v>0.903</v>
          </cell>
          <cell r="Q30" t="str">
            <v>-</v>
          </cell>
          <cell r="R30">
            <v>0.813</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66.66375785</v>
          </cell>
          <cell r="H33">
            <v>45.38303249</v>
          </cell>
          <cell r="I33">
            <v>73.37247634</v>
          </cell>
          <cell r="J33">
            <v>9.79587693</v>
          </cell>
          <cell r="K33">
            <v>37.723</v>
          </cell>
          <cell r="M33" t="str">
            <v>Controllable O&amp;M ($M)</v>
          </cell>
          <cell r="N33" t="str">
            <v>L</v>
          </cell>
          <cell r="O33">
            <v>28.117</v>
          </cell>
          <cell r="P33">
            <v>23.057</v>
          </cell>
          <cell r="Q33" t="str">
            <v>-</v>
          </cell>
          <cell r="R33">
            <v>25.144</v>
          </cell>
          <cell r="S33">
            <v>7.24954376</v>
          </cell>
          <cell r="T33">
            <v>4.95153194</v>
          </cell>
          <cell r="U33">
            <v>7.1563602</v>
          </cell>
          <cell r="V33">
            <v>0.47747115</v>
          </cell>
          <cell r="W33">
            <v>3.155</v>
          </cell>
        </row>
        <row r="34">
          <cell r="A34" t="str">
            <v>Gross Margin Competitive Serv. ($M)</v>
          </cell>
          <cell r="B34" t="str">
            <v>H</v>
          </cell>
          <cell r="C34">
            <v>56.319</v>
          </cell>
          <cell r="D34">
            <v>62.108</v>
          </cell>
          <cell r="E34" t="str">
            <v>é</v>
          </cell>
          <cell r="F34">
            <v>62.28995598</v>
          </cell>
          <cell r="G34">
            <v>19.92716431</v>
          </cell>
          <cell r="H34">
            <v>10.31828384</v>
          </cell>
          <cell r="I34">
            <v>27.41029858</v>
          </cell>
          <cell r="J34">
            <v>1</v>
          </cell>
          <cell r="M34" t="str">
            <v>Gross Margin Competitive Serv. ($M)</v>
          </cell>
          <cell r="N34" t="str">
            <v>H</v>
          </cell>
          <cell r="O34">
            <v>5.254</v>
          </cell>
          <cell r="P34">
            <v>5.159</v>
          </cell>
          <cell r="Q34" t="str">
            <v>-</v>
          </cell>
          <cell r="R34">
            <v>5.09960284</v>
          </cell>
          <cell r="S34">
            <v>1.62848195</v>
          </cell>
          <cell r="T34">
            <v>0.74829197</v>
          </cell>
          <cell r="U34">
            <v>2.25467687</v>
          </cell>
        </row>
        <row r="35">
          <cell r="A35" t="str">
            <v>Fully Loaded $/Unit - New Main</v>
          </cell>
          <cell r="B35" t="str">
            <v>L</v>
          </cell>
          <cell r="C35">
            <v>54.83</v>
          </cell>
          <cell r="D35">
            <v>51.37</v>
          </cell>
          <cell r="E35" t="str">
            <v>ê</v>
          </cell>
          <cell r="F35">
            <v>52.9780867285738</v>
          </cell>
          <cell r="G35">
            <v>52.0709183062617</v>
          </cell>
          <cell r="H35">
            <v>90.5039839770105</v>
          </cell>
          <cell r="I35">
            <v>46.1490921816125</v>
          </cell>
          <cell r="M35" t="str">
            <v>Fully Loaded $/Unit - New Main</v>
          </cell>
          <cell r="N35" t="str">
            <v>L</v>
          </cell>
          <cell r="O35">
            <v>57.76</v>
          </cell>
          <cell r="P35">
            <v>51.9785419249591</v>
          </cell>
          <cell r="Q35" t="str">
            <v>-</v>
          </cell>
          <cell r="R35">
            <v>53.3965232507605</v>
          </cell>
          <cell r="S35">
            <v>61.0229191797346</v>
          </cell>
          <cell r="T35">
            <v>65.6039640987285</v>
          </cell>
          <cell r="U35">
            <v>49.4280155642023</v>
          </cell>
        </row>
        <row r="36">
          <cell r="A36" t="str">
            <v>Fully Loaded $/Service - New Service</v>
          </cell>
          <cell r="B36" t="str">
            <v>L</v>
          </cell>
          <cell r="C36">
            <v>5337</v>
          </cell>
          <cell r="D36">
            <v>5210</v>
          </cell>
          <cell r="E36" t="str">
            <v>é</v>
          </cell>
          <cell r="F36">
            <v>4972.50005906804</v>
          </cell>
          <cell r="G36">
            <v>5298.05724838412</v>
          </cell>
          <cell r="H36">
            <v>6091.33191940615</v>
          </cell>
          <cell r="I36">
            <v>4419.40108840864</v>
          </cell>
          <cell r="M36" t="str">
            <v>Fully Loaded $/Service - New Service</v>
          </cell>
          <cell r="N36" t="str">
            <v>L</v>
          </cell>
          <cell r="O36">
            <v>5314</v>
          </cell>
          <cell r="P36">
            <v>5249.73698020793</v>
          </cell>
          <cell r="Q36" t="str">
            <v>-</v>
          </cell>
          <cell r="R36">
            <v>5635.1598062954</v>
          </cell>
          <cell r="S36">
            <v>5243.40769230769</v>
          </cell>
          <cell r="T36">
            <v>7070.35211267606</v>
          </cell>
          <cell r="U36">
            <v>5394.73113207547</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268.59</v>
          </cell>
          <cell r="P37">
            <v>173</v>
          </cell>
          <cell r="Q37" t="str">
            <v>-</v>
          </cell>
          <cell r="R37">
            <v>305.84</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0.0079</v>
          </cell>
          <cell r="D42">
            <v>0.00797</v>
          </cell>
          <cell r="E42" t="str">
            <v>é</v>
          </cell>
          <cell r="F42">
            <v>0.0055</v>
          </cell>
          <cell r="G42">
            <v>0.0062</v>
          </cell>
          <cell r="H42">
            <v>0.0023</v>
          </cell>
          <cell r="I42">
            <v>0.0052</v>
          </cell>
          <cell r="J42">
            <v>0.1887</v>
          </cell>
          <cell r="K42">
            <v>0</v>
          </cell>
          <cell r="M42" t="str">
            <v>Non-Hazardous Waste</v>
          </cell>
          <cell r="N42" t="str">
            <v>H</v>
          </cell>
          <cell r="O42">
            <v>0.0036</v>
          </cell>
          <cell r="P42">
            <v>0.00797</v>
          </cell>
          <cell r="Q42" t="str">
            <v>+</v>
          </cell>
          <cell r="R42">
            <v>0.0047</v>
          </cell>
          <cell r="S42">
            <v>0.0051</v>
          </cell>
          <cell r="T42">
            <v>0.0014</v>
          </cell>
          <cell r="U42">
            <v>0.0033</v>
          </cell>
          <cell r="V42">
            <v>0.4699</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0.864</v>
          </cell>
          <cell r="F52">
            <v>0.836</v>
          </cell>
          <cell r="R52">
            <v>0.849</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v>
          </cell>
          <cell r="R41">
            <v>4.129</v>
          </cell>
          <cell r="S41">
            <v>23.845</v>
          </cell>
          <cell r="T41">
            <v>51.599405</v>
          </cell>
          <cell r="V41" t="str">
            <v>M</v>
          </cell>
        </row>
        <row r="42">
          <cell r="L42" t="str">
            <v>Accountability O&amp;M ($M)</v>
          </cell>
          <cell r="M42" t="str">
            <v>L</v>
          </cell>
          <cell r="N42">
            <v>52.1</v>
          </cell>
          <cell r="O42">
            <v>65.4</v>
          </cell>
          <cell r="P42" t="str">
            <v>+</v>
          </cell>
          <cell r="Q42">
            <v>57.08673503</v>
          </cell>
          <cell r="R42">
            <v>13.959</v>
          </cell>
          <cell r="S42">
            <v>17.876</v>
          </cell>
          <cell r="T42">
            <v>26.2092697726294</v>
          </cell>
          <cell r="U42">
            <v>2.55951323</v>
          </cell>
          <cell r="V42" t="str">
            <v>M</v>
          </cell>
        </row>
        <row r="43">
          <cell r="L43" t="str">
            <v>Controllable O&amp;M ($M)</v>
          </cell>
          <cell r="M43" t="str">
            <v>L</v>
          </cell>
          <cell r="N43">
            <v>67.2</v>
          </cell>
          <cell r="O43">
            <v>83.1</v>
          </cell>
          <cell r="P43" t="str">
            <v>+</v>
          </cell>
          <cell r="Q43">
            <v>73.35900833</v>
          </cell>
          <cell r="V43" t="str">
            <v>M</v>
          </cell>
        </row>
        <row r="44">
          <cell r="L44" t="str">
            <v>Net Write-Off ($) /$100 billed</v>
          </cell>
          <cell r="M44" t="str">
            <v>L</v>
          </cell>
          <cell r="N44">
            <v>1.22</v>
          </cell>
          <cell r="O44">
            <v>0.82</v>
          </cell>
          <cell r="P44" t="str">
            <v>-</v>
          </cell>
          <cell r="Q44">
            <v>2.72349595609381</v>
          </cell>
          <cell r="R44">
            <v>0.82</v>
          </cell>
          <cell r="V44" t="str">
            <v>M</v>
          </cell>
        </row>
        <row r="45">
          <cell r="L45" t="str">
            <v>Days Sales Outstanding</v>
          </cell>
          <cell r="M45" t="str">
            <v>L</v>
          </cell>
          <cell r="N45">
            <v>34.4</v>
          </cell>
          <cell r="O45">
            <v>34.5</v>
          </cell>
          <cell r="P45" t="str">
            <v>-</v>
          </cell>
          <cell r="Q45">
            <v>39.4956072453709</v>
          </cell>
          <cell r="R45">
            <v>41.2</v>
          </cell>
          <cell r="V45" t="str">
            <v>M</v>
          </cell>
        </row>
        <row r="46">
          <cell r="L46" t="str">
            <v>Current Capital Performance</v>
          </cell>
          <cell r="M46" t="str">
            <v>H</v>
          </cell>
          <cell r="O46">
            <v>1</v>
          </cell>
          <cell r="P46" t="str">
            <v>o</v>
          </cell>
          <cell r="Q46">
            <v>1.01</v>
          </cell>
          <cell r="R46">
            <v>0</v>
          </cell>
          <cell r="T46">
            <v>1.06592273558466</v>
          </cell>
          <cell r="V46" t="str">
            <v>M</v>
          </cell>
        </row>
        <row r="47">
          <cell r="L47" t="str">
            <v>ROIC</v>
          </cell>
          <cell r="M47" t="str">
            <v>H</v>
          </cell>
          <cell r="N47">
            <v>0.0706</v>
          </cell>
          <cell r="O47">
            <v>0.062</v>
          </cell>
          <cell r="P47" t="str">
            <v>+</v>
          </cell>
          <cell r="Q47">
            <v>0.0584749776351102</v>
          </cell>
          <cell r="V47" t="str">
            <v>M</v>
          </cell>
        </row>
        <row r="48">
          <cell r="L48" t="str">
            <v>Funds from Operations/Debt</v>
          </cell>
          <cell r="M48" t="str">
            <v>H</v>
          </cell>
          <cell r="O48" t="str">
            <v> </v>
          </cell>
          <cell r="P48" t="str">
            <v>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0.984</v>
          </cell>
          <cell r="G9" t="str">
            <v>é</v>
          </cell>
          <cell r="H9">
            <v>0.986</v>
          </cell>
          <cell r="J9" t="str">
            <v>Availability</v>
          </cell>
          <cell r="L9">
            <v>0.986</v>
          </cell>
          <cell r="M9">
            <v>0.979</v>
          </cell>
          <cell r="N9" t="str">
            <v>+</v>
          </cell>
          <cell r="O9">
            <v>0.993</v>
          </cell>
        </row>
        <row r="10">
          <cell r="A10" t="str">
            <v>Staffing Levels – Permanent</v>
          </cell>
          <cell r="B10">
            <v>1</v>
          </cell>
          <cell r="C10">
            <v>1</v>
          </cell>
          <cell r="D10" t="str">
            <v>L</v>
          </cell>
          <cell r="E10">
            <v>17</v>
          </cell>
          <cell r="F10">
            <v>11</v>
          </cell>
          <cell r="G10" t="str">
            <v>  ê</v>
          </cell>
          <cell r="H10">
            <v>13</v>
          </cell>
          <cell r="L10">
            <v>17</v>
          </cell>
          <cell r="M10">
            <v>11</v>
          </cell>
          <cell r="N10" t="str">
            <v>+</v>
          </cell>
          <cell r="O10" t="str">
            <v>13*</v>
          </cell>
        </row>
        <row r="11">
          <cell r="A11" t="str">
            <v>Corporate Culture for Ethics and Compliance  </v>
          </cell>
          <cell r="B11">
            <v>1</v>
          </cell>
          <cell r="D11" t="str">
            <v>H</v>
          </cell>
          <cell r="E11" t="str">
            <v>NA</v>
          </cell>
          <cell r="F11">
            <v>5.75</v>
          </cell>
          <cell r="G11" t="str">
            <v>  ê</v>
          </cell>
          <cell r="H11">
            <v>4.94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Status</v>
          </cell>
          <cell r="O14">
            <v>40513</v>
          </cell>
        </row>
        <row r="15">
          <cell r="A15" t="str">
            <v>Solar Loans Closed Capacity (MW) </v>
          </cell>
          <cell r="B15">
            <v>1</v>
          </cell>
          <cell r="D15" t="str">
            <v>H</v>
          </cell>
          <cell r="E15" t="str">
            <v>NA</v>
          </cell>
          <cell r="F15">
            <v>15.6</v>
          </cell>
          <cell r="G15" t="str">
            <v>  ê</v>
          </cell>
          <cell r="H15">
            <v>7.43</v>
          </cell>
          <cell r="J15" t="str">
            <v>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0.097</v>
          </cell>
          <cell r="G17" t="str">
            <v>é</v>
          </cell>
          <cell r="H17">
            <v>0.0577</v>
          </cell>
          <cell r="J17" t="str">
            <v>EE Effectiveness (Admin$/(Inv$ +Admin$))</v>
          </cell>
          <cell r="L17" t="str">
            <v>NA</v>
          </cell>
          <cell r="M17">
            <v>0.097</v>
          </cell>
          <cell r="N17" t="str">
            <v>+</v>
          </cell>
          <cell r="O17">
            <v>0.0886</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Status</v>
          </cell>
          <cell r="O20">
            <v>40513</v>
          </cell>
        </row>
        <row r="21">
          <cell r="A21" t="str">
            <v>Controllable O&amp;M  ($MM)</v>
          </cell>
          <cell r="B21">
            <v>1</v>
          </cell>
          <cell r="D21" t="str">
            <v>L</v>
          </cell>
          <cell r="E21">
            <v>2.9</v>
          </cell>
          <cell r="F21">
            <v>4.11</v>
          </cell>
          <cell r="G21" t="str">
            <v>é</v>
          </cell>
          <cell r="H21">
            <v>3.247628</v>
          </cell>
          <cell r="J21" t="str">
            <v>Controllable O&amp;M  ($MM)</v>
          </cell>
          <cell r="L21" t="str">
            <v>NA</v>
          </cell>
          <cell r="M21">
            <v>0.347583</v>
          </cell>
          <cell r="N21" t="str">
            <v>+</v>
          </cell>
          <cell r="O21">
            <v>0.312465</v>
          </cell>
        </row>
        <row r="22">
          <cell r="A22" t="str">
            <v>Earnings Contributions ($MM) * Adjusted Plan</v>
          </cell>
          <cell r="B22">
            <v>1</v>
          </cell>
          <cell r="D22" t="str">
            <v>H</v>
          </cell>
          <cell r="E22" t="str">
            <v>NA</v>
          </cell>
          <cell r="F22" t="str">
            <v>10.06/7.91*</v>
          </cell>
          <cell r="G22" t="str">
            <v>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0.036</v>
          </cell>
          <cell r="G23" t="str">
            <v>é</v>
          </cell>
          <cell r="H23">
            <v>0.0356</v>
          </cell>
          <cell r="J23" t="str">
            <v>EE Productivity (Lifetime $ per kWh)</v>
          </cell>
          <cell r="L23" t="str">
            <v>NA</v>
          </cell>
          <cell r="M23">
            <v>0.036</v>
          </cell>
          <cell r="O23">
            <v>0.025</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v>
          </cell>
        </row>
        <row r="25">
          <cell r="A25" t="str">
            <v>RGGI Cumulative Program Investment Levels ($MM)</v>
          </cell>
          <cell r="B25">
            <v>1</v>
          </cell>
          <cell r="D25" t="str">
            <v>H</v>
          </cell>
          <cell r="E25" t="str">
            <v>NA</v>
          </cell>
          <cell r="F25">
            <v>451</v>
          </cell>
          <cell r="G25" t="str">
            <v>  ê</v>
          </cell>
          <cell r="H25">
            <v>397.9</v>
          </cell>
          <cell r="J25" t="str">
            <v>RGGI Cumulative Program Investment Levels ($MM)</v>
          </cell>
          <cell r="L25" t="str">
            <v>NA</v>
          </cell>
          <cell r="M25">
            <v>62.8</v>
          </cell>
          <cell r="N25" t="str">
            <v>-</v>
          </cell>
          <cell r="O25">
            <v>51.3</v>
          </cell>
        </row>
        <row r="26">
          <cell r="A26" t="str">
            <v>* See attached</v>
          </cell>
          <cell r="M26" t="str">
            <v>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1.58012057824889</v>
          </cell>
          <cell r="D8">
            <v>1.39</v>
          </cell>
          <cell r="E8" t="str">
            <v>ê</v>
          </cell>
          <cell r="F8">
            <v>1.77161946434128</v>
          </cell>
          <cell r="G8">
            <v>3.09274279618742</v>
          </cell>
          <cell r="H8">
            <v>1.91475561202903</v>
          </cell>
          <cell r="I8">
            <v>1.52020123207749</v>
          </cell>
          <cell r="J8">
            <v>2.40142649536678</v>
          </cell>
          <cell r="K8">
            <v>1.34339085285168</v>
          </cell>
          <cell r="L8">
            <v>1.13904897668552</v>
          </cell>
          <cell r="M8">
            <v>0</v>
          </cell>
          <cell r="N8">
            <v>0</v>
          </cell>
        </row>
        <row r="9">
          <cell r="A9" t="str">
            <v>OSHA Days Away Rate (Severity)</v>
          </cell>
          <cell r="B9" t="str">
            <v>L</v>
          </cell>
          <cell r="C9">
            <v>12.8290742186398</v>
          </cell>
          <cell r="D9">
            <v>6.96</v>
          </cell>
          <cell r="E9" t="str">
            <v>ê</v>
          </cell>
          <cell r="F9">
            <v>19.4878141077541</v>
          </cell>
          <cell r="G9">
            <v>50.8093459373648</v>
          </cell>
          <cell r="H9">
            <v>28.7213341804354</v>
          </cell>
          <cell r="I9">
            <v>0</v>
          </cell>
          <cell r="J9">
            <v>20.0118874613898</v>
          </cell>
          <cell r="K9">
            <v>42.9885072912539</v>
          </cell>
          <cell r="L9">
            <v>5.69524488342759</v>
          </cell>
          <cell r="M9">
            <v>0</v>
          </cell>
          <cell r="N9">
            <v>0</v>
          </cell>
        </row>
        <row r="10">
          <cell r="A10" t="str">
            <v>Motor Vehicle Accident Rate</v>
          </cell>
          <cell r="B10" t="str">
            <v>L</v>
          </cell>
          <cell r="C10">
            <v>5.96635606908853</v>
          </cell>
          <cell r="D10">
            <v>3.88</v>
          </cell>
          <cell r="E10" t="str">
            <v>ê</v>
          </cell>
          <cell r="F10">
            <v>6.57167891551338</v>
          </cell>
          <cell r="G10">
            <v>6.4483849287175</v>
          </cell>
          <cell r="H10">
            <v>9.0592625445184</v>
          </cell>
          <cell r="I10">
            <v>13.8946669816125</v>
          </cell>
          <cell r="J10">
            <v>4.3566362974947</v>
          </cell>
          <cell r="K10">
            <v>3.42146650897508</v>
          </cell>
          <cell r="L10">
            <v>5.7526862647904</v>
          </cell>
          <cell r="M10">
            <v>2.14608623618323</v>
          </cell>
          <cell r="N10">
            <v>3.12648833871958</v>
          </cell>
        </row>
        <row r="11">
          <cell r="A11" t="str">
            <v>Availability - Illness</v>
          </cell>
          <cell r="B11" t="str">
            <v>H</v>
          </cell>
          <cell r="C11">
            <v>0.967420336030158</v>
          </cell>
          <cell r="D11">
            <v>0.973</v>
          </cell>
          <cell r="E11" t="str">
            <v>ê</v>
          </cell>
          <cell r="F11">
            <v>0.967933358425882</v>
          </cell>
          <cell r="G11">
            <v>0.967385924787859</v>
          </cell>
          <cell r="H11">
            <v>0.968471540671982</v>
          </cell>
          <cell r="I11">
            <v>0.967310470516142</v>
          </cell>
          <cell r="J11">
            <v>0.960797653444865</v>
          </cell>
          <cell r="K11">
            <v>0.973216092132908</v>
          </cell>
          <cell r="L11">
            <v>0.965896561771976</v>
          </cell>
          <cell r="M11">
            <v>0.982564912872991</v>
          </cell>
          <cell r="N11">
            <v>0.976551489150805</v>
          </cell>
        </row>
        <row r="12">
          <cell r="A12" t="str">
            <v>Overtime</v>
          </cell>
          <cell r="B12" t="str">
            <v>L</v>
          </cell>
          <cell r="C12">
            <v>0.229555716114083</v>
          </cell>
          <cell r="D12">
            <v>0.154</v>
          </cell>
          <cell r="E12" t="str">
            <v>ê</v>
          </cell>
          <cell r="F12">
            <v>0.202639912874082</v>
          </cell>
          <cell r="G12">
            <v>0.204354884128709</v>
          </cell>
          <cell r="H12">
            <v>0.291891626386892</v>
          </cell>
          <cell r="I12">
            <v>0.277798739529347</v>
          </cell>
          <cell r="J12">
            <v>0.219109244677242</v>
          </cell>
          <cell r="K12">
            <v>0.32166757450782</v>
          </cell>
          <cell r="L12">
            <v>0.068404949988858</v>
          </cell>
          <cell r="M12">
            <v>0.180907327413253</v>
          </cell>
          <cell r="N12">
            <v>0.0364032006217643</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0.991883116883117</v>
          </cell>
          <cell r="M14">
            <v>0.987434643278799</v>
          </cell>
          <cell r="N14">
            <v>0.982704876695749</v>
          </cell>
        </row>
        <row r="15">
          <cell r="A15" t="str">
            <v>Employee Development - MAST</v>
          </cell>
          <cell r="B15" t="str">
            <v>H</v>
          </cell>
          <cell r="C15">
            <v>0.252429805615551</v>
          </cell>
          <cell r="D15">
            <v>0.95</v>
          </cell>
          <cell r="E15" t="str">
            <v>é</v>
          </cell>
          <cell r="F15">
            <v>0.741127106227106</v>
          </cell>
          <cell r="G15">
            <v>0.701045454545454</v>
          </cell>
          <cell r="H15">
            <v>0.780675675675676</v>
          </cell>
          <cell r="I15">
            <v>0.693822213577125</v>
          </cell>
          <cell r="J15">
            <v>0.724473684210526</v>
          </cell>
          <cell r="K15">
            <v>0.626785714285714</v>
          </cell>
          <cell r="L15">
            <v>0.760454545454545</v>
          </cell>
          <cell r="M15">
            <v>0.707829457364341</v>
          </cell>
          <cell r="N15">
            <v>0.777121771217712</v>
          </cell>
        </row>
        <row r="16">
          <cell r="A16" t="str">
            <v>Employee Technical Training - BU</v>
          </cell>
          <cell r="B16" t="str">
            <v>H</v>
          </cell>
          <cell r="C16">
            <v>0.528970377136892</v>
          </cell>
          <cell r="D16">
            <v>1</v>
          </cell>
          <cell r="E16" t="str">
            <v>é</v>
          </cell>
          <cell r="F16">
            <v>0.82999940992506</v>
          </cell>
          <cell r="G16">
            <v>0.657404909630429</v>
          </cell>
          <cell r="H16">
            <v>0.76171015403961</v>
          </cell>
          <cell r="I16">
            <v>0.721241830065359</v>
          </cell>
          <cell r="J16">
            <v>0.9039258717386</v>
          </cell>
          <cell r="K16">
            <v>1.55185909980431</v>
          </cell>
          <cell r="L16">
            <v>0.776435045317221</v>
          </cell>
          <cell r="M16">
            <v>1.65846994535519</v>
          </cell>
        </row>
        <row r="17">
          <cell r="A17" t="str">
            <v>Hours To Work</v>
          </cell>
          <cell r="B17" t="str">
            <v>L</v>
          </cell>
          <cell r="C17" t="str">
            <v>Dec '09 YTD</v>
          </cell>
          <cell r="D17" t="str">
            <v>NT</v>
          </cell>
          <cell r="E17" t="str">
            <v>é</v>
          </cell>
          <cell r="F17">
            <v>0.0238545136534388</v>
          </cell>
          <cell r="G17">
            <v>0.0441373291175379</v>
          </cell>
          <cell r="H17">
            <v>0.0236541626035857</v>
          </cell>
          <cell r="I17">
            <v>0.0255311677679278</v>
          </cell>
          <cell r="J17">
            <v>0.0143321740311052</v>
          </cell>
          <cell r="K17">
            <v>0.172497701135381</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0.0325112633592254</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0.960923076923077</v>
          </cell>
        </row>
        <row r="21">
          <cell r="A21" t="str">
            <v>SAIFI</v>
          </cell>
          <cell r="B21" t="str">
            <v>L</v>
          </cell>
          <cell r="C21">
            <v>0.66</v>
          </cell>
          <cell r="D21">
            <v>0.72</v>
          </cell>
          <cell r="E21" t="str">
            <v>é</v>
          </cell>
          <cell r="F21">
            <v>0.64</v>
          </cell>
          <cell r="G21">
            <v>0.57</v>
          </cell>
          <cell r="H21">
            <v>0.55</v>
          </cell>
          <cell r="I21">
            <v>0.63</v>
          </cell>
          <cell r="J21">
            <v>0.81</v>
          </cell>
          <cell r="K21">
            <v>0.0198675496688742</v>
          </cell>
          <cell r="P21" t="str">
            <v>SAIFI</v>
          </cell>
          <cell r="Q21" t="str">
            <v>L</v>
          </cell>
          <cell r="R21">
            <v>0.04</v>
          </cell>
          <cell r="S21">
            <v>0.050996821272298</v>
          </cell>
          <cell r="T21" t="str">
            <v>+</v>
          </cell>
          <cell r="U21">
            <v>0.04</v>
          </cell>
          <cell r="V21">
            <v>0.03</v>
          </cell>
          <cell r="W21">
            <v>0.03</v>
          </cell>
          <cell r="X21">
            <v>0.03</v>
          </cell>
          <cell r="Y21">
            <v>0.05</v>
          </cell>
          <cell r="AC21">
            <v>1.69988595666353</v>
          </cell>
        </row>
        <row r="22">
          <cell r="A22" t="str">
            <v>MAIFI</v>
          </cell>
          <cell r="B22" t="str">
            <v>L</v>
          </cell>
          <cell r="C22">
            <v>1.24</v>
          </cell>
          <cell r="D22">
            <v>1.25</v>
          </cell>
          <cell r="E22" t="str">
            <v>é</v>
          </cell>
          <cell r="F22">
            <v>1.14</v>
          </cell>
          <cell r="G22">
            <v>1.06</v>
          </cell>
          <cell r="H22">
            <v>0.78</v>
          </cell>
          <cell r="I22">
            <v>1.27</v>
          </cell>
          <cell r="J22">
            <v>1.44</v>
          </cell>
          <cell r="K22">
            <v>0.0356510920396351</v>
          </cell>
          <cell r="P22" t="str">
            <v>MAIFI</v>
          </cell>
          <cell r="Q22" t="str">
            <v>L</v>
          </cell>
          <cell r="R22">
            <v>0.09</v>
          </cell>
          <cell r="S22">
            <v>0.108695652173913</v>
          </cell>
          <cell r="T22" t="str">
            <v>+</v>
          </cell>
          <cell r="U22">
            <v>0.08</v>
          </cell>
          <cell r="V22">
            <v>0.11</v>
          </cell>
          <cell r="W22">
            <v>0.05</v>
          </cell>
          <cell r="X22">
            <v>0.07</v>
          </cell>
          <cell r="Y22">
            <v>0.1</v>
          </cell>
          <cell r="Z22">
            <v>0.0356510920396351</v>
          </cell>
          <cell r="AC22">
            <v>0.992181220019784</v>
          </cell>
        </row>
        <row r="23">
          <cell r="A23" t="str">
            <v>CAIDI</v>
          </cell>
          <cell r="B23" t="str">
            <v>L</v>
          </cell>
          <cell r="C23">
            <v>65.35</v>
          </cell>
          <cell r="D23">
            <v>66.5</v>
          </cell>
          <cell r="E23" t="str">
            <v>é</v>
          </cell>
          <cell r="F23">
            <v>64.11</v>
          </cell>
          <cell r="G23">
            <v>64.81</v>
          </cell>
          <cell r="H23">
            <v>69.06</v>
          </cell>
          <cell r="I23">
            <v>58.25</v>
          </cell>
          <cell r="J23">
            <v>65.19</v>
          </cell>
          <cell r="P23" t="str">
            <v>CAIDI</v>
          </cell>
          <cell r="Q23" t="str">
            <v>L</v>
          </cell>
          <cell r="R23">
            <v>46.84</v>
          </cell>
          <cell r="S23">
            <v>58.3440906635749</v>
          </cell>
          <cell r="T23" t="str">
            <v>-</v>
          </cell>
          <cell r="U23">
            <v>70.39</v>
          </cell>
          <cell r="V23">
            <v>53.15</v>
          </cell>
          <cell r="W23">
            <v>136.39</v>
          </cell>
          <cell r="X23">
            <v>53.49</v>
          </cell>
          <cell r="Y23">
            <v>49.89</v>
          </cell>
          <cell r="AC23">
            <v>1.00325853606625</v>
          </cell>
        </row>
        <row r="24">
          <cell r="A24" t="str">
            <v>CEMI</v>
          </cell>
          <cell r="B24" t="str">
            <v>L</v>
          </cell>
          <cell r="C24">
            <v>0.02</v>
          </cell>
          <cell r="D24">
            <v>0.023</v>
          </cell>
          <cell r="E24" t="str">
            <v>é</v>
          </cell>
          <cell r="F24">
            <v>0.011</v>
          </cell>
          <cell r="G24">
            <v>0.004</v>
          </cell>
          <cell r="H24">
            <v>0.006</v>
          </cell>
          <cell r="I24">
            <v>0.009</v>
          </cell>
          <cell r="J24">
            <v>0.024</v>
          </cell>
          <cell r="P24" t="str">
            <v>CEMI</v>
          </cell>
          <cell r="Q24" t="str">
            <v>L</v>
          </cell>
          <cell r="R24" t="str">
            <v>+</v>
          </cell>
          <cell r="S24">
            <v>78.6642509748895</v>
          </cell>
          <cell r="AC24">
            <v>1.00576226311683</v>
          </cell>
        </row>
        <row r="25">
          <cell r="A25" t="str">
            <v>Forced Automatic Outage Rate (Trans)</v>
          </cell>
          <cell r="B25" t="str">
            <v>L</v>
          </cell>
          <cell r="C25">
            <v>0.0408163265306122</v>
          </cell>
          <cell r="D25">
            <v>0.0541</v>
          </cell>
          <cell r="E25" t="str">
            <v>é</v>
          </cell>
          <cell r="F25">
            <v>0.0264900662251656</v>
          </cell>
          <cell r="G25">
            <v>0.82</v>
          </cell>
          <cell r="H25">
            <v>0.76</v>
          </cell>
          <cell r="I25">
            <v>0.89</v>
          </cell>
          <cell r="J25">
            <v>0.76</v>
          </cell>
          <cell r="K25">
            <v>0.0264900662251656</v>
          </cell>
          <cell r="P25" t="str">
            <v>Forced Automatic Outage Rate (Trans)</v>
          </cell>
          <cell r="Q25" t="str">
            <v>L</v>
          </cell>
          <cell r="R25">
            <v>0</v>
          </cell>
          <cell r="S25">
            <v>0</v>
          </cell>
          <cell r="T25" t="str">
            <v>o</v>
          </cell>
          <cell r="U25">
            <v>0</v>
          </cell>
          <cell r="V25">
            <v>0.88</v>
          </cell>
          <cell r="W25">
            <v>0.56</v>
          </cell>
          <cell r="Z25">
            <v>0</v>
          </cell>
          <cell r="AC25">
            <v>1.03489385500236</v>
          </cell>
        </row>
        <row r="26">
          <cell r="A26" t="str">
            <v>Police &amp; Fire Response Rate</v>
          </cell>
          <cell r="B26" t="str">
            <v>L</v>
          </cell>
          <cell r="C26">
            <v>0.514234419081816</v>
          </cell>
          <cell r="D26">
            <v>0.533</v>
          </cell>
          <cell r="E26" t="str">
            <v>é</v>
          </cell>
          <cell r="F26">
            <v>0.583068477318694</v>
          </cell>
          <cell r="G26">
            <v>0.612046058458813</v>
          </cell>
          <cell r="H26">
            <v>0.523291925465838</v>
          </cell>
          <cell r="I26">
            <v>0.546218487394958</v>
          </cell>
          <cell r="J26">
            <v>0.608417200365965</v>
          </cell>
          <cell r="M26">
            <v>8.73</v>
          </cell>
          <cell r="P26" t="str">
            <v>Police &amp; Fire Response Rate</v>
          </cell>
          <cell r="Q26" t="str">
            <v>L</v>
          </cell>
          <cell r="R26">
            <v>0.494661921708185</v>
          </cell>
          <cell r="S26">
            <v>0.533</v>
          </cell>
          <cell r="T26" t="str">
            <v>-</v>
          </cell>
          <cell r="U26">
            <v>0.707446808510638</v>
          </cell>
          <cell r="V26">
            <v>0.706896551724138</v>
          </cell>
          <cell r="W26">
            <v>0.720930232558139</v>
          </cell>
          <cell r="X26">
            <v>0.771428571428571</v>
          </cell>
          <cell r="Y26">
            <v>0.653846153846154</v>
          </cell>
          <cell r="Z26">
            <v>8.95</v>
          </cell>
          <cell r="AC26">
            <v>1.04555555555556</v>
          </cell>
        </row>
        <row r="27">
          <cell r="A27" t="str">
            <v>Mean Time to Service</v>
          </cell>
          <cell r="B27" t="str">
            <v>H</v>
          </cell>
          <cell r="C27">
            <v>39.7</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0.246511627906977</v>
          </cell>
        </row>
        <row r="28">
          <cell r="A28" t="str">
            <v>Perception Survey (Res/Sm Business) </v>
          </cell>
          <cell r="B28" t="str">
            <v>H</v>
          </cell>
          <cell r="C28">
            <v>75.4370691580653</v>
          </cell>
          <cell r="D28">
            <v>76</v>
          </cell>
          <cell r="E28" t="str">
            <v>ê</v>
          </cell>
          <cell r="F28">
            <v>74.1736459601596</v>
          </cell>
          <cell r="P28" t="str">
            <v>Perception Survey (Res/Sm Business) </v>
          </cell>
          <cell r="Q28" t="str">
            <v>H</v>
          </cell>
          <cell r="R28">
            <v>75.4370691580653</v>
          </cell>
          <cell r="S28">
            <v>76</v>
          </cell>
          <cell r="T28" t="str">
            <v>-</v>
          </cell>
          <cell r="U28">
            <v>73.2530849115046</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v>
          </cell>
          <cell r="L30">
            <v>25.183887</v>
          </cell>
          <cell r="M30">
            <v>7.97</v>
          </cell>
          <cell r="N30">
            <v>54.793767</v>
          </cell>
          <cell r="P30" t="str">
            <v>Moment of Truth Survey</v>
          </cell>
          <cell r="Q30" t="str">
            <v>H</v>
          </cell>
          <cell r="R30">
            <v>8.68</v>
          </cell>
          <cell r="S30">
            <v>9</v>
          </cell>
          <cell r="T30" t="str">
            <v>-</v>
          </cell>
          <cell r="U30">
            <v>8.65</v>
          </cell>
          <cell r="V30">
            <v>8.54</v>
          </cell>
          <cell r="W30">
            <v>8.94</v>
          </cell>
          <cell r="X30">
            <v>8.81</v>
          </cell>
          <cell r="Y30">
            <v>8.27</v>
          </cell>
          <cell r="Z30">
            <v>50.760265</v>
          </cell>
          <cell r="AA30">
            <v>9.126939</v>
          </cell>
          <cell r="AB30">
            <v>8.07</v>
          </cell>
          <cell r="AC30">
            <v>1.25498457172337</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9.27916562</v>
          </cell>
          <cell r="L31">
            <v>26.24933356</v>
          </cell>
          <cell r="M31">
            <v>28.88760534</v>
          </cell>
          <cell r="N31">
            <v>151.8380669</v>
          </cell>
          <cell r="P31" t="str">
            <v>New Business Construction Survey</v>
          </cell>
          <cell r="Q31" t="str">
            <v>H</v>
          </cell>
          <cell r="R31">
            <v>8.46</v>
          </cell>
          <cell r="S31">
            <v>8.5</v>
          </cell>
          <cell r="T31" t="str">
            <v>-</v>
          </cell>
          <cell r="U31">
            <v>8.25</v>
          </cell>
          <cell r="V31">
            <v>7.9</v>
          </cell>
          <cell r="W31">
            <v>7.98</v>
          </cell>
          <cell r="X31">
            <v>8.64</v>
          </cell>
          <cell r="Y31">
            <v>8.55</v>
          </cell>
          <cell r="Z31">
            <v>5.90689169</v>
          </cell>
          <cell r="AA31">
            <v>16.45669623</v>
          </cell>
          <cell r="AC31">
            <v>1.17966299569032</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v>
          </cell>
          <cell r="T32" t="str">
            <v>+</v>
          </cell>
          <cell r="U32">
            <v>18</v>
          </cell>
          <cell r="V32">
            <v>6</v>
          </cell>
          <cell r="W32">
            <v>8</v>
          </cell>
          <cell r="X32">
            <v>1</v>
          </cell>
          <cell r="Y32">
            <v>2</v>
          </cell>
          <cell r="Z32">
            <v>1</v>
          </cell>
          <cell r="AB32">
            <v>0</v>
          </cell>
          <cell r="AC32">
            <v>1.95984331828796</v>
          </cell>
        </row>
        <row r="33">
          <cell r="A33" t="str">
            <v>NJ Stimulus Capital Earnings ($M)</v>
          </cell>
          <cell r="B33" t="str">
            <v>H</v>
          </cell>
          <cell r="D33">
            <v>10.2</v>
          </cell>
          <cell r="E33" t="str">
            <v>ê</v>
          </cell>
          <cell r="F33">
            <v>9.1453803307598</v>
          </cell>
          <cell r="Q33">
            <v>1.34831087889794</v>
          </cell>
          <cell r="R33" t="str">
            <v>-</v>
          </cell>
          <cell r="S33">
            <v>1.09768948472987</v>
          </cell>
          <cell r="AC33">
            <v>1.10339408521963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v>
          </cell>
          <cell r="D36">
            <v>588.2</v>
          </cell>
          <cell r="E36" t="str">
            <v>ê</v>
          </cell>
          <cell r="F36">
            <v>565.361013</v>
          </cell>
          <cell r="G36">
            <v>57.642247</v>
          </cell>
          <cell r="H36">
            <v>72.520971</v>
          </cell>
          <cell r="I36">
            <v>70.654605</v>
          </cell>
          <cell r="J36">
            <v>65.823378</v>
          </cell>
          <cell r="K36">
            <v>9.794993</v>
          </cell>
          <cell r="L36">
            <v>11.990889</v>
          </cell>
          <cell r="M36">
            <v>251.603147</v>
          </cell>
          <cell r="N36">
            <v>25.149085</v>
          </cell>
        </row>
        <row r="37">
          <cell r="A37" t="str">
            <v>Accountability O&amp;M ($M)</v>
          </cell>
          <cell r="B37" t="str">
            <v>L</v>
          </cell>
          <cell r="C37">
            <v>271.939479705021</v>
          </cell>
          <cell r="D37">
            <v>336.1</v>
          </cell>
          <cell r="E37" t="str">
            <v>é</v>
          </cell>
          <cell r="F37">
            <v>287.135128885845</v>
          </cell>
          <cell r="G37">
            <v>26.3402976770746</v>
          </cell>
          <cell r="H37">
            <v>28.4004816585266</v>
          </cell>
          <cell r="I37">
            <v>22.2426664998682</v>
          </cell>
          <cell r="J37">
            <v>30.938273917605</v>
          </cell>
          <cell r="K37">
            <v>7.80427987458008</v>
          </cell>
          <cell r="L37">
            <v>24.488672795625</v>
          </cell>
          <cell r="M37">
            <v>30.8413264499091</v>
          </cell>
          <cell r="N37">
            <v>116.079130012656</v>
          </cell>
        </row>
        <row r="38">
          <cell r="A38" t="str">
            <v>Transmission Plant Additions and CWIP ($M)</v>
          </cell>
          <cell r="B38" t="str">
            <v>H</v>
          </cell>
          <cell r="C38">
            <v>8.87746253329838</v>
          </cell>
          <cell r="D38">
            <v>263</v>
          </cell>
          <cell r="E38" t="str">
            <v>é</v>
          </cell>
          <cell r="F38">
            <v>249.499520896</v>
          </cell>
          <cell r="L38">
            <v>9.2</v>
          </cell>
          <cell r="M38">
            <v>249.499520896</v>
          </cell>
        </row>
        <row r="39">
          <cell r="A39" t="str">
            <v>Total Average Inventory ($M)</v>
          </cell>
          <cell r="B39" t="str">
            <v>L</v>
          </cell>
          <cell r="C39">
            <v>61.2662658490909</v>
          </cell>
          <cell r="D39">
            <v>64</v>
          </cell>
          <cell r="E39" t="str">
            <v>ê</v>
          </cell>
          <cell r="F39">
            <v>66.9138687018182</v>
          </cell>
          <cell r="G39">
            <v>7.32359242454546</v>
          </cell>
          <cell r="H39">
            <v>9.48281899727273</v>
          </cell>
          <cell r="I39">
            <v>6.59890232454546</v>
          </cell>
          <cell r="J39">
            <v>6.4313446</v>
          </cell>
          <cell r="K39">
            <v>3.47770557272727</v>
          </cell>
          <cell r="L39">
            <v>66.9138687018182</v>
          </cell>
          <cell r="M39">
            <v>0.524506917272727</v>
          </cell>
          <cell r="N39">
            <v>0.470206140278159</v>
          </cell>
        </row>
        <row r="40">
          <cell r="A40" t="str">
            <v>Capital Projects' Results</v>
          </cell>
          <cell r="B40" t="str">
            <v>H</v>
          </cell>
          <cell r="C40">
            <v>0.722830605365215</v>
          </cell>
          <cell r="D40">
            <v>0.868</v>
          </cell>
          <cell r="E40" t="str">
            <v>ê</v>
          </cell>
          <cell r="F40">
            <v>0.45158641670101</v>
          </cell>
          <cell r="M40">
            <v>0.926447024657832</v>
          </cell>
          <cell r="N40">
            <v>0</v>
          </cell>
        </row>
        <row r="41">
          <cell r="A41" t="str">
            <v>Current Capital Performance</v>
          </cell>
          <cell r="B41" t="str">
            <v>H</v>
          </cell>
          <cell r="D41">
            <v>1</v>
          </cell>
          <cell r="E41" t="str">
            <v>é</v>
          </cell>
          <cell r="F41">
            <v>1.04740941414607</v>
          </cell>
          <cell r="M41">
            <v>1.04740941414607</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8.92094399318706</v>
          </cell>
          <cell r="D45">
            <v>8.9</v>
          </cell>
          <cell r="E45" t="str">
            <v>é</v>
          </cell>
          <cell r="F45">
            <v>8.95706021142788</v>
          </cell>
          <cell r="L45">
            <v>8.95706021142788</v>
          </cell>
        </row>
        <row r="46">
          <cell r="A46" t="str">
            <v>Non-Hazardous Waste</v>
          </cell>
          <cell r="B46" t="str">
            <v>H</v>
          </cell>
          <cell r="C46">
            <v>0.907326620714863</v>
          </cell>
          <cell r="D46">
            <v>0.938</v>
          </cell>
          <cell r="E46" t="str">
            <v>é</v>
          </cell>
          <cell r="F46">
            <v>0.966726482306401</v>
          </cell>
          <cell r="G46">
            <v>0.934015776640085</v>
          </cell>
          <cell r="H46">
            <v>0.955471718143785</v>
          </cell>
          <cell r="I46">
            <v>0.944517816944587</v>
          </cell>
          <cell r="J46">
            <v>0.942452631970255</v>
          </cell>
          <cell r="K46">
            <v>0.995592589141892</v>
          </cell>
          <cell r="L46">
            <v>0.762432512626001</v>
          </cell>
          <cell r="N46">
            <v>0.255522180823468</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v>
          </cell>
          <cell r="P55" t="str">
            <v>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8.92094399318706</v>
          </cell>
          <cell r="D55">
            <v>8.9</v>
          </cell>
          <cell r="E55" t="str">
            <v>é</v>
          </cell>
          <cell r="F55">
            <v>8.95706021142788</v>
          </cell>
        </row>
        <row r="56">
          <cell r="A56" t="str">
            <v>Renewable Energy Generated (kWh)</v>
          </cell>
          <cell r="B56" t="str">
            <v>H</v>
          </cell>
          <cell r="D56">
            <v>8479000</v>
          </cell>
          <cell r="E56" t="str">
            <v>ê</v>
          </cell>
          <cell r="F56">
            <v>4224148.31183333</v>
          </cell>
          <cell r="J56">
            <v>4224148.31183333</v>
          </cell>
        </row>
        <row r="57">
          <cell r="A57" t="str">
            <v>Non-Hazardous Waste</v>
          </cell>
          <cell r="B57" t="str">
            <v>L</v>
          </cell>
          <cell r="C57">
            <v>0.9689</v>
          </cell>
          <cell r="D57">
            <v>0.969</v>
          </cell>
          <cell r="E57" t="str">
            <v>é</v>
          </cell>
          <cell r="F57">
            <v>0.978838450151902</v>
          </cell>
          <cell r="G57">
            <v>0.7203</v>
          </cell>
          <cell r="H57">
            <v>0.991</v>
          </cell>
          <cell r="I57">
            <v>0.937824075158591</v>
          </cell>
        </row>
        <row r="58">
          <cell r="A58" t="str">
            <v>Energy Efficiency Energy Savings (kWh equivalent)</v>
          </cell>
          <cell r="B58" t="str">
            <v>H</v>
          </cell>
          <cell r="D58">
            <v>30373151</v>
          </cell>
          <cell r="E58" t="str">
            <v>é</v>
          </cell>
          <cell r="F58">
            <v>53534833.2867635</v>
          </cell>
          <cell r="J58">
            <v>53534833.2867635</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34.8</v>
          </cell>
          <cell r="P10" t="str">
            <v>Motor Vehicle Accident Rate</v>
          </cell>
          <cell r="Q10" t="str">
            <v>L</v>
          </cell>
          <cell r="R10">
            <v>4.09</v>
          </cell>
          <cell r="S10">
            <v>3.21</v>
          </cell>
          <cell r="T10" t="str">
            <v>-</v>
          </cell>
          <cell r="U10">
            <v>9.82</v>
          </cell>
          <cell r="V10">
            <v>0</v>
          </cell>
          <cell r="W10">
            <v>9.8</v>
          </cell>
          <cell r="X10">
            <v>0</v>
          </cell>
          <cell r="Y10">
            <v>0</v>
          </cell>
          <cell r="Z10">
            <v>337</v>
          </cell>
          <cell r="AA10">
            <v>0</v>
          </cell>
          <cell r="AB10">
            <v>0</v>
          </cell>
          <cell r="AC10">
            <v>0</v>
          </cell>
        </row>
        <row r="11">
          <cell r="A11" t="str">
            <v>Availability - Illness</v>
          </cell>
          <cell r="B11" t="str">
            <v>H</v>
          </cell>
          <cell r="C11">
            <v>0.946</v>
          </cell>
          <cell r="D11">
            <v>0.973</v>
          </cell>
          <cell r="E11" t="str">
            <v>é</v>
          </cell>
          <cell r="F11">
            <v>0.955</v>
          </cell>
          <cell r="G11">
            <v>0.949</v>
          </cell>
          <cell r="H11">
            <v>0.959</v>
          </cell>
          <cell r="I11">
            <v>0.957</v>
          </cell>
          <cell r="J11">
            <v>0.938</v>
          </cell>
          <cell r="K11">
            <v>0.957</v>
          </cell>
          <cell r="L11">
            <v>0.997</v>
          </cell>
          <cell r="M11">
            <v>1</v>
          </cell>
          <cell r="N11">
            <v>0.991</v>
          </cell>
          <cell r="P11" t="str">
            <v>Availability - Illness</v>
          </cell>
          <cell r="Q11" t="str">
            <v>H</v>
          </cell>
          <cell r="R11">
            <v>0.939</v>
          </cell>
          <cell r="S11">
            <v>0.973</v>
          </cell>
          <cell r="T11" t="str">
            <v>-</v>
          </cell>
          <cell r="U11">
            <v>0.956</v>
          </cell>
          <cell r="V11">
            <v>0.944</v>
          </cell>
          <cell r="W11">
            <v>0.967</v>
          </cell>
          <cell r="X11">
            <v>0.958</v>
          </cell>
          <cell r="Y11">
            <v>0.938</v>
          </cell>
          <cell r="Z11">
            <v>0.967</v>
          </cell>
          <cell r="AA11">
            <v>0.995</v>
          </cell>
          <cell r="AB11">
            <v>1</v>
          </cell>
          <cell r="AC11">
            <v>0.992</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0.208</v>
          </cell>
          <cell r="H13">
            <v>0.059</v>
          </cell>
          <cell r="I13">
            <v>0.165</v>
          </cell>
          <cell r="J13">
            <v>0.087</v>
          </cell>
          <cell r="K13">
            <v>0.005</v>
          </cell>
          <cell r="L13">
            <v>0.032</v>
          </cell>
          <cell r="M13">
            <v>0</v>
          </cell>
          <cell r="N13">
            <v>0.036</v>
          </cell>
          <cell r="P13" t="str">
            <v>Employee Technical Trng - BU</v>
          </cell>
          <cell r="Q13" t="str">
            <v>H</v>
          </cell>
          <cell r="R13" t="str">
            <v>Qtrly</v>
          </cell>
          <cell r="S13" t="str">
            <v>Qtrly</v>
          </cell>
          <cell r="T13" t="str">
            <v>+</v>
          </cell>
          <cell r="U13" t="str">
            <v>Qtrly</v>
          </cell>
          <cell r="V13">
            <v>0.139</v>
          </cell>
          <cell r="W13">
            <v>0.059</v>
          </cell>
          <cell r="X13">
            <v>0.138</v>
          </cell>
          <cell r="Y13">
            <v>0.059</v>
          </cell>
          <cell r="Z13">
            <v>0.006</v>
          </cell>
          <cell r="AA13">
            <v>0.028</v>
          </cell>
          <cell r="AB13">
            <v>0</v>
          </cell>
          <cell r="AC13">
            <v>0.009</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0.991</v>
          </cell>
          <cell r="H15">
            <v>0.998</v>
          </cell>
          <cell r="I15">
            <v>0.973</v>
          </cell>
          <cell r="J15">
            <v>0.976</v>
          </cell>
          <cell r="K15">
            <v>0.98</v>
          </cell>
          <cell r="L15">
            <v>1</v>
          </cell>
          <cell r="M15">
            <v>1</v>
          </cell>
          <cell r="N15">
            <v>0.962</v>
          </cell>
          <cell r="P15" t="str">
            <v>Employee Standards of Conduct Results</v>
          </cell>
          <cell r="Q15" t="str">
            <v>H</v>
          </cell>
          <cell r="R15" t="str">
            <v>Qtrly</v>
          </cell>
          <cell r="S15" t="str">
            <v>Qtrly</v>
          </cell>
          <cell r="T15" t="str">
            <v>+</v>
          </cell>
          <cell r="U15" t="str">
            <v>Qtrly</v>
          </cell>
          <cell r="V15">
            <v>0.991</v>
          </cell>
          <cell r="W15">
            <v>0.998</v>
          </cell>
          <cell r="X15">
            <v>0.973</v>
          </cell>
          <cell r="Y15">
            <v>0.976</v>
          </cell>
          <cell r="Z15">
            <v>0.98</v>
          </cell>
          <cell r="AA15">
            <v>1</v>
          </cell>
          <cell r="AB15">
            <v>1</v>
          </cell>
          <cell r="AC15">
            <v>0.962</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0.492</v>
          </cell>
          <cell r="E17" t="str">
            <v>é</v>
          </cell>
          <cell r="P17" t="str">
            <v>SAFE (reliable)</v>
          </cell>
          <cell r="Q17" t="str">
            <v>Customer Operations</v>
          </cell>
          <cell r="S17">
            <v>0.492</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v>
          </cell>
          <cell r="D8">
            <v>1.39</v>
          </cell>
          <cell r="E8" t="str">
            <v>é</v>
          </cell>
          <cell r="F8">
            <v>1.99619613736047</v>
          </cell>
          <cell r="G8">
            <v>3.86767398086791</v>
          </cell>
          <cell r="H8">
            <v>3.58815192235239</v>
          </cell>
          <cell r="I8">
            <v>0</v>
          </cell>
          <cell r="J8">
            <v>2.3933035367043</v>
          </cell>
          <cell r="K8">
            <v>0</v>
          </cell>
          <cell r="L8">
            <v>1.5976993129893</v>
          </cell>
          <cell r="M8">
            <v>0</v>
          </cell>
          <cell r="N8">
            <v>0</v>
          </cell>
          <cell r="P8" t="str">
            <v>OSHA Recordable Incidence Rate</v>
          </cell>
          <cell r="Q8" t="str">
            <v>L</v>
          </cell>
          <cell r="R8">
            <v>1.38709401492051</v>
          </cell>
          <cell r="S8">
            <v>1.39</v>
          </cell>
          <cell r="T8" t="str">
            <v>+</v>
          </cell>
          <cell r="U8">
            <v>1.87698256283199</v>
          </cell>
          <cell r="V8">
            <v>8.03169843649604</v>
          </cell>
          <cell r="W8">
            <v>0</v>
          </cell>
          <cell r="X8">
            <v>0</v>
          </cell>
          <cell r="Y8">
            <v>0</v>
          </cell>
          <cell r="Z8">
            <v>0</v>
          </cell>
          <cell r="AA8">
            <v>3.43265137992585</v>
          </cell>
          <cell r="AB8">
            <v>0</v>
          </cell>
          <cell r="AC8">
            <v>0</v>
          </cell>
        </row>
        <row r="9">
          <cell r="A9" t="str">
            <v>OSHA Days Away Rate (Severity)</v>
          </cell>
          <cell r="B9" t="str">
            <v>L</v>
          </cell>
          <cell r="C9">
            <v>5.27920970230756</v>
          </cell>
          <cell r="D9">
            <v>6.96</v>
          </cell>
          <cell r="E9" t="str">
            <v>é</v>
          </cell>
          <cell r="F9">
            <v>9.98098068680237</v>
          </cell>
          <cell r="G9">
            <v>16.7599205837609</v>
          </cell>
          <cell r="H9">
            <v>38.2736205050922</v>
          </cell>
          <cell r="I9">
            <v>0</v>
          </cell>
          <cell r="J9">
            <v>0</v>
          </cell>
          <cell r="K9">
            <v>0</v>
          </cell>
          <cell r="L9">
            <v>0</v>
          </cell>
          <cell r="M9">
            <v>0</v>
          </cell>
          <cell r="N9">
            <v>0</v>
          </cell>
          <cell r="P9" t="str">
            <v>OSHA Days Away Rate (Severity)</v>
          </cell>
          <cell r="Q9" t="str">
            <v>L</v>
          </cell>
          <cell r="R9">
            <v>0.924729343280339</v>
          </cell>
          <cell r="S9">
            <v>6.96</v>
          </cell>
          <cell r="T9" t="str">
            <v>+</v>
          </cell>
          <cell r="U9">
            <v>19.2390712690279</v>
          </cell>
          <cell r="V9">
            <v>34.8040265581495</v>
          </cell>
          <cell r="W9">
            <v>72.5999870357166</v>
          </cell>
          <cell r="X9">
            <v>0</v>
          </cell>
          <cell r="Y9">
            <v>0</v>
          </cell>
          <cell r="Z9">
            <v>0</v>
          </cell>
          <cell r="AA9">
            <v>0</v>
          </cell>
          <cell r="AB9">
            <v>0</v>
          </cell>
          <cell r="AC9">
            <v>0</v>
          </cell>
        </row>
        <row r="10">
          <cell r="A10" t="str">
            <v>Motor Vehicle Accident Rate</v>
          </cell>
          <cell r="B10" t="str">
            <v>L</v>
          </cell>
          <cell r="C10">
            <v>8.20904658348404</v>
          </cell>
          <cell r="D10">
            <v>3.88</v>
          </cell>
          <cell r="E10" t="str">
            <v>é</v>
          </cell>
          <cell r="F10">
            <v>5.20581515581981</v>
          </cell>
          <cell r="G10">
            <v>4.196132843971</v>
          </cell>
          <cell r="H10">
            <v>6.30467996393723</v>
          </cell>
          <cell r="I10">
            <v>11.1135807957324</v>
          </cell>
          <cell r="J10">
            <v>3.04540547289818</v>
          </cell>
          <cell r="K10">
            <v>0</v>
          </cell>
          <cell r="L10">
            <v>10.2373006285703</v>
          </cell>
          <cell r="M10">
            <v>0</v>
          </cell>
          <cell r="N10">
            <v>6.60742013280914</v>
          </cell>
          <cell r="P10" t="str">
            <v>Motor Vehicle Accident Rate</v>
          </cell>
          <cell r="Q10" t="str">
            <v>L</v>
          </cell>
          <cell r="R10">
            <v>7.4125302894519</v>
          </cell>
          <cell r="S10">
            <v>2.75345558676139</v>
          </cell>
          <cell r="T10" t="str">
            <v>+</v>
          </cell>
          <cell r="U10">
            <v>5.21779738510084</v>
          </cell>
          <cell r="V10">
            <v>0</v>
          </cell>
          <cell r="W10">
            <v>13.5032948039322</v>
          </cell>
          <cell r="X10">
            <v>7.99277453182323</v>
          </cell>
          <cell r="Y10">
            <v>6.25240326750595</v>
          </cell>
          <cell r="Z10">
            <v>0</v>
          </cell>
          <cell r="AA10">
            <v>10.0052027054068</v>
          </cell>
          <cell r="AB10">
            <v>0</v>
          </cell>
          <cell r="AC10">
            <v>0</v>
          </cell>
        </row>
        <row r="11">
          <cell r="A11" t="str">
            <v>Availability - Illness</v>
          </cell>
          <cell r="B11" t="str">
            <v>H</v>
          </cell>
          <cell r="C11">
            <v>0.960385124165684</v>
          </cell>
          <cell r="D11">
            <v>0.973</v>
          </cell>
          <cell r="E11" t="str">
            <v>é</v>
          </cell>
          <cell r="F11">
            <v>0.961048635269532</v>
          </cell>
          <cell r="G11">
            <v>0.957594590243117</v>
          </cell>
          <cell r="H11">
            <v>0.959253676275398</v>
          </cell>
          <cell r="I11">
            <v>0.956185956949316</v>
          </cell>
          <cell r="J11">
            <v>0.959124255605461</v>
          </cell>
          <cell r="K11">
            <v>0.988492737219393</v>
          </cell>
          <cell r="L11">
            <v>0.964784575462876</v>
          </cell>
          <cell r="M11">
            <v>0.973863843767111</v>
          </cell>
          <cell r="N11">
            <v>0.961723116316096</v>
          </cell>
          <cell r="P11" t="str">
            <v>Availability - Illness</v>
          </cell>
          <cell r="Q11" t="str">
            <v>H</v>
          </cell>
          <cell r="R11">
            <v>0.958620182527898</v>
          </cell>
          <cell r="S11">
            <v>0.973</v>
          </cell>
          <cell r="T11" t="str">
            <v>+</v>
          </cell>
          <cell r="U11">
            <v>0.959920200812408</v>
          </cell>
          <cell r="V11">
            <v>0.958503921555359</v>
          </cell>
          <cell r="W11">
            <v>0.956654270042624</v>
          </cell>
          <cell r="X11">
            <v>0.9573885848319</v>
          </cell>
          <cell r="Y11">
            <v>0.958214343311541</v>
          </cell>
          <cell r="Z11">
            <v>0.99512099921936</v>
          </cell>
          <cell r="AA11">
            <v>0.960084552835544</v>
          </cell>
          <cell r="AB11">
            <v>0.970480827754108</v>
          </cell>
          <cell r="AC11">
            <v>0.95987557233232</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v>
          </cell>
          <cell r="G14">
            <v>0.234059725585149</v>
          </cell>
          <cell r="H14">
            <v>0.138823529411765</v>
          </cell>
          <cell r="I14">
            <v>0.112781954887218</v>
          </cell>
          <cell r="J14">
            <v>0.0746268656716418</v>
          </cell>
          <cell r="K14">
            <v>0.163339382940109</v>
          </cell>
          <cell r="L14">
            <v>0.0974025974025974</v>
          </cell>
          <cell r="M14">
            <v>0.0277777777777778</v>
          </cell>
          <cell r="N14">
            <v>0.219005052467936</v>
          </cell>
          <cell r="P14" t="str">
            <v>Employee Development - MAST</v>
          </cell>
          <cell r="Q14" t="str">
            <v>H</v>
          </cell>
          <cell r="R14">
            <v>0.59</v>
          </cell>
          <cell r="S14">
            <v>0.2375</v>
          </cell>
          <cell r="T14" t="str">
            <v>+</v>
          </cell>
          <cell r="U14">
            <v>0.14895863540714</v>
          </cell>
          <cell r="V14">
            <v>0.265267688996503</v>
          </cell>
          <cell r="W14">
            <v>0.138823529411765</v>
          </cell>
          <cell r="X14">
            <v>0.120300751879699</v>
          </cell>
          <cell r="Y14">
            <v>0.0746268656716418</v>
          </cell>
          <cell r="Z14">
            <v>0.163339382940109</v>
          </cell>
          <cell r="AA14">
            <v>0.123376623376623</v>
          </cell>
          <cell r="AB14">
            <v>0.0277777777777778</v>
          </cell>
          <cell r="AC14">
            <v>0.242469879518072</v>
          </cell>
        </row>
        <row r="15">
          <cell r="A15" t="str">
            <v>Employee Technical Trng - BU</v>
          </cell>
          <cell r="B15" t="str">
            <v>H</v>
          </cell>
          <cell r="C15" t="str">
            <v>Qtrly</v>
          </cell>
          <cell r="D15">
            <v>1</v>
          </cell>
          <cell r="E15" t="str">
            <v>é</v>
          </cell>
          <cell r="F15">
            <v>0.0100774882563135</v>
          </cell>
          <cell r="G15">
            <v>0.00204043776664812</v>
          </cell>
          <cell r="H15">
            <v>0.000773395204949729</v>
          </cell>
          <cell r="I15">
            <v>0.00773395204949729</v>
          </cell>
          <cell r="J15">
            <v>0.000329924117452986</v>
          </cell>
          <cell r="K15">
            <v>0.00298507462686567</v>
          </cell>
          <cell r="L15">
            <v>0.0238095238095238</v>
          </cell>
          <cell r="M15">
            <v>0.255009107468124</v>
          </cell>
          <cell r="N15">
            <v>0.983514492753623</v>
          </cell>
          <cell r="P15" t="str">
            <v>Employee Technical Trng - BU</v>
          </cell>
          <cell r="Q15" t="str">
            <v>H</v>
          </cell>
          <cell r="S15">
            <v>0.25</v>
          </cell>
          <cell r="T15" t="str">
            <v>+</v>
          </cell>
          <cell r="U15">
            <v>0.32260007226884</v>
          </cell>
          <cell r="V15">
            <v>0.358375069560378</v>
          </cell>
          <cell r="W15">
            <v>0.323859242072699</v>
          </cell>
          <cell r="X15">
            <v>0.205336426914153</v>
          </cell>
          <cell r="Y15">
            <v>0.317881887165952</v>
          </cell>
          <cell r="Z15">
            <v>0.107462686567164</v>
          </cell>
          <cell r="AA15">
            <v>0.39622641509434</v>
          </cell>
          <cell r="AB15">
            <v>0.948998178506375</v>
          </cell>
        </row>
        <row r="16">
          <cell r="A16" t="str">
            <v>Hours To Work</v>
          </cell>
          <cell r="B16" t="str">
            <v>L</v>
          </cell>
          <cell r="C16">
            <v>1.09060357574943</v>
          </cell>
          <cell r="D16" t="str">
            <v>NT</v>
          </cell>
          <cell r="E16" t="str">
            <v>é</v>
          </cell>
          <cell r="F16">
            <v>0.102905119751775</v>
          </cell>
          <cell r="G16">
            <v>0.052625478292472</v>
          </cell>
          <cell r="H16">
            <v>0.118512848315224</v>
          </cell>
          <cell r="I16">
            <v>0.183474405611213</v>
          </cell>
          <cell r="J16">
            <v>0.0719778745786753</v>
          </cell>
          <cell r="K16">
            <v>0.0635764045251492</v>
          </cell>
          <cell r="L16">
            <v>0.989189189189189</v>
          </cell>
          <cell r="M16">
            <v>1.75136612021858</v>
          </cell>
          <cell r="P16" t="str">
            <v>Hours To Work</v>
          </cell>
          <cell r="Q16" t="str">
            <v>L</v>
          </cell>
          <cell r="T16" t="str">
            <v>+</v>
          </cell>
        </row>
        <row r="17">
          <cell r="A17" t="str">
            <v>Hours To Work</v>
          </cell>
          <cell r="B17" t="str">
            <v>L</v>
          </cell>
          <cell r="D17" t="str">
            <v>NT</v>
          </cell>
          <cell r="E17" t="str">
            <v>é</v>
          </cell>
          <cell r="F17">
            <v>0.0317380011229133</v>
          </cell>
          <cell r="G17">
            <v>0.0455820442432638</v>
          </cell>
          <cell r="H17">
            <v>0.0321794581275543</v>
          </cell>
          <cell r="I17">
            <v>0.0248603232218118</v>
          </cell>
          <cell r="J17">
            <v>0.0166487182721358</v>
          </cell>
          <cell r="K17">
            <v>0.220591194685375</v>
          </cell>
          <cell r="P17" t="str">
            <v>Hours To Work</v>
          </cell>
          <cell r="Q17" t="str">
            <v>L</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2.01</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75.85</v>
          </cell>
          <cell r="U9">
            <v>0</v>
          </cell>
          <cell r="V9">
            <v>0</v>
          </cell>
          <cell r="W9">
            <v>0</v>
          </cell>
        </row>
        <row r="10">
          <cell r="A10" t="str">
            <v>Motor Vehicle Accident Rate</v>
          </cell>
          <cell r="B10" t="str">
            <v>L</v>
          </cell>
          <cell r="C10">
            <v>6.34</v>
          </cell>
          <cell r="D10">
            <v>2.98</v>
          </cell>
          <cell r="E10" t="str">
            <v>é</v>
          </cell>
          <cell r="F10">
            <v>2.53</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0.966</v>
          </cell>
          <cell r="D12">
            <v>0.973</v>
          </cell>
          <cell r="E12" t="str">
            <v>é</v>
          </cell>
          <cell r="F12">
            <v>0.963</v>
          </cell>
          <cell r="G12">
            <v>0.970991000415194</v>
          </cell>
          <cell r="H12">
            <v>0.953934224996149</v>
          </cell>
          <cell r="I12">
            <v>0.962</v>
          </cell>
          <cell r="J12">
            <v>0.951</v>
          </cell>
          <cell r="K12">
            <v>0.98</v>
          </cell>
          <cell r="M12" t="str">
            <v>Availability - Illness</v>
          </cell>
          <cell r="N12" t="str">
            <v>L</v>
          </cell>
          <cell r="O12">
            <v>0.962</v>
          </cell>
          <cell r="P12">
            <v>0.973</v>
          </cell>
          <cell r="Q12" t="str">
            <v>-</v>
          </cell>
          <cell r="R12">
            <v>0.964</v>
          </cell>
          <cell r="S12">
            <v>0.970838164086476</v>
          </cell>
          <cell r="T12">
            <v>0.953662760425747</v>
          </cell>
          <cell r="U12">
            <v>0.962</v>
          </cell>
          <cell r="V12">
            <v>0.953</v>
          </cell>
          <cell r="W12">
            <v>0.986</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v>
          </cell>
          <cell r="I8">
            <v>1.77161946434128</v>
          </cell>
          <cell r="J8">
            <v>0</v>
          </cell>
          <cell r="L8" t="str">
            <v>OSHA Recordable Incidence Rate</v>
          </cell>
          <cell r="M8" t="str">
            <v>L</v>
          </cell>
          <cell r="N8">
            <v>1.43724918718425</v>
          </cell>
          <cell r="O8">
            <v>1.8</v>
          </cell>
          <cell r="P8" t="str">
            <v>+</v>
          </cell>
          <cell r="Q8">
            <v>1.33</v>
          </cell>
          <cell r="R8">
            <v>0.79</v>
          </cell>
          <cell r="S8">
            <v>2.24</v>
          </cell>
          <cell r="T8">
            <v>0.922712345233747</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19.4878141077541</v>
          </cell>
          <cell r="J9">
            <v>0</v>
          </cell>
          <cell r="L9" t="str">
            <v>OSHA Days Away Rate (Severity)</v>
          </cell>
          <cell r="M9" t="str">
            <v>L</v>
          </cell>
          <cell r="N9">
            <v>13.67</v>
          </cell>
          <cell r="O9">
            <v>7.94</v>
          </cell>
          <cell r="P9" t="str">
            <v>-</v>
          </cell>
          <cell r="Q9">
            <v>13.67</v>
          </cell>
          <cell r="R9">
            <v>11.84</v>
          </cell>
          <cell r="S9">
            <v>3.36</v>
          </cell>
          <cell r="T9">
            <v>23.5291648034605</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v>
          </cell>
          <cell r="J10">
            <v>7.44</v>
          </cell>
          <cell r="L10" t="str">
            <v>Motor Vehicle Accident Rate</v>
          </cell>
          <cell r="M10" t="str">
            <v>L</v>
          </cell>
          <cell r="N10">
            <v>3.08</v>
          </cell>
          <cell r="O10">
            <v>3.42</v>
          </cell>
          <cell r="P10" t="str">
            <v>-</v>
          </cell>
          <cell r="Q10">
            <v>5.47</v>
          </cell>
          <cell r="R10">
            <v>10.02</v>
          </cell>
          <cell r="S10">
            <v>4.34330233824094</v>
          </cell>
          <cell r="T10">
            <v>5.53273685819388</v>
          </cell>
          <cell r="U10">
            <v>0</v>
          </cell>
          <cell r="V10" t="str">
            <v>M</v>
          </cell>
        </row>
        <row r="11">
          <cell r="A11" t="str">
            <v>Availability - Illness</v>
          </cell>
          <cell r="B11" t="str">
            <v>H</v>
          </cell>
          <cell r="C11">
            <v>0.966</v>
          </cell>
          <cell r="D11">
            <v>0.973</v>
          </cell>
          <cell r="E11" t="str">
            <v>ê</v>
          </cell>
          <cell r="F11">
            <v>0.965</v>
          </cell>
          <cell r="G11">
            <v>0.956</v>
          </cell>
          <cell r="H11">
            <v>0.969</v>
          </cell>
          <cell r="I11">
            <v>0.967933358425882</v>
          </cell>
          <cell r="J11">
            <v>0.979</v>
          </cell>
          <cell r="L11" t="str">
            <v>Availability - Illness</v>
          </cell>
          <cell r="M11" t="str">
            <v>H</v>
          </cell>
          <cell r="N11">
            <v>0.972</v>
          </cell>
          <cell r="O11">
            <v>0.973</v>
          </cell>
          <cell r="P11" t="str">
            <v>-</v>
          </cell>
          <cell r="Q11">
            <v>0.969</v>
          </cell>
          <cell r="R11">
            <v>0.956</v>
          </cell>
          <cell r="S11">
            <v>0.972</v>
          </cell>
          <cell r="T11">
            <v>0.974979106787555</v>
          </cell>
          <cell r="U11">
            <v>0.969</v>
          </cell>
          <cell r="V11" t="str">
            <v>M</v>
          </cell>
        </row>
        <row r="12">
          <cell r="A12" t="str">
            <v>Overtime</v>
          </cell>
          <cell r="B12" t="str">
            <v>L</v>
          </cell>
          <cell r="C12">
            <v>0.169</v>
          </cell>
          <cell r="D12">
            <v>0.113</v>
          </cell>
          <cell r="E12" t="str">
            <v>ê</v>
          </cell>
          <cell r="F12">
            <v>0.166</v>
          </cell>
          <cell r="G12">
            <v>0.121</v>
          </cell>
          <cell r="H12">
            <v>0.1604</v>
          </cell>
          <cell r="I12">
            <v>0.202639912874082</v>
          </cell>
          <cell r="J12">
            <v>0</v>
          </cell>
          <cell r="L12" t="str">
            <v>Overtime</v>
          </cell>
          <cell r="M12" t="str">
            <v>L</v>
          </cell>
          <cell r="N12">
            <v>0.182</v>
          </cell>
          <cell r="O12">
            <v>0.113</v>
          </cell>
          <cell r="P12" t="str">
            <v>+</v>
          </cell>
          <cell r="Q12">
            <v>0.197</v>
          </cell>
          <cell r="R12">
            <v>0.098</v>
          </cell>
          <cell r="S12">
            <v>0.2524</v>
          </cell>
          <cell r="T12">
            <v>0.219973473658148</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v>
          </cell>
          <cell r="P13" t="str">
            <v> </v>
          </cell>
          <cell r="V13" t="str">
            <v>M</v>
          </cell>
        </row>
        <row r="14">
          <cell r="A14" t="str">
            <v>Employee Development - MAST</v>
          </cell>
          <cell r="B14" t="str">
            <v>H</v>
          </cell>
          <cell r="C14">
            <v>0.722</v>
          </cell>
          <cell r="D14">
            <v>0.95</v>
          </cell>
          <cell r="E14" t="str">
            <v>é</v>
          </cell>
          <cell r="F14">
            <v>0.7693</v>
          </cell>
          <cell r="G14">
            <v>0.78</v>
          </cell>
          <cell r="H14">
            <v>0.859</v>
          </cell>
          <cell r="I14">
            <v>0.741127106227106</v>
          </cell>
          <cell r="J14">
            <v>0.559</v>
          </cell>
          <cell r="L14" t="str">
            <v>Employee Development - MAST</v>
          </cell>
          <cell r="M14" t="str">
            <v>H</v>
          </cell>
          <cell r="N14">
            <v>0</v>
          </cell>
          <cell r="O14" t="str">
            <v> </v>
          </cell>
          <cell r="P14" t="str">
            <v>+</v>
          </cell>
          <cell r="Q14">
            <v>0</v>
          </cell>
          <cell r="R14">
            <v>0.78</v>
          </cell>
          <cell r="S14">
            <v>0</v>
          </cell>
          <cell r="T14">
            <v>0.741127106227106</v>
          </cell>
          <cell r="U14">
            <v>0.05</v>
          </cell>
          <cell r="V14" t="str">
            <v>Q</v>
          </cell>
        </row>
        <row r="15">
          <cell r="A15" t="str">
            <v>Succession Planning</v>
          </cell>
          <cell r="B15" t="str">
            <v>H</v>
          </cell>
          <cell r="C15">
            <v>0.646153846153846</v>
          </cell>
          <cell r="D15">
            <v>0.738</v>
          </cell>
          <cell r="E15" t="str">
            <v>é</v>
          </cell>
          <cell r="F15">
            <v>0.73015873015873</v>
          </cell>
          <cell r="L15" t="str">
            <v>Succession Planning</v>
          </cell>
          <cell r="M15" t="str">
            <v>H</v>
          </cell>
          <cell r="P15" t="str">
            <v>-</v>
          </cell>
          <cell r="Q15">
            <v>0.738076923076923</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v>
          </cell>
          <cell r="D17">
            <v>1</v>
          </cell>
          <cell r="E17" t="str">
            <v>é</v>
          </cell>
          <cell r="F17">
            <v>0.783393979959194</v>
          </cell>
          <cell r="G17">
            <v>1.02</v>
          </cell>
          <cell r="H17">
            <v>0.9641</v>
          </cell>
          <cell r="I17">
            <v>0.82999940992506</v>
          </cell>
          <cell r="L17" t="str">
            <v>Employee Technical Training - BU</v>
          </cell>
          <cell r="M17" t="str">
            <v>H</v>
          </cell>
          <cell r="N17">
            <v>0.2</v>
          </cell>
          <cell r="O17" t="str">
            <v> </v>
          </cell>
          <cell r="P17" t="str">
            <v>-</v>
          </cell>
          <cell r="Q17">
            <v>0.783393979959194</v>
          </cell>
          <cell r="R17" t="str">
            <v>Quarterly</v>
          </cell>
          <cell r="S17">
            <v>0</v>
          </cell>
          <cell r="T17">
            <v>0.311913613028855</v>
          </cell>
          <cell r="V17" t="str">
            <v>Q</v>
          </cell>
        </row>
        <row r="18">
          <cell r="A18" t="str">
            <v>Fringe Benefit Rate</v>
          </cell>
          <cell r="B18" t="str">
            <v>L</v>
          </cell>
          <cell r="C18">
            <v>0.309419355115274</v>
          </cell>
          <cell r="D18">
            <v>0.5045</v>
          </cell>
          <cell r="E18" t="str">
            <v>é</v>
          </cell>
          <cell r="F18">
            <v>0.484804345424717</v>
          </cell>
          <cell r="L18" t="str">
            <v>Fringe Benefit Rate</v>
          </cell>
          <cell r="M18" t="str">
            <v>L</v>
          </cell>
          <cell r="N18">
            <v>0.309419355115274</v>
          </cell>
          <cell r="Q18">
            <v>0.484804345424717</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0.984</v>
          </cell>
          <cell r="G10" t="str">
            <v>é</v>
          </cell>
          <cell r="H10">
            <v>0.994</v>
          </cell>
          <cell r="I10" t="str">
            <v>H</v>
          </cell>
          <cell r="J10" t="str">
            <v>Availability - Illness</v>
          </cell>
          <cell r="K10" t="str">
            <v>H</v>
          </cell>
          <cell r="L10" t="str">
            <v>¡</v>
          </cell>
          <cell r="M10">
            <v>0.984</v>
          </cell>
        </row>
        <row r="11">
          <cell r="A11" t="str">
            <v>Staffing Levels - Total </v>
          </cell>
          <cell r="B11" t="str">
            <v>*</v>
          </cell>
          <cell r="C11" t="str">
            <v>*</v>
          </cell>
          <cell r="D11" t="str">
            <v>L</v>
          </cell>
          <cell r="E11" t="str">
            <v>é</v>
          </cell>
          <cell r="F11">
            <v>17</v>
          </cell>
          <cell r="G11" t="str">
            <v>é</v>
          </cell>
          <cell r="H11">
            <v>17</v>
          </cell>
          <cell r="I11" t="str">
            <v>L</v>
          </cell>
          <cell r="J11" t="str">
            <v>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H </v>
          </cell>
          <cell r="E17" t="str">
            <v>é</v>
          </cell>
          <cell r="F17">
            <v>19.17</v>
          </cell>
          <cell r="G17" t="str">
            <v>é</v>
          </cell>
          <cell r="H17">
            <v>9.693023</v>
          </cell>
          <cell r="I17" t="str">
            <v>L</v>
          </cell>
          <cell r="J17" t="str">
            <v>Solar Loan Program - Approved Capacity (DC MW) (NOT CLOSED)</v>
          </cell>
          <cell r="K17" t="str">
            <v>H </v>
          </cell>
          <cell r="L17" t="str">
            <v>+</v>
          </cell>
          <cell r="M17">
            <v>1.198125</v>
          </cell>
          <cell r="N17" t="str">
            <v>-</v>
          </cell>
          <cell r="O17">
            <v>0.52988</v>
          </cell>
          <cell r="R17" t="str">
            <v>Reported Monthly</v>
          </cell>
        </row>
        <row r="18">
          <cell r="A18" t="str">
            <v>Solar Loan Prog - Avg Time to Approve</v>
          </cell>
          <cell r="B18" t="str">
            <v>*</v>
          </cell>
          <cell r="D18" t="str">
            <v>L</v>
          </cell>
          <cell r="E18" t="str">
            <v>é</v>
          </cell>
          <cell r="F18">
            <v>56</v>
          </cell>
          <cell r="G18" t="str">
            <v>é</v>
          </cell>
          <cell r="H18">
            <v>63.963963963964</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Standard Offer Maintenance Audits Completed </v>
          </cell>
          <cell r="B21" t="str">
            <v>*</v>
          </cell>
          <cell r="C21" t="str">
            <v>*</v>
          </cell>
          <cell r="D21" t="str">
            <v>H </v>
          </cell>
          <cell r="E21">
            <v>42</v>
          </cell>
          <cell r="F21">
            <v>77</v>
          </cell>
          <cell r="G21" t="str">
            <v>é</v>
          </cell>
          <cell r="H21">
            <v>47</v>
          </cell>
          <cell r="J21" t="str">
            <v>Standard Offer Maintenance Audits Completed </v>
          </cell>
          <cell r="K21" t="str">
            <v>H </v>
          </cell>
          <cell r="L21">
            <v>14</v>
          </cell>
          <cell r="M21">
            <v>77</v>
          </cell>
          <cell r="N21" t="str">
            <v>¡</v>
          </cell>
          <cell r="O21">
            <v>8</v>
          </cell>
          <cell r="R21" t="str">
            <v>Reported Monthly</v>
          </cell>
        </row>
        <row r="22">
          <cell r="A22" t="str">
            <v>Standard Offer Inspections Completed </v>
          </cell>
          <cell r="B22" t="str">
            <v>*</v>
          </cell>
          <cell r="D22" t="str">
            <v>H </v>
          </cell>
          <cell r="E22" t="str">
            <v>é</v>
          </cell>
          <cell r="F22">
            <v>308</v>
          </cell>
          <cell r="G22" t="str">
            <v>é</v>
          </cell>
          <cell r="H22">
            <v>158</v>
          </cell>
          <cell r="I22" t="str">
            <v>H</v>
          </cell>
          <cell r="J22" t="str">
            <v>Standard Offer Inspections Completed </v>
          </cell>
          <cell r="K22" t="str">
            <v>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0.994</v>
          </cell>
          <cell r="T18">
            <v>0.994</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0.209</v>
          </cell>
          <cell r="D20">
            <v>0.222</v>
          </cell>
          <cell r="E20" t="str">
            <v>é</v>
          </cell>
          <cell r="F20">
            <v>0.189</v>
          </cell>
          <cell r="G20">
            <v>0.247</v>
          </cell>
          <cell r="H20">
            <v>0.236</v>
          </cell>
          <cell r="I20">
            <v>0.13</v>
          </cell>
          <cell r="M20" t="str">
            <v>Gas Leak Reports Per Mile</v>
          </cell>
          <cell r="N20" t="str">
            <v>L</v>
          </cell>
          <cell r="O20">
            <v>0.012</v>
          </cell>
          <cell r="P20">
            <v>0.222</v>
          </cell>
          <cell r="Q20" t="str">
            <v>+</v>
          </cell>
          <cell r="R20">
            <v>0.013</v>
          </cell>
          <cell r="S20">
            <v>0.021</v>
          </cell>
          <cell r="T20">
            <v>0.015</v>
          </cell>
          <cell r="U20">
            <v>0.007</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0.951</v>
          </cell>
          <cell r="D22">
            <v>0.951</v>
          </cell>
          <cell r="E22" t="str">
            <v>ê</v>
          </cell>
          <cell r="F22" t="str">
            <v>N/A</v>
          </cell>
          <cell r="G22" t="str">
            <v>N/A</v>
          </cell>
          <cell r="H22" t="str">
            <v>N/A</v>
          </cell>
          <cell r="I22" t="str">
            <v>N/A</v>
          </cell>
          <cell r="M22" t="str">
            <v>Appointment Kept</v>
          </cell>
          <cell r="N22" t="str">
            <v>H</v>
          </cell>
          <cell r="O22">
            <v>0.947</v>
          </cell>
          <cell r="P22">
            <v>0.951</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v>
          </cell>
          <cell r="D25">
            <v>9.3</v>
          </cell>
          <cell r="E25" t="str">
            <v>çè</v>
          </cell>
          <cell r="F25">
            <v>9.1</v>
          </cell>
          <cell r="G25">
            <v>9.1</v>
          </cell>
          <cell r="H25">
            <v>8.9</v>
          </cell>
          <cell r="I25">
            <v>9.3</v>
          </cell>
          <cell r="M25" t="str">
            <v>Moment of Truth Survey</v>
          </cell>
          <cell r="N25" t="str">
            <v>H</v>
          </cell>
          <cell r="O25">
            <v>9.4</v>
          </cell>
          <cell r="P25">
            <v>9.3</v>
          </cell>
          <cell r="Q25" t="str">
            <v>-</v>
          </cell>
          <cell r="R25">
            <v>9.2</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9.402569</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0.053696</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8.7</v>
          </cell>
          <cell r="E33" t="str">
            <v>ê</v>
          </cell>
          <cell r="F33">
            <v>8.6</v>
          </cell>
          <cell r="G33">
            <v>8.5</v>
          </cell>
          <cell r="H33">
            <v>8.6</v>
          </cell>
          <cell r="I33">
            <v>8.7</v>
          </cell>
          <cell r="J33">
            <v>9.79587693</v>
          </cell>
          <cell r="K33">
            <v>37.723</v>
          </cell>
          <cell r="M33" t="str">
            <v>New Business Construction Survey</v>
          </cell>
          <cell r="N33" t="str">
            <v>H</v>
          </cell>
          <cell r="O33">
            <v>8.6</v>
          </cell>
          <cell r="P33">
            <v>8.7</v>
          </cell>
          <cell r="Q33" t="str">
            <v>-</v>
          </cell>
          <cell r="R33">
            <v>8.6</v>
          </cell>
          <cell r="S33">
            <v>8.1</v>
          </cell>
          <cell r="T33">
            <v>8.8</v>
          </cell>
          <cell r="U33">
            <v>8.7</v>
          </cell>
          <cell r="V33">
            <v>0.47747115</v>
          </cell>
          <cell r="W33">
            <v>3.155</v>
          </cell>
        </row>
        <row r="34">
          <cell r="A34" t="str">
            <v>% Regulatory Compliance</v>
          </cell>
          <cell r="B34" t="str">
            <v>H</v>
          </cell>
          <cell r="C34">
            <v>1</v>
          </cell>
          <cell r="D34">
            <v>1</v>
          </cell>
          <cell r="E34" t="str">
            <v>çè</v>
          </cell>
          <cell r="F34">
            <v>0.916</v>
          </cell>
          <cell r="G34">
            <v>0.826</v>
          </cell>
          <cell r="H34">
            <v>0.922</v>
          </cell>
          <cell r="I34">
            <v>0.956</v>
          </cell>
          <cell r="J34">
            <v>1</v>
          </cell>
          <cell r="M34" t="str">
            <v>Gross Margin Competitive Serv. ($M)</v>
          </cell>
          <cell r="N34" t="str">
            <v>H</v>
          </cell>
          <cell r="O34">
            <v>5.254</v>
          </cell>
          <cell r="P34">
            <v>5.159</v>
          </cell>
          <cell r="Q34" t="str">
            <v>-</v>
          </cell>
          <cell r="R34">
            <v>5.09960284</v>
          </cell>
          <cell r="S34">
            <v>1.62848195</v>
          </cell>
          <cell r="T34">
            <v>0.74829197</v>
          </cell>
          <cell r="U34">
            <v>2.25467687</v>
          </cell>
        </row>
        <row r="35">
          <cell r="A35" t="str">
            <v>Fully Loaded $/Unit - New Main</v>
          </cell>
          <cell r="B35" t="str">
            <v>L</v>
          </cell>
          <cell r="C35">
            <v>54.83</v>
          </cell>
          <cell r="D35">
            <v>51.37</v>
          </cell>
          <cell r="E35" t="str">
            <v>ê</v>
          </cell>
          <cell r="F35">
            <v>52.9780867285738</v>
          </cell>
          <cell r="G35">
            <v>52.0709183062617</v>
          </cell>
          <cell r="H35">
            <v>90.5039839770105</v>
          </cell>
          <cell r="I35">
            <v>46.1490921816125</v>
          </cell>
          <cell r="M35" t="str">
            <v>Fully Loaded $/Unit - New Main</v>
          </cell>
          <cell r="N35" t="str">
            <v>L</v>
          </cell>
          <cell r="O35">
            <v>57.76</v>
          </cell>
          <cell r="P35">
            <v>51.9785419249591</v>
          </cell>
          <cell r="Q35" t="str">
            <v>-</v>
          </cell>
          <cell r="R35">
            <v>53.3965232507605</v>
          </cell>
          <cell r="S35">
            <v>61.0229191797346</v>
          </cell>
          <cell r="T35">
            <v>65.6039640987285</v>
          </cell>
          <cell r="U35">
            <v>49.4280155642023</v>
          </cell>
        </row>
        <row r="36">
          <cell r="A36" t="str">
            <v>ECONOMIC</v>
          </cell>
          <cell r="B36" t="str">
            <v>Gas Delivery</v>
          </cell>
          <cell r="C36">
            <v>5337</v>
          </cell>
          <cell r="D36">
            <v>5210</v>
          </cell>
          <cell r="E36" t="str">
            <v>é</v>
          </cell>
          <cell r="F36">
            <v>4972.50005906804</v>
          </cell>
          <cell r="G36">
            <v>5298.05724838412</v>
          </cell>
          <cell r="H36">
            <v>6091.33191940615</v>
          </cell>
          <cell r="I36">
            <v>4419.40108840864</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0.050996821272298</v>
          </cell>
          <cell r="P21" t="str">
            <v>+</v>
          </cell>
          <cell r="Q21">
            <v>0.04</v>
          </cell>
          <cell r="T21">
            <v>0.04</v>
          </cell>
          <cell r="V21" t="str">
            <v>M</v>
          </cell>
        </row>
        <row r="22">
          <cell r="A22" t="str">
            <v>MAIFI</v>
          </cell>
          <cell r="B22" t="str">
            <v>L</v>
          </cell>
          <cell r="C22">
            <v>1.24</v>
          </cell>
          <cell r="D22">
            <v>1.25</v>
          </cell>
          <cell r="E22" t="str">
            <v>é</v>
          </cell>
          <cell r="F22">
            <v>1.14</v>
          </cell>
          <cell r="I22">
            <v>1.14</v>
          </cell>
          <cell r="L22" t="str">
            <v>MAIFI</v>
          </cell>
          <cell r="M22" t="str">
            <v>L</v>
          </cell>
          <cell r="N22">
            <v>0.09</v>
          </cell>
          <cell r="O22">
            <v>0.113913043478261</v>
          </cell>
          <cell r="P22" t="str">
            <v>+</v>
          </cell>
          <cell r="Q22">
            <v>0.08</v>
          </cell>
          <cell r="T22">
            <v>0.08</v>
          </cell>
          <cell r="V22" t="str">
            <v>M</v>
          </cell>
        </row>
        <row r="23">
          <cell r="A23" t="str">
            <v>CAIDI</v>
          </cell>
          <cell r="B23" t="str">
            <v>L</v>
          </cell>
          <cell r="C23">
            <v>65.4</v>
          </cell>
          <cell r="D23">
            <v>66.5</v>
          </cell>
          <cell r="E23" t="str">
            <v>é</v>
          </cell>
          <cell r="F23">
            <v>64.11</v>
          </cell>
          <cell r="I23">
            <v>64.11</v>
          </cell>
          <cell r="L23" t="str">
            <v>CAIDI</v>
          </cell>
          <cell r="M23" t="str">
            <v>L</v>
          </cell>
          <cell r="N23">
            <v>46.8</v>
          </cell>
          <cell r="O23">
            <v>58.3440906635749</v>
          </cell>
          <cell r="P23" t="str">
            <v>-</v>
          </cell>
          <cell r="Q23">
            <v>70.39</v>
          </cell>
          <cell r="T23">
            <v>70.39</v>
          </cell>
          <cell r="V23" t="str">
            <v>M</v>
          </cell>
        </row>
        <row r="24">
          <cell r="A24" t="str">
            <v>CEMI</v>
          </cell>
          <cell r="B24" t="str">
            <v>L</v>
          </cell>
          <cell r="C24">
            <v>0.02</v>
          </cell>
          <cell r="D24">
            <v>0.023</v>
          </cell>
          <cell r="E24" t="str">
            <v>é</v>
          </cell>
          <cell r="F24">
            <v>0.011</v>
          </cell>
          <cell r="I24">
            <v>0.011</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0.209</v>
          </cell>
          <cell r="D25">
            <v>0.222</v>
          </cell>
          <cell r="E25" t="str">
            <v>é</v>
          </cell>
          <cell r="F25">
            <v>0.189065592227245</v>
          </cell>
          <cell r="H25">
            <v>0.189</v>
          </cell>
          <cell r="L25" t="str">
            <v>Gas Leak Reports per Mile</v>
          </cell>
          <cell r="M25" t="str">
            <v>L</v>
          </cell>
          <cell r="N25">
            <v>0.012</v>
          </cell>
          <cell r="O25">
            <v>0.0140176273333333</v>
          </cell>
          <cell r="P25" t="str">
            <v>+</v>
          </cell>
          <cell r="Q25">
            <v>0.0128219575493199</v>
          </cell>
          <cell r="S25">
            <v>0.013</v>
          </cell>
          <cell r="V25" t="str">
            <v>M</v>
          </cell>
        </row>
        <row r="26">
          <cell r="A26" t="str">
            <v>Damages per 1,000 Locate Requests</v>
          </cell>
          <cell r="B26" t="str">
            <v>L</v>
          </cell>
          <cell r="C26">
            <v>1.83</v>
          </cell>
          <cell r="D26">
            <v>1.97</v>
          </cell>
          <cell r="E26" t="str">
            <v>é</v>
          </cell>
          <cell r="F26">
            <v>1.52</v>
          </cell>
          <cell r="H26">
            <v>2.28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0.9994</v>
          </cell>
          <cell r="D27">
            <v>0.999</v>
          </cell>
          <cell r="E27" t="str">
            <v>é</v>
          </cell>
          <cell r="F27">
            <v>0.999</v>
          </cell>
          <cell r="H27">
            <v>0.999</v>
          </cell>
          <cell r="L27" t="str">
            <v>Leak Response Rate</v>
          </cell>
          <cell r="M27" t="str">
            <v>H</v>
          </cell>
          <cell r="N27">
            <v>0.9991</v>
          </cell>
          <cell r="O27">
            <v>0.999</v>
          </cell>
          <cell r="P27" t="str">
            <v>-</v>
          </cell>
          <cell r="Q27">
            <v>0.998</v>
          </cell>
          <cell r="S27">
            <v>0.998</v>
          </cell>
          <cell r="V27" t="str">
            <v>M</v>
          </cell>
        </row>
        <row r="28">
          <cell r="A28" t="str">
            <v>Fix It Right</v>
          </cell>
          <cell r="B28" t="str">
            <v>H</v>
          </cell>
          <cell r="C28">
            <v>0.86467</v>
          </cell>
          <cell r="D28" t="str">
            <v>N/A</v>
          </cell>
          <cell r="E28" t="e">
            <v>#REF!</v>
          </cell>
          <cell r="F28">
            <v>0</v>
          </cell>
          <cell r="H28">
            <v>0</v>
          </cell>
          <cell r="L28" t="str">
            <v>Fix It Right</v>
          </cell>
          <cell r="M28" t="str">
            <v>H</v>
          </cell>
          <cell r="N28">
            <v>0.83869</v>
          </cell>
          <cell r="O28">
            <v>0</v>
          </cell>
          <cell r="P28" t="str">
            <v>o</v>
          </cell>
          <cell r="Q28">
            <v>0</v>
          </cell>
          <cell r="S28">
            <v>0</v>
          </cell>
          <cell r="V28" t="str">
            <v>M</v>
          </cell>
        </row>
        <row r="29">
          <cell r="A29" t="str">
            <v>Percent of Actual Meters Read</v>
          </cell>
          <cell r="B29" t="str">
            <v>H</v>
          </cell>
          <cell r="C29">
            <v>0.901</v>
          </cell>
          <cell r="D29">
            <v>0.901</v>
          </cell>
          <cell r="E29" t="str">
            <v>ê</v>
          </cell>
          <cell r="F29">
            <v>0.884</v>
          </cell>
          <cell r="G29">
            <v>0.884</v>
          </cell>
          <cell r="L29" t="str">
            <v>Percent of Actual Meters Read</v>
          </cell>
          <cell r="M29" t="str">
            <v>H</v>
          </cell>
          <cell r="N29">
            <v>0.903</v>
          </cell>
          <cell r="O29">
            <v>0.901</v>
          </cell>
          <cell r="P29" t="str">
            <v>-</v>
          </cell>
          <cell r="Q29">
            <v>0.895</v>
          </cell>
          <cell r="R29">
            <v>0.895</v>
          </cell>
          <cell r="V29" t="str">
            <v>M</v>
          </cell>
        </row>
        <row r="30">
          <cell r="A30" t="str">
            <v>Gen'l Inquiry Service Level (30 sec.)</v>
          </cell>
          <cell r="B30" t="str">
            <v>H</v>
          </cell>
          <cell r="C30">
            <v>0.76</v>
          </cell>
          <cell r="D30">
            <v>0.51</v>
          </cell>
          <cell r="E30" t="str">
            <v>é</v>
          </cell>
          <cell r="F30">
            <v>0.614</v>
          </cell>
          <cell r="G30">
            <v>0.614</v>
          </cell>
          <cell r="L30" t="str">
            <v>Gen'l Inquiry Service Level (30 sec.)</v>
          </cell>
          <cell r="M30" t="str">
            <v>H</v>
          </cell>
          <cell r="N30">
            <v>0.702</v>
          </cell>
          <cell r="O30">
            <v>0.51</v>
          </cell>
          <cell r="P30" t="str">
            <v>+</v>
          </cell>
          <cell r="Q30">
            <v>0.695</v>
          </cell>
          <cell r="R30">
            <v>0.695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8.7</v>
          </cell>
          <cell r="G36">
            <v>75</v>
          </cell>
          <cell r="H36">
            <v>0</v>
          </cell>
          <cell r="I36">
            <v>0</v>
          </cell>
          <cell r="L36" t="str">
            <v>Perception Survey (Large Business)</v>
          </cell>
          <cell r="M36" t="str">
            <v>H</v>
          </cell>
          <cell r="N36">
            <v>8.9</v>
          </cell>
          <cell r="O36">
            <v>77</v>
          </cell>
          <cell r="P36" t="str">
            <v>-</v>
          </cell>
          <cell r="Q36">
            <v>8.7</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9.2</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v>
          </cell>
          <cell r="D8">
            <v>1.8</v>
          </cell>
          <cell r="E8" t="str">
            <v>çè</v>
          </cell>
          <cell r="F8">
            <v>1.9</v>
          </cell>
          <cell r="G8">
            <v>0.39</v>
          </cell>
          <cell r="H8">
            <v>2.97</v>
          </cell>
          <cell r="I8">
            <v>1.99619613736047</v>
          </cell>
          <cell r="J8">
            <v>0</v>
          </cell>
          <cell r="L8" t="str">
            <v>OSHA Recordable Incidence Rate</v>
          </cell>
          <cell r="M8" t="str">
            <v>L</v>
          </cell>
          <cell r="N8">
            <v>2.40710577625149</v>
          </cell>
          <cell r="O8">
            <v>1.8</v>
          </cell>
          <cell r="P8" t="str">
            <v>+</v>
          </cell>
          <cell r="Q8">
            <v>1.43</v>
          </cell>
          <cell r="R8">
            <v>0</v>
          </cell>
          <cell r="S8">
            <v>1.99</v>
          </cell>
          <cell r="T8">
            <v>1.87698256283199</v>
          </cell>
          <cell r="U8">
            <v>0</v>
          </cell>
          <cell r="V8" t="str">
            <v>ê</v>
          </cell>
          <cell r="W8" t="str">
            <v>é</v>
          </cell>
          <cell r="Y8" t="str">
            <v>M</v>
          </cell>
          <cell r="Z8" t="str">
            <v>O</v>
          </cell>
        </row>
        <row r="9">
          <cell r="A9" t="str">
            <v>OSHA Days Away Rate (Severity)</v>
          </cell>
          <cell r="B9" t="str">
            <v>L</v>
          </cell>
          <cell r="C9">
            <v>2.27186886772895</v>
          </cell>
          <cell r="D9">
            <v>7.94</v>
          </cell>
          <cell r="E9" t="str">
            <v>çè</v>
          </cell>
          <cell r="F9">
            <v>7.98</v>
          </cell>
          <cell r="G9">
            <v>0</v>
          </cell>
          <cell r="H9">
            <v>11.6</v>
          </cell>
          <cell r="I9">
            <v>9.98098068680237</v>
          </cell>
          <cell r="J9">
            <v>0</v>
          </cell>
          <cell r="L9" t="str">
            <v>OSHA Days Away Rate (Severity)</v>
          </cell>
          <cell r="M9" t="str">
            <v>L</v>
          </cell>
          <cell r="N9">
            <v>0.401184296041916</v>
          </cell>
          <cell r="O9">
            <v>7.94</v>
          </cell>
          <cell r="P9" t="str">
            <v>-</v>
          </cell>
          <cell r="Q9">
            <v>14.1</v>
          </cell>
          <cell r="R9">
            <v>0</v>
          </cell>
          <cell r="S9">
            <v>18.54</v>
          </cell>
          <cell r="T9">
            <v>19.2390712690279</v>
          </cell>
          <cell r="U9">
            <v>0</v>
          </cell>
          <cell r="V9" t="str">
            <v>ê</v>
          </cell>
          <cell r="W9" t="str">
            <v>ê</v>
          </cell>
          <cell r="Y9" t="str">
            <v>M</v>
          </cell>
          <cell r="Z9" t="str">
            <v>O</v>
          </cell>
        </row>
        <row r="10">
          <cell r="A10" t="str">
            <v>Motor Vehicle Accident Rate</v>
          </cell>
          <cell r="B10" t="str">
            <v>L</v>
          </cell>
          <cell r="C10">
            <v>6.71378583918344</v>
          </cell>
          <cell r="D10">
            <v>3.42</v>
          </cell>
          <cell r="E10" t="str">
            <v>é</v>
          </cell>
          <cell r="F10">
            <v>3.99</v>
          </cell>
          <cell r="G10">
            <v>6.1</v>
          </cell>
          <cell r="H10">
            <v>2.53</v>
          </cell>
          <cell r="I10">
            <v>5.20581515581981</v>
          </cell>
          <cell r="J10">
            <v>0</v>
          </cell>
          <cell r="L10" t="str">
            <v>Motor Vehicle Accident Rate</v>
          </cell>
          <cell r="M10" t="str">
            <v>L</v>
          </cell>
          <cell r="N10">
            <v>6.7909528411083</v>
          </cell>
          <cell r="O10">
            <v>3.42</v>
          </cell>
          <cell r="P10" t="str">
            <v>-</v>
          </cell>
          <cell r="Q10">
            <v>3.77</v>
          </cell>
          <cell r="R10">
            <v>9.82</v>
          </cell>
          <cell r="S10">
            <v>1.04</v>
          </cell>
          <cell r="T10">
            <v>5.21779738510084</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v>
          </cell>
          <cell r="V11" t="str">
            <v>ê</v>
          </cell>
          <cell r="W11" t="str">
            <v>ê</v>
          </cell>
          <cell r="Y11" t="str">
            <v>M</v>
          </cell>
          <cell r="Z11" t="str">
            <v>O</v>
          </cell>
        </row>
        <row r="12">
          <cell r="A12" t="str">
            <v>Availability - Illness</v>
          </cell>
          <cell r="B12" t="str">
            <v>H</v>
          </cell>
          <cell r="C12">
            <v>0.9584</v>
          </cell>
          <cell r="D12">
            <v>0.973</v>
          </cell>
          <cell r="E12" t="str">
            <v>é</v>
          </cell>
          <cell r="F12">
            <v>0.9604758655</v>
          </cell>
          <cell r="G12">
            <v>0.955</v>
          </cell>
          <cell r="H12">
            <v>0.963</v>
          </cell>
          <cell r="I12">
            <v>0.961048635269532</v>
          </cell>
          <cell r="J12">
            <v>0.985</v>
          </cell>
          <cell r="L12" t="str">
            <v>Availability - Illness</v>
          </cell>
          <cell r="M12" t="str">
            <v>H</v>
          </cell>
          <cell r="N12">
            <v>0.954446</v>
          </cell>
          <cell r="O12">
            <v>0.973</v>
          </cell>
          <cell r="P12" t="str">
            <v>-</v>
          </cell>
          <cell r="Q12">
            <v>0.96038567641</v>
          </cell>
          <cell r="R12">
            <v>0.956</v>
          </cell>
          <cell r="S12">
            <v>0.964</v>
          </cell>
          <cell r="T12">
            <v>0.959920200812408</v>
          </cell>
          <cell r="U12">
            <v>0.985</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0.492</v>
          </cell>
          <cell r="E17" t="str">
            <v>é</v>
          </cell>
          <cell r="F17" t="str">
            <v>Qtrly</v>
          </cell>
          <cell r="L17" t="str">
            <v>Fringe Benefit Rate</v>
          </cell>
          <cell r="M17" t="str">
            <v>L</v>
          </cell>
          <cell r="O17">
            <v>0.492</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0.07</v>
          </cell>
          <cell r="D21">
            <v>0.72</v>
          </cell>
          <cell r="E21" t="str">
            <v>é</v>
          </cell>
          <cell r="F21">
            <v>0.1</v>
          </cell>
          <cell r="I21">
            <v>0.1</v>
          </cell>
          <cell r="L21" t="str">
            <v>SAIFI</v>
          </cell>
          <cell r="M21" t="str">
            <v>L</v>
          </cell>
          <cell r="N21">
            <v>0.04</v>
          </cell>
          <cell r="O21">
            <v>0.0426914807928822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0.0664492753623189</v>
          </cell>
          <cell r="P22" t="str">
            <v>-</v>
          </cell>
          <cell r="Q22">
            <v>0.09</v>
          </cell>
          <cell r="T22">
            <v>0.07</v>
          </cell>
          <cell r="V22" t="str">
            <v>é</v>
          </cell>
          <cell r="W22" t="str">
            <v>ê</v>
          </cell>
          <cell r="Y22" t="str">
            <v>M</v>
          </cell>
          <cell r="Z22" t="str">
            <v>O</v>
          </cell>
        </row>
        <row r="23">
          <cell r="A23" t="str">
            <v>CAIDI</v>
          </cell>
          <cell r="B23" t="str">
            <v>L</v>
          </cell>
          <cell r="C23">
            <v>63.1</v>
          </cell>
          <cell r="D23">
            <v>66.5</v>
          </cell>
          <cell r="E23" t="str">
            <v>é</v>
          </cell>
          <cell r="F23">
            <v>65.4</v>
          </cell>
          <cell r="I23">
            <v>65.4</v>
          </cell>
          <cell r="L23" t="str">
            <v>CAIDI</v>
          </cell>
          <cell r="M23" t="str">
            <v>L</v>
          </cell>
          <cell r="N23">
            <v>66.6</v>
          </cell>
          <cell r="O23">
            <v>61.1487176218052</v>
          </cell>
          <cell r="P23" t="str">
            <v>-</v>
          </cell>
          <cell r="Q23">
            <v>75.7</v>
          </cell>
          <cell r="T23">
            <v>52.21</v>
          </cell>
          <cell r="V23" t="str">
            <v>é</v>
          </cell>
          <cell r="W23" t="str">
            <v>ê</v>
          </cell>
          <cell r="Y23" t="str">
            <v>M</v>
          </cell>
          <cell r="Z23" t="str">
            <v>O</v>
          </cell>
        </row>
        <row r="24">
          <cell r="A24" t="str">
            <v>CEMI</v>
          </cell>
          <cell r="B24" t="str">
            <v>L</v>
          </cell>
          <cell r="C24">
            <v>0</v>
          </cell>
          <cell r="D24">
            <v>0.023</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0.032</v>
          </cell>
          <cell r="D25">
            <v>0.222</v>
          </cell>
          <cell r="E25" t="str">
            <v>çè</v>
          </cell>
          <cell r="F25">
            <v>0.035</v>
          </cell>
          <cell r="H25">
            <v>0.0349106935092847</v>
          </cell>
          <cell r="L25" t="str">
            <v>Gas Leak Reports per Mile</v>
          </cell>
          <cell r="M25" t="str">
            <v>L</v>
          </cell>
          <cell r="N25">
            <v>0.015</v>
          </cell>
          <cell r="O25">
            <v>0.017603532</v>
          </cell>
          <cell r="P25" t="str">
            <v>+</v>
          </cell>
          <cell r="Q25">
            <v>0.013</v>
          </cell>
          <cell r="S25">
            <v>0.0134047738015617</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v>
          </cell>
          <cell r="L26" t="str">
            <v>Damages per 1,000 Locate Requests</v>
          </cell>
          <cell r="M26" t="str">
            <v>L</v>
          </cell>
          <cell r="N26">
            <v>1.94</v>
          </cell>
          <cell r="O26">
            <v>1.97</v>
          </cell>
          <cell r="P26" t="str">
            <v>+</v>
          </cell>
          <cell r="Q26">
            <v>1.04</v>
          </cell>
          <cell r="S26">
            <v>1.03899038706613</v>
          </cell>
          <cell r="V26" t="str">
            <v>é</v>
          </cell>
          <cell r="W26" t="str">
            <v>é</v>
          </cell>
          <cell r="Y26" t="str">
            <v>M</v>
          </cell>
          <cell r="Z26" t="str">
            <v>O</v>
          </cell>
        </row>
        <row r="27">
          <cell r="A27" t="str">
            <v>Leak Response Rate</v>
          </cell>
          <cell r="B27" t="str">
            <v>H</v>
          </cell>
          <cell r="C27">
            <v>0.999</v>
          </cell>
          <cell r="D27">
            <v>0.999</v>
          </cell>
          <cell r="E27" t="str">
            <v>é</v>
          </cell>
          <cell r="F27">
            <v>0.999</v>
          </cell>
          <cell r="H27">
            <v>0.999</v>
          </cell>
          <cell r="L27" t="str">
            <v>Leak Response Rate</v>
          </cell>
          <cell r="M27" t="str">
            <v>H</v>
          </cell>
          <cell r="N27">
            <v>0.999</v>
          </cell>
          <cell r="O27">
            <v>0.999</v>
          </cell>
          <cell r="P27" t="str">
            <v>+</v>
          </cell>
          <cell r="Q27">
            <v>0.999</v>
          </cell>
          <cell r="S27">
            <v>0.999</v>
          </cell>
          <cell r="V27" t="str">
            <v>é</v>
          </cell>
          <cell r="W27" t="str">
            <v>é</v>
          </cell>
          <cell r="Y27" t="str">
            <v>M</v>
          </cell>
          <cell r="Z27" t="str">
            <v>O</v>
          </cell>
        </row>
        <row r="28">
          <cell r="A28" t="str">
            <v>Fix It Right</v>
          </cell>
          <cell r="B28" t="str">
            <v>H</v>
          </cell>
          <cell r="C28">
            <v>0.843</v>
          </cell>
          <cell r="D28" t="str">
            <v>N/A</v>
          </cell>
          <cell r="E28" t="str">
            <v>N/A</v>
          </cell>
          <cell r="F28">
            <v>0.830829812757524</v>
          </cell>
          <cell r="H28">
            <v>0.831</v>
          </cell>
          <cell r="L28" t="str">
            <v>Fix It Right</v>
          </cell>
          <cell r="M28" t="str">
            <v>H</v>
          </cell>
          <cell r="N28">
            <v>0.847</v>
          </cell>
          <cell r="O28" t="str">
            <v>N/A</v>
          </cell>
          <cell r="P28" t="str">
            <v>N/A</v>
          </cell>
          <cell r="Q28">
            <v>0.836716588158256</v>
          </cell>
          <cell r="S28">
            <v>0.837</v>
          </cell>
          <cell r="V28" t="str">
            <v/>
          </cell>
          <cell r="W28" t="str">
            <v>ê</v>
          </cell>
          <cell r="Y28" t="str">
            <v>M</v>
          </cell>
          <cell r="Z28" t="str">
            <v>O</v>
          </cell>
        </row>
        <row r="29">
          <cell r="A29" t="str">
            <v>Percent of Actual Meters Read</v>
          </cell>
          <cell r="B29" t="str">
            <v>H</v>
          </cell>
          <cell r="C29">
            <v>0.899</v>
          </cell>
          <cell r="D29">
            <v>0.901</v>
          </cell>
          <cell r="E29" t="str">
            <v>é</v>
          </cell>
          <cell r="F29">
            <v>0.879</v>
          </cell>
          <cell r="G29">
            <v>0.879</v>
          </cell>
          <cell r="L29" t="str">
            <v>Percent of Actual Meters Read</v>
          </cell>
          <cell r="M29" t="str">
            <v>H</v>
          </cell>
          <cell r="N29">
            <v>0.892</v>
          </cell>
          <cell r="O29">
            <v>0.901</v>
          </cell>
          <cell r="P29" t="str">
            <v>-</v>
          </cell>
          <cell r="Q29">
            <v>0.883</v>
          </cell>
          <cell r="R29">
            <v>0.883</v>
          </cell>
          <cell r="V29" t="str">
            <v>ê</v>
          </cell>
          <cell r="W29" t="str">
            <v>ê</v>
          </cell>
          <cell r="Y29" t="str">
            <v>M</v>
          </cell>
          <cell r="Z29" t="str">
            <v>O</v>
          </cell>
        </row>
        <row r="30">
          <cell r="A30" t="str">
            <v>Gen'l Inquiry Service Level (30 sec.)</v>
          </cell>
          <cell r="B30" t="str">
            <v>H</v>
          </cell>
          <cell r="C30">
            <v>0.768</v>
          </cell>
          <cell r="D30">
            <v>0.51</v>
          </cell>
          <cell r="E30" t="str">
            <v>é</v>
          </cell>
          <cell r="F30">
            <v>0.661</v>
          </cell>
          <cell r="G30">
            <v>0.661</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0.866</v>
          </cell>
          <cell r="D31" t="str">
            <v>N/A</v>
          </cell>
          <cell r="E31" t="str">
            <v>é</v>
          </cell>
          <cell r="F31">
            <v>0.863</v>
          </cell>
          <cell r="G31">
            <v>0.863</v>
          </cell>
          <cell r="L31" t="str">
            <v>First Contact Resolution</v>
          </cell>
          <cell r="M31" t="str">
            <v>H</v>
          </cell>
          <cell r="N31">
            <v>0.866</v>
          </cell>
          <cell r="O31" t="str">
            <v>N/A</v>
          </cell>
          <cell r="P31" t="str">
            <v>N/A</v>
          </cell>
          <cell r="Q31">
            <v>0.866</v>
          </cell>
          <cell r="R31">
            <v>0.866</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23.56622347</v>
          </cell>
          <cell r="I41">
            <v>94.696739</v>
          </cell>
          <cell r="J41">
            <v>0</v>
          </cell>
          <cell r="L41" t="str">
            <v>Total CapEx ($M)</v>
          </cell>
          <cell r="M41" t="str">
            <v>L</v>
          </cell>
          <cell r="N41">
            <v>52.4</v>
          </cell>
          <cell r="O41">
            <v>68</v>
          </cell>
          <cell r="P41" t="str">
            <v>+</v>
          </cell>
          <cell r="Q41">
            <v>70.11712213</v>
          </cell>
          <cell r="R41">
            <v>7.1</v>
          </cell>
          <cell r="S41">
            <v>11.28906829</v>
          </cell>
          <cell r="T41">
            <v>51.745144</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v>
          </cell>
          <cell r="H42">
            <v>43.885</v>
          </cell>
          <cell r="I42">
            <v>51.0560585964008</v>
          </cell>
          <cell r="J42">
            <v>4.7</v>
          </cell>
          <cell r="L42" t="str">
            <v>Accountability O&amp;M ($M)</v>
          </cell>
          <cell r="M42" t="str">
            <v>L</v>
          </cell>
          <cell r="N42">
            <v>60.8</v>
          </cell>
          <cell r="O42">
            <v>60.57</v>
          </cell>
          <cell r="P42" t="str">
            <v>-</v>
          </cell>
          <cell r="Q42">
            <v>60.91</v>
          </cell>
          <cell r="R42">
            <v>13.532</v>
          </cell>
          <cell r="S42">
            <v>20.233</v>
          </cell>
          <cell r="T42">
            <v>24.6016371797021</v>
          </cell>
          <cell r="U42">
            <v>2.6</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v>
          </cell>
          <cell r="G45">
            <v>33.7</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v>
          </cell>
          <cell r="E46" t="str">
            <v>é</v>
          </cell>
          <cell r="F46" t="str">
            <v>Qtrly</v>
          </cell>
          <cell r="L46" t="str">
            <v>Funds from Operations/Debt</v>
          </cell>
          <cell r="M46" t="str">
            <v>H</v>
          </cell>
          <cell r="P46" t="str">
            <v> </v>
          </cell>
          <cell r="V46" t="str">
            <v/>
          </cell>
          <cell r="W46" t="str">
            <v/>
          </cell>
          <cell r="Y46" t="str">
            <v>Q</v>
          </cell>
          <cell r="Z46" t="str">
            <v>O</v>
          </cell>
        </row>
        <row r="47">
          <cell r="A47" t="str">
            <v>ROIC</v>
          </cell>
          <cell r="B47" t="str">
            <v>H</v>
          </cell>
          <cell r="C47">
            <v>0.0722</v>
          </cell>
          <cell r="D47">
            <v>0.062</v>
          </cell>
          <cell r="E47" t="str">
            <v>é</v>
          </cell>
          <cell r="F47">
            <v>0.0694</v>
          </cell>
          <cell r="L47" t="str">
            <v>ROIC</v>
          </cell>
          <cell r="M47" t="str">
            <v>H</v>
          </cell>
          <cell r="N47">
            <v>0.0722</v>
          </cell>
          <cell r="O47">
            <v>0.062</v>
          </cell>
          <cell r="P47" t="str">
            <v>+</v>
          </cell>
          <cell r="Q47">
            <v>0.0694</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0.829</v>
          </cell>
          <cell r="E50" t="str">
            <v>é</v>
          </cell>
          <cell r="F50" t="str">
            <v>Qtrly</v>
          </cell>
          <cell r="G50" t="str">
            <v>Qtrly</v>
          </cell>
          <cell r="H50" t="str">
            <v>Qtrly</v>
          </cell>
          <cell r="I50" t="str">
            <v>Qtrly</v>
          </cell>
          <cell r="L50" t="str">
            <v>Capital Projects' Results</v>
          </cell>
          <cell r="M50" t="str">
            <v>H</v>
          </cell>
          <cell r="P50" t="str">
            <v> </v>
          </cell>
          <cell r="V50" t="str">
            <v/>
          </cell>
          <cell r="W50" t="str">
            <v/>
          </cell>
          <cell r="Y50" t="str">
            <v>Q</v>
          </cell>
          <cell r="Z50" t="str">
            <v>N</v>
          </cell>
        </row>
        <row r="51">
          <cell r="A51" t="str">
            <v>Current Capital Performance</v>
          </cell>
          <cell r="B51" t="str">
            <v>H</v>
          </cell>
          <cell r="D51">
            <v>1</v>
          </cell>
          <cell r="E51" t="str">
            <v>é</v>
          </cell>
          <cell r="F51">
            <v>0.92</v>
          </cell>
          <cell r="G51">
            <v>1.1</v>
          </cell>
          <cell r="I51">
            <v>0.842567258501354</v>
          </cell>
          <cell r="L51" t="str">
            <v>Current Capital Performance</v>
          </cell>
          <cell r="M51" t="str">
            <v>H</v>
          </cell>
          <cell r="O51">
            <v>1</v>
          </cell>
          <cell r="P51" t="str">
            <v>o</v>
          </cell>
          <cell r="Q51">
            <v>0.92</v>
          </cell>
          <cell r="R51">
            <v>1.1</v>
          </cell>
          <cell r="T51">
            <v>0.842567258501354</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8.79</v>
          </cell>
          <cell r="L55" t="str">
            <v>Fleet MPG</v>
          </cell>
          <cell r="M55" t="str">
            <v>H</v>
          </cell>
          <cell r="N55">
            <v>0</v>
          </cell>
          <cell r="O55" t="str">
            <v>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0.969</v>
          </cell>
          <cell r="E59" t="str">
            <v>é</v>
          </cell>
          <cell r="F59" t="str">
            <v>Qtrly</v>
          </cell>
          <cell r="G59" t="str">
            <v>Qtrly</v>
          </cell>
          <cell r="H59" t="str">
            <v>Qtrly</v>
          </cell>
          <cell r="I59" t="str">
            <v>Qtrly</v>
          </cell>
          <cell r="L59" t="str">
            <v>Non-Hazardous Waste</v>
          </cell>
          <cell r="M59" t="str">
            <v>L</v>
          </cell>
          <cell r="O59">
            <v>0.969</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v>
          </cell>
          <cell r="H60" t="str">
            <v> </v>
          </cell>
          <cell r="I60" t="str">
            <v> </v>
          </cell>
          <cell r="L60" t="str">
            <v>Hazardous Waste</v>
          </cell>
          <cell r="M60" t="str">
            <v>L</v>
          </cell>
          <cell r="N60">
            <v>0</v>
          </cell>
          <cell r="O60">
            <v>3.59</v>
          </cell>
          <cell r="P60" t="str">
            <v>o</v>
          </cell>
          <cell r="Q60" t="str">
            <v>Qtrly</v>
          </cell>
          <cell r="R60" t="str">
            <v> </v>
          </cell>
          <cell r="S60" t="str">
            <v> </v>
          </cell>
          <cell r="T60" t="str">
            <v>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LEGEND:    Monthly Status:        +  = Better than Plan,        o  = On Plan,        -  = Worse than Plan,      </v>
          </cell>
          <cell r="V63">
            <v>0.555555555555556</v>
          </cell>
          <cell r="W63">
            <v>0.346153846153846</v>
          </cell>
          <cell r="Y63">
            <v>44</v>
          </cell>
          <cell r="Z63">
            <v>44</v>
          </cell>
        </row>
      </sheetData>
      <sheetData sheetId="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v>
          </cell>
          <cell r="I8">
            <v>1.77161946434128</v>
          </cell>
          <cell r="L8" t="str">
            <v>OSHA Recordable Incidence Rate</v>
          </cell>
          <cell r="M8" t="str">
            <v>L</v>
          </cell>
          <cell r="N8">
            <v>1.43724918718425</v>
          </cell>
          <cell r="O8">
            <v>1.8</v>
          </cell>
          <cell r="P8" t="str">
            <v>+</v>
          </cell>
          <cell r="Q8">
            <v>1.33</v>
          </cell>
          <cell r="R8">
            <v>0.79</v>
          </cell>
          <cell r="S8">
            <v>2.24</v>
          </cell>
          <cell r="T8">
            <v>0.922712345233747</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19.4878141077541</v>
          </cell>
          <cell r="L9" t="str">
            <v>OSHA Days Away Rate (Severity)</v>
          </cell>
          <cell r="M9" t="str">
            <v>L</v>
          </cell>
          <cell r="N9">
            <v>13.67</v>
          </cell>
          <cell r="O9">
            <v>7.94</v>
          </cell>
          <cell r="P9" t="str">
            <v>-</v>
          </cell>
          <cell r="Q9">
            <v>13.67</v>
          </cell>
          <cell r="R9">
            <v>11.84</v>
          </cell>
          <cell r="S9">
            <v>3.36</v>
          </cell>
          <cell r="T9">
            <v>23.5291648034605</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v>
          </cell>
          <cell r="J10">
            <v>7.44</v>
          </cell>
          <cell r="L10" t="str">
            <v>Motor Vehicle Accident Rate</v>
          </cell>
          <cell r="M10" t="str">
            <v>L</v>
          </cell>
          <cell r="N10">
            <v>3.08</v>
          </cell>
          <cell r="O10">
            <v>3.42</v>
          </cell>
          <cell r="P10" t="str">
            <v>-</v>
          </cell>
          <cell r="Q10">
            <v>5.47</v>
          </cell>
          <cell r="R10">
            <v>10.02</v>
          </cell>
          <cell r="S10">
            <v>4.34330233824094</v>
          </cell>
          <cell r="T10">
            <v>5.53273685819388</v>
          </cell>
          <cell r="U10">
            <v>0</v>
          </cell>
          <cell r="V10" t="str">
            <v>ê</v>
          </cell>
          <cell r="W10" t="str">
            <v>ê</v>
          </cell>
          <cell r="Y10" t="str">
            <v>M</v>
          </cell>
          <cell r="Z10" t="str">
            <v>O</v>
          </cell>
        </row>
        <row r="11">
          <cell r="A11" t="str">
            <v>Availability - Illness</v>
          </cell>
          <cell r="B11" t="str">
            <v>H</v>
          </cell>
          <cell r="C11">
            <v>0.966</v>
          </cell>
          <cell r="D11">
            <v>0.973</v>
          </cell>
          <cell r="E11" t="str">
            <v>ê</v>
          </cell>
          <cell r="F11">
            <v>0.965</v>
          </cell>
          <cell r="G11">
            <v>0.956</v>
          </cell>
          <cell r="H11">
            <v>0.969</v>
          </cell>
          <cell r="I11">
            <v>0.967933358425882</v>
          </cell>
          <cell r="J11">
            <v>0.979</v>
          </cell>
          <cell r="L11" t="str">
            <v>Availability - Illness</v>
          </cell>
          <cell r="M11" t="str">
            <v>H</v>
          </cell>
          <cell r="N11">
            <v>0.972</v>
          </cell>
          <cell r="O11">
            <v>0.973</v>
          </cell>
          <cell r="P11" t="str">
            <v>-</v>
          </cell>
          <cell r="Q11">
            <v>0.969</v>
          </cell>
          <cell r="R11">
            <v>0.956</v>
          </cell>
          <cell r="S11">
            <v>0.972</v>
          </cell>
          <cell r="T11">
            <v>0.974979106787555</v>
          </cell>
          <cell r="U11">
            <v>0.969</v>
          </cell>
          <cell r="V11" t="str">
            <v>ê</v>
          </cell>
          <cell r="W11" t="str">
            <v>ê</v>
          </cell>
          <cell r="Y11" t="str">
            <v>M</v>
          </cell>
          <cell r="Z11" t="str">
            <v>O</v>
          </cell>
        </row>
        <row r="12">
          <cell r="A12" t="str">
            <v>Overtime</v>
          </cell>
          <cell r="B12" t="str">
            <v>L</v>
          </cell>
          <cell r="C12">
            <v>0.169</v>
          </cell>
          <cell r="D12">
            <v>0.113</v>
          </cell>
          <cell r="E12" t="str">
            <v>ê</v>
          </cell>
          <cell r="F12">
            <v>0.166</v>
          </cell>
          <cell r="G12">
            <v>0.121</v>
          </cell>
          <cell r="H12">
            <v>0.1604</v>
          </cell>
          <cell r="I12">
            <v>0.202639912874082</v>
          </cell>
          <cell r="L12" t="str">
            <v>Overtime</v>
          </cell>
          <cell r="M12" t="str">
            <v>L</v>
          </cell>
          <cell r="N12">
            <v>0.182</v>
          </cell>
          <cell r="O12">
            <v>0.113</v>
          </cell>
          <cell r="P12" t="str">
            <v>-</v>
          </cell>
          <cell r="Q12">
            <v>0.197</v>
          </cell>
          <cell r="R12">
            <v>0.098</v>
          </cell>
          <cell r="S12">
            <v>0.2524</v>
          </cell>
          <cell r="T12">
            <v>0.219973473658148</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0.722</v>
          </cell>
          <cell r="D14">
            <v>0.95</v>
          </cell>
          <cell r="E14" t="str">
            <v>é</v>
          </cell>
          <cell r="F14">
            <v>0.7693</v>
          </cell>
          <cell r="G14">
            <v>0.78</v>
          </cell>
          <cell r="H14">
            <v>0.859</v>
          </cell>
          <cell r="I14">
            <v>0.741127106227106</v>
          </cell>
          <cell r="J14">
            <v>0.559</v>
          </cell>
          <cell r="V14" t="str">
            <v>ê</v>
          </cell>
          <cell r="W14" t="str">
            <v>é</v>
          </cell>
          <cell r="Y14" t="str">
            <v>M</v>
          </cell>
          <cell r="Z14" t="str">
            <v>O</v>
          </cell>
        </row>
        <row r="15">
          <cell r="A15" t="str">
            <v>Succession Planning</v>
          </cell>
          <cell r="B15" t="str">
            <v>H</v>
          </cell>
          <cell r="C15">
            <v>0.646153846153846</v>
          </cell>
          <cell r="D15">
            <v>0.738</v>
          </cell>
          <cell r="E15" t="str">
            <v>é</v>
          </cell>
          <cell r="F15">
            <v>0.73015873015873</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v>
          </cell>
          <cell r="D17">
            <v>1</v>
          </cell>
          <cell r="E17" t="str">
            <v>é</v>
          </cell>
          <cell r="F17">
            <v>0.783393979959194</v>
          </cell>
          <cell r="G17">
            <v>1.02</v>
          </cell>
          <cell r="H17">
            <v>0</v>
          </cell>
          <cell r="I17">
            <v>0.82999940992506</v>
          </cell>
          <cell r="V17" t="str">
            <v>ê</v>
          </cell>
          <cell r="W17" t="str">
            <v>é</v>
          </cell>
          <cell r="Y17" t="str">
            <v>Q</v>
          </cell>
          <cell r="Z17" t="str">
            <v>O</v>
          </cell>
        </row>
        <row r="18">
          <cell r="A18" t="str">
            <v>Fringe Benefit Rate</v>
          </cell>
          <cell r="B18" t="str">
            <v>L</v>
          </cell>
          <cell r="C18">
            <v>0.309419355115274</v>
          </cell>
          <cell r="D18">
            <v>0.5045</v>
          </cell>
          <cell r="E18" t="str">
            <v>é</v>
          </cell>
          <cell r="F18">
            <v>0.484804345424717</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0.050996821272298</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1.14</v>
          </cell>
          <cell r="I23">
            <v>1.14</v>
          </cell>
          <cell r="L23" t="str">
            <v>MAIFI</v>
          </cell>
          <cell r="M23" t="str">
            <v>L</v>
          </cell>
          <cell r="N23">
            <v>0.09</v>
          </cell>
          <cell r="O23">
            <v>0.113913043478261</v>
          </cell>
          <cell r="P23" t="str">
            <v>+</v>
          </cell>
          <cell r="Q23">
            <v>0.08</v>
          </cell>
          <cell r="T23">
            <v>0.08</v>
          </cell>
          <cell r="V23" t="str">
            <v>é</v>
          </cell>
          <cell r="W23" t="str">
            <v>é</v>
          </cell>
          <cell r="Y23" t="str">
            <v>M</v>
          </cell>
          <cell r="Z23" t="str">
            <v>O</v>
          </cell>
        </row>
        <row r="24">
          <cell r="A24" t="str">
            <v>CAIDI</v>
          </cell>
          <cell r="B24" t="str">
            <v>L</v>
          </cell>
          <cell r="C24">
            <v>65.4</v>
          </cell>
          <cell r="D24">
            <v>66.5</v>
          </cell>
          <cell r="E24" t="str">
            <v>é</v>
          </cell>
          <cell r="F24">
            <v>64.11</v>
          </cell>
          <cell r="I24">
            <v>64.11</v>
          </cell>
          <cell r="L24" t="str">
            <v>CAIDI</v>
          </cell>
          <cell r="M24" t="str">
            <v>L</v>
          </cell>
          <cell r="N24">
            <v>46.8</v>
          </cell>
          <cell r="O24">
            <v>58.3440906635749</v>
          </cell>
          <cell r="P24" t="str">
            <v>-</v>
          </cell>
          <cell r="Q24">
            <v>70.39</v>
          </cell>
          <cell r="T24">
            <v>70.39</v>
          </cell>
          <cell r="V24" t="str">
            <v>é</v>
          </cell>
          <cell r="W24" t="str">
            <v>é</v>
          </cell>
          <cell r="Y24" t="str">
            <v>M</v>
          </cell>
          <cell r="Z24" t="str">
            <v>O</v>
          </cell>
        </row>
        <row r="25">
          <cell r="A25" t="str">
            <v>CEMI</v>
          </cell>
          <cell r="B25" t="str">
            <v>L</v>
          </cell>
          <cell r="C25">
            <v>0.02</v>
          </cell>
          <cell r="D25">
            <v>0.023</v>
          </cell>
          <cell r="E25" t="str">
            <v>é</v>
          </cell>
          <cell r="F25">
            <v>0.011</v>
          </cell>
          <cell r="I25">
            <v>0.011</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0.209</v>
          </cell>
          <cell r="D26">
            <v>0.222</v>
          </cell>
          <cell r="E26" t="str">
            <v>é</v>
          </cell>
          <cell r="F26">
            <v>0.189065592227245</v>
          </cell>
          <cell r="H26">
            <v>0.189</v>
          </cell>
          <cell r="L26" t="str">
            <v>Gas Leak Reports per Mile</v>
          </cell>
          <cell r="M26" t="str">
            <v>L</v>
          </cell>
          <cell r="N26">
            <v>0.012</v>
          </cell>
          <cell r="O26">
            <v>0.0140176273333333</v>
          </cell>
          <cell r="P26" t="str">
            <v>+</v>
          </cell>
          <cell r="Q26">
            <v>0.0128219575493199</v>
          </cell>
          <cell r="S26">
            <v>0.013</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v>
          </cell>
          <cell r="E28" t="str">
            <v>é</v>
          </cell>
          <cell r="F28">
            <v>0.999</v>
          </cell>
          <cell r="H28">
            <v>0.999</v>
          </cell>
          <cell r="L28" t="str">
            <v>Leak Response Rate</v>
          </cell>
          <cell r="M28" t="str">
            <v>H</v>
          </cell>
          <cell r="N28">
            <v>0.9991</v>
          </cell>
          <cell r="O28">
            <v>0.999</v>
          </cell>
          <cell r="P28" t="str">
            <v>-</v>
          </cell>
          <cell r="Q28">
            <v>0.998</v>
          </cell>
          <cell r="S28">
            <v>0.998</v>
          </cell>
          <cell r="V28" t="str">
            <v>é</v>
          </cell>
          <cell r="W28" t="str">
            <v>é</v>
          </cell>
          <cell r="Y28" t="str">
            <v>M</v>
          </cell>
          <cell r="Z28" t="str">
            <v>O</v>
          </cell>
        </row>
        <row r="29">
          <cell r="A29" t="str">
            <v>Fix It Right</v>
          </cell>
          <cell r="B29" t="str">
            <v>H</v>
          </cell>
          <cell r="C29">
            <v>0.86467</v>
          </cell>
          <cell r="D29" t="str">
            <v>N/A</v>
          </cell>
          <cell r="F29">
            <v>0</v>
          </cell>
          <cell r="H29">
            <v>0.836</v>
          </cell>
          <cell r="L29" t="str">
            <v>Fix It Right</v>
          </cell>
          <cell r="M29" t="str">
            <v>H</v>
          </cell>
          <cell r="N29">
            <v>0.83869</v>
          </cell>
          <cell r="O29" t="str">
            <v>N/A</v>
          </cell>
          <cell r="P29" t="str">
            <v>N/A</v>
          </cell>
          <cell r="Q29">
            <v>0</v>
          </cell>
          <cell r="S29">
            <v>0.849</v>
          </cell>
          <cell r="V29" t="str">
            <v/>
          </cell>
          <cell r="W29" t="str">
            <v>ê</v>
          </cell>
          <cell r="Y29" t="str">
            <v>M</v>
          </cell>
          <cell r="Z29" t="str">
            <v>O</v>
          </cell>
        </row>
        <row r="30">
          <cell r="A30" t="str">
            <v>Percent of Actual Meters Read</v>
          </cell>
          <cell r="B30" t="str">
            <v>H</v>
          </cell>
          <cell r="C30">
            <v>0.901</v>
          </cell>
          <cell r="D30">
            <v>0.901</v>
          </cell>
          <cell r="E30" t="str">
            <v>ê</v>
          </cell>
          <cell r="F30">
            <v>0.884</v>
          </cell>
          <cell r="G30">
            <v>0.884</v>
          </cell>
          <cell r="L30" t="str">
            <v>Percent of Actual Meters Read</v>
          </cell>
          <cell r="M30" t="str">
            <v>H</v>
          </cell>
          <cell r="N30">
            <v>0.903</v>
          </cell>
          <cell r="O30">
            <v>0.901</v>
          </cell>
          <cell r="P30" t="str">
            <v>-</v>
          </cell>
          <cell r="Q30">
            <v>0.895</v>
          </cell>
          <cell r="R30">
            <v>0.895</v>
          </cell>
          <cell r="V30" t="str">
            <v>ê</v>
          </cell>
          <cell r="W30" t="str">
            <v>ê</v>
          </cell>
          <cell r="Y30" t="str">
            <v>M</v>
          </cell>
          <cell r="Z30" t="str">
            <v>O</v>
          </cell>
        </row>
        <row r="31">
          <cell r="A31" t="str">
            <v>Gen'l Inquiry Service Level (30 sec.)</v>
          </cell>
          <cell r="B31" t="str">
            <v>H</v>
          </cell>
          <cell r="C31">
            <v>0.76</v>
          </cell>
          <cell r="D31">
            <v>0.51</v>
          </cell>
          <cell r="E31" t="str">
            <v>é</v>
          </cell>
          <cell r="F31">
            <v>0.614</v>
          </cell>
          <cell r="G31">
            <v>0.614</v>
          </cell>
          <cell r="L31" t="str">
            <v>Gen'l Inquiry Service Level (30 sec.)</v>
          </cell>
          <cell r="M31" t="str">
            <v>H</v>
          </cell>
          <cell r="N31">
            <v>0.702</v>
          </cell>
          <cell r="O31">
            <v>0.51</v>
          </cell>
          <cell r="P31" t="str">
            <v>+</v>
          </cell>
          <cell r="Q31">
            <v>0.695</v>
          </cell>
          <cell r="R31">
            <v>0.695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8.7</v>
          </cell>
          <cell r="G37">
            <v>75</v>
          </cell>
          <cell r="H37">
            <v>0</v>
          </cell>
          <cell r="I37">
            <v>0</v>
          </cell>
          <cell r="L37" t="str">
            <v>Perception Survey (Large Business)</v>
          </cell>
          <cell r="M37" t="str">
            <v>H</v>
          </cell>
          <cell r="N37">
            <v>8.9</v>
          </cell>
          <cell r="O37">
            <v>9</v>
          </cell>
          <cell r="P37" t="str">
            <v>-</v>
          </cell>
          <cell r="Q37">
            <v>8.7</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9.2</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726.4</v>
          </cell>
          <cell r="D42">
            <v>775.6</v>
          </cell>
          <cell r="E42" t="str">
            <v>ê</v>
          </cell>
          <cell r="F42">
            <v>813.310455</v>
          </cell>
          <cell r="G42">
            <v>37.23</v>
          </cell>
          <cell r="H42">
            <v>210.72</v>
          </cell>
          <cell r="I42">
            <v>565.361013</v>
          </cell>
          <cell r="J42">
            <v>0</v>
          </cell>
          <cell r="L42" t="str">
            <v>Total CapEx ($M)</v>
          </cell>
          <cell r="M42" t="str">
            <v>L</v>
          </cell>
          <cell r="N42">
            <v>63.3</v>
          </cell>
          <cell r="O42">
            <v>61.8</v>
          </cell>
          <cell r="P42" t="str">
            <v>-</v>
          </cell>
          <cell r="Q42">
            <v>97.597088</v>
          </cell>
          <cell r="R42">
            <v>0.303</v>
          </cell>
          <cell r="S42">
            <v>26.546</v>
          </cell>
          <cell r="T42">
            <v>70.747946</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693.55122789</v>
          </cell>
          <cell r="G43">
            <v>162.8</v>
          </cell>
          <cell r="H43">
            <v>214.887</v>
          </cell>
          <cell r="I43">
            <v>287.135128885845</v>
          </cell>
          <cell r="J43">
            <v>28.77206658</v>
          </cell>
          <cell r="L43" t="str">
            <v>Accountability O&amp;M ($M)</v>
          </cell>
          <cell r="M43" t="str">
            <v>L</v>
          </cell>
          <cell r="N43">
            <v>52.1</v>
          </cell>
          <cell r="O43">
            <v>65.4</v>
          </cell>
          <cell r="P43" t="str">
            <v>+</v>
          </cell>
          <cell r="Q43">
            <v>57.08673503</v>
          </cell>
          <cell r="R43">
            <v>15.112959</v>
          </cell>
          <cell r="S43">
            <v>16.766</v>
          </cell>
          <cell r="T43">
            <v>22.6485267387598</v>
          </cell>
          <cell r="U43">
            <v>2.55951323</v>
          </cell>
          <cell r="V43" t="str">
            <v>ê</v>
          </cell>
          <cell r="W43" t="str">
            <v>ê</v>
          </cell>
          <cell r="Y43" t="str">
            <v>M</v>
          </cell>
          <cell r="Z43" t="str">
            <v>O</v>
          </cell>
        </row>
        <row r="44">
          <cell r="A44" t="str">
            <v>Controllable O&amp;M ($M)</v>
          </cell>
          <cell r="B44" t="str">
            <v>L</v>
          </cell>
          <cell r="C44">
            <v>831.3</v>
          </cell>
          <cell r="D44">
            <v>991.4</v>
          </cell>
          <cell r="E44" t="str">
            <v>é</v>
          </cell>
          <cell r="F44">
            <v>869.61329729</v>
          </cell>
          <cell r="L44" t="str">
            <v>Controllable O&amp;M ($M)</v>
          </cell>
          <cell r="M44" t="str">
            <v>L</v>
          </cell>
          <cell r="N44">
            <v>67.2</v>
          </cell>
          <cell r="O44">
            <v>83.1</v>
          </cell>
          <cell r="P44" t="str">
            <v>+</v>
          </cell>
          <cell r="Q44">
            <v>73.35900833</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v>
          </cell>
          <cell r="G45">
            <v>1.14</v>
          </cell>
          <cell r="L45" t="str">
            <v>Net Write-Off ($) /$100 billed</v>
          </cell>
          <cell r="M45" t="str">
            <v>L</v>
          </cell>
          <cell r="N45">
            <v>1.22</v>
          </cell>
          <cell r="O45">
            <v>0.82</v>
          </cell>
          <cell r="P45" t="str">
            <v>-</v>
          </cell>
          <cell r="Q45">
            <v>2.72349595609381</v>
          </cell>
          <cell r="R45">
            <v>2.72</v>
          </cell>
          <cell r="V45" t="str">
            <v>ê</v>
          </cell>
          <cell r="W45" t="str">
            <v>ê</v>
          </cell>
          <cell r="Y45" t="str">
            <v>M</v>
          </cell>
          <cell r="Z45" t="str">
            <v>O</v>
          </cell>
        </row>
        <row r="46">
          <cell r="A46" t="str">
            <v>Days Sales Outstanding</v>
          </cell>
          <cell r="B46" t="str">
            <v>L</v>
          </cell>
          <cell r="C46">
            <v>35.8</v>
          </cell>
          <cell r="D46">
            <v>34.5</v>
          </cell>
          <cell r="E46" t="str">
            <v>ê</v>
          </cell>
          <cell r="F46">
            <v>36.4045071935663</v>
          </cell>
          <cell r="G46">
            <v>36.4</v>
          </cell>
          <cell r="L46" t="str">
            <v>Days Sales Outstanding</v>
          </cell>
          <cell r="M46" t="str">
            <v>L</v>
          </cell>
          <cell r="N46">
            <v>34.4</v>
          </cell>
          <cell r="O46">
            <v>34.5</v>
          </cell>
          <cell r="P46" t="str">
            <v>-</v>
          </cell>
          <cell r="Q46">
            <v>39.4956072453709</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1.04740941414607</v>
          </cell>
          <cell r="V47" t="str">
            <v>é</v>
          </cell>
          <cell r="W47" t="str">
            <v/>
          </cell>
          <cell r="Y47" t="str">
            <v>M</v>
          </cell>
          <cell r="Z47" t="str">
            <v>N</v>
          </cell>
        </row>
        <row r="48">
          <cell r="A48" t="str">
            <v>ROIC</v>
          </cell>
          <cell r="B48" t="str">
            <v>H</v>
          </cell>
          <cell r="C48">
            <v>0.071212209737293</v>
          </cell>
          <cell r="D48">
            <v>0.062</v>
          </cell>
          <cell r="E48" t="str">
            <v>é</v>
          </cell>
          <cell r="F48">
            <v>0.0584749776351102</v>
          </cell>
          <cell r="V48" t="str">
            <v>ê</v>
          </cell>
          <cell r="W48" t="str">
            <v>ê</v>
          </cell>
          <cell r="Y48" t="str">
            <v>M</v>
          </cell>
          <cell r="Z48" t="str">
            <v>O</v>
          </cell>
        </row>
        <row r="49">
          <cell r="A49" t="str">
            <v>Funds from Operations/Debt</v>
          </cell>
          <cell r="B49" t="str">
            <v>H</v>
          </cell>
          <cell r="C49">
            <v>0.212</v>
          </cell>
          <cell r="D49">
            <v>0.195</v>
          </cell>
          <cell r="E49" t="str">
            <v>é</v>
          </cell>
          <cell r="F49">
            <v>0.239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0.703</v>
          </cell>
          <cell r="D52">
            <v>0.829</v>
          </cell>
          <cell r="E52" t="str">
            <v>ê</v>
          </cell>
          <cell r="F52">
            <v>0.653</v>
          </cell>
          <cell r="G52">
            <v>0.896</v>
          </cell>
          <cell r="H52">
            <v>0.652</v>
          </cell>
          <cell r="I52">
            <v>0.45158641670101</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8.92094399318706</v>
          </cell>
          <cell r="D56">
            <v>8.9</v>
          </cell>
          <cell r="E56" t="str">
            <v>é</v>
          </cell>
          <cell r="F56">
            <v>8.95706021142788</v>
          </cell>
          <cell r="L56" t="str">
            <v>Fleet MPG</v>
          </cell>
          <cell r="M56" t="str">
            <v>H</v>
          </cell>
          <cell r="N56">
            <v>9.13747405813827</v>
          </cell>
          <cell r="O56">
            <v>8.9</v>
          </cell>
          <cell r="P56" t="str">
            <v>+</v>
          </cell>
          <cell r="Q56">
            <v>9.01700171990865</v>
          </cell>
          <cell r="V56" t="str">
            <v>é</v>
          </cell>
          <cell r="W56" t="str">
            <v>é</v>
          </cell>
          <cell r="Y56" t="str">
            <v>M</v>
          </cell>
          <cell r="Z56" t="str">
            <v>O</v>
          </cell>
        </row>
        <row r="57">
          <cell r="A57" t="str">
            <v>Renewable Energy Generated (kWh)</v>
          </cell>
          <cell r="B57" t="str">
            <v>H</v>
          </cell>
          <cell r="D57">
            <v>8479000</v>
          </cell>
          <cell r="E57" t="str">
            <v>ê</v>
          </cell>
          <cell r="F57">
            <v>4224148.31183333</v>
          </cell>
          <cell r="J57">
            <v>4224148.31183333</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0.9689</v>
          </cell>
          <cell r="D58">
            <v>0.969</v>
          </cell>
          <cell r="E58" t="str">
            <v>é</v>
          </cell>
          <cell r="F58">
            <v>0.978838450151902</v>
          </cell>
          <cell r="G58">
            <v>0.7203</v>
          </cell>
          <cell r="H58">
            <v>0.991</v>
          </cell>
          <cell r="I58">
            <v>0.966726482306401</v>
          </cell>
          <cell r="L58" t="str">
            <v>Non-Hazardous Waste</v>
          </cell>
          <cell r="M58" t="str">
            <v>H</v>
          </cell>
          <cell r="N58">
            <v>0.972823469004716</v>
          </cell>
          <cell r="O58">
            <v>0.969</v>
          </cell>
          <cell r="P58" t="str">
            <v>-</v>
          </cell>
          <cell r="Q58">
            <v>0.962083303669924</v>
          </cell>
          <cell r="R58">
            <v>0.6254</v>
          </cell>
          <cell r="S58">
            <v>0.987</v>
          </cell>
          <cell r="T58">
            <v>0.937824075158591</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53534833.2867635</v>
          </cell>
          <cell r="J59">
            <v>53534833.2867635</v>
          </cell>
          <cell r="L59" t="str">
            <v>Energy Efficiency Energy Savings (kWh equivalent)</v>
          </cell>
          <cell r="M59" t="str">
            <v>H</v>
          </cell>
          <cell r="P59" t="str">
            <v>N/A</v>
          </cell>
          <cell r="Q59">
            <v>23377255.2823508</v>
          </cell>
          <cell r="U59">
            <v>23377255.2823508</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v>
          </cell>
          <cell r="H62" t="str">
            <v> </v>
          </cell>
          <cell r="I62" t="str">
            <v>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LEGEND:    Monthly Status:        +  = Better than Plan,        o  = On Plan,        -  = Worse than Plan,      </v>
          </cell>
          <cell r="U64" t="str">
            <v>iPower</v>
          </cell>
          <cell r="V64">
            <v>0.395348837209302</v>
          </cell>
          <cell r="W64">
            <v>0.351351351351351</v>
          </cell>
          <cell r="Y64">
            <v>55</v>
          </cell>
          <cell r="Z64">
            <v>46</v>
          </cell>
        </row>
      </sheetData>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1309556.63</v>
          </cell>
          <cell r="F24">
            <v>238461.21</v>
          </cell>
          <cell r="G24">
            <v>115294.01</v>
          </cell>
          <cell r="H24">
            <v>403900.005000003</v>
          </cell>
          <cell r="I24">
            <v>964264.759999998</v>
          </cell>
          <cell r="J24">
            <v>1695615.28</v>
          </cell>
          <cell r="K24">
            <v>-7174877.93</v>
          </cell>
          <cell r="L24">
            <v>1866311.7</v>
          </cell>
          <cell r="M24">
            <v>-37127902.58</v>
          </cell>
          <cell r="N24">
            <v>696924.69</v>
          </cell>
          <cell r="O24">
            <v>-93139492.63</v>
          </cell>
          <cell r="P24">
            <v>-1930518.74</v>
          </cell>
          <cell r="Q24">
            <v>-132082463.595</v>
          </cell>
        </row>
        <row r="25">
          <cell r="B25" t="str">
            <v>E3502001</v>
          </cell>
          <cell r="C25" t="str">
            <v>LIMITED TERM LAND</v>
          </cell>
          <cell r="P25">
            <v>2306308.45</v>
          </cell>
          <cell r="Q25">
            <v>2306308.45</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v>
          </cell>
          <cell r="G27">
            <v>1113508.84</v>
          </cell>
          <cell r="H27">
            <v>-1193363.53000001</v>
          </cell>
          <cell r="I27">
            <v>1820553.93</v>
          </cell>
          <cell r="J27">
            <v>1598327.74</v>
          </cell>
          <cell r="K27">
            <v>-27696017.79</v>
          </cell>
          <cell r="L27">
            <v>1330624.77</v>
          </cell>
          <cell r="M27">
            <v>-43147327.85</v>
          </cell>
          <cell r="N27">
            <v>339807.65</v>
          </cell>
          <cell r="O27">
            <v>11165204.5</v>
          </cell>
          <cell r="P27">
            <v>-84085570.61</v>
          </cell>
          <cell r="Q27">
            <v>-133615094.885</v>
          </cell>
        </row>
        <row r="28">
          <cell r="B28" t="str">
            <v>E3531001</v>
          </cell>
          <cell r="C28" t="str">
            <v>STATION EQUIPMENT (OTHER THAN YARDS</v>
          </cell>
          <cell r="E28">
            <v>6118644.71</v>
          </cell>
          <cell r="F28">
            <v>12966734.895</v>
          </cell>
          <cell r="G28">
            <v>18986891.52</v>
          </cell>
          <cell r="H28">
            <v>1299110.58999998</v>
          </cell>
          <cell r="I28">
            <v>16517203.73</v>
          </cell>
          <cell r="J28">
            <v>-3334300.87</v>
          </cell>
          <cell r="K28">
            <v>38256992.75</v>
          </cell>
          <cell r="L28">
            <v>-3861077.5</v>
          </cell>
          <cell r="M28">
            <v>47898054.92</v>
          </cell>
          <cell r="N28">
            <v>8441083.91</v>
          </cell>
          <cell r="O28">
            <v>-17502303.077406</v>
          </cell>
          <cell r="P28">
            <v>113331958.52</v>
          </cell>
          <cell r="Q28">
            <v>239118994.097594</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2355.47</v>
          </cell>
          <cell r="G30">
            <v>51193.01</v>
          </cell>
          <cell r="H30">
            <v>-291356.04</v>
          </cell>
          <cell r="I30">
            <v>1553853.84</v>
          </cell>
          <cell r="J30">
            <v>1612219.74</v>
          </cell>
          <cell r="K30">
            <v>131173.05</v>
          </cell>
          <cell r="L30">
            <v>54470.46</v>
          </cell>
          <cell r="M30">
            <v>51428.56</v>
          </cell>
          <cell r="N30">
            <v>10541.36</v>
          </cell>
          <cell r="O30">
            <v>3829.97999999952</v>
          </cell>
          <cell r="P30">
            <v>360.71</v>
          </cell>
          <cell r="Q30">
            <v>3259953.73</v>
          </cell>
        </row>
        <row r="31">
          <cell r="B31" t="str">
            <v>E3540001</v>
          </cell>
          <cell r="C31" t="str">
            <v>TOWERS AND FIXTURES - 138, 230 RO 34</v>
          </cell>
          <cell r="E31">
            <v>8094.13</v>
          </cell>
          <cell r="F31">
            <v>142313.58</v>
          </cell>
          <cell r="G31">
            <v>-4299.41</v>
          </cell>
          <cell r="H31">
            <v>5082947.22500001</v>
          </cell>
          <cell r="I31">
            <v>1355252.24</v>
          </cell>
          <cell r="J31">
            <v>3031471.64176334</v>
          </cell>
          <cell r="K31">
            <v>122383.25</v>
          </cell>
          <cell r="L31">
            <v>323042.97</v>
          </cell>
          <cell r="M31">
            <v>-39791681.66</v>
          </cell>
          <cell r="N31">
            <v>163506.48</v>
          </cell>
          <cell r="O31">
            <v>301172496.47</v>
          </cell>
          <cell r="P31">
            <v>14422449.1</v>
          </cell>
          <cell r="Q31">
            <v>286027976.016763</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v>
          </cell>
          <cell r="G34">
            <v>-4778.93000000017</v>
          </cell>
          <cell r="H34">
            <v>4122.75</v>
          </cell>
          <cell r="I34">
            <v>357.01</v>
          </cell>
          <cell r="J34">
            <v>6906.51</v>
          </cell>
          <cell r="K34">
            <v>0</v>
          </cell>
          <cell r="L34">
            <v>2312.2</v>
          </cell>
          <cell r="M34">
            <v>63.37</v>
          </cell>
          <cell r="N34">
            <v>0</v>
          </cell>
          <cell r="O34">
            <v>0</v>
          </cell>
          <cell r="P34">
            <v>-8886618.14</v>
          </cell>
          <cell r="Q34">
            <v>-8755565.24</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v>
          </cell>
          <cell r="F36">
            <v>103656.58</v>
          </cell>
          <cell r="G36">
            <v>38252.0700000022</v>
          </cell>
          <cell r="H36">
            <v>40956.08</v>
          </cell>
          <cell r="I36">
            <v>354059.83</v>
          </cell>
          <cell r="J36">
            <v>919543.959999999</v>
          </cell>
          <cell r="K36">
            <v>12780.45</v>
          </cell>
          <cell r="L36">
            <v>2306522.5</v>
          </cell>
          <cell r="M36">
            <v>-31719220.29</v>
          </cell>
          <cell r="N36">
            <v>1319850.43</v>
          </cell>
          <cell r="O36">
            <v>125773.313531203</v>
          </cell>
          <cell r="P36">
            <v>1832055.81478801</v>
          </cell>
          <cell r="Q36">
            <v>-24421721.8074452</v>
          </cell>
        </row>
        <row r="37">
          <cell r="B37" t="str">
            <v>E3554001</v>
          </cell>
          <cell r="C37" t="str">
            <v>69KV-E3554007-Pole Fixtures-TC10</v>
          </cell>
          <cell r="E37">
            <v>48598.78</v>
          </cell>
          <cell r="F37">
            <v>13008.2199999998</v>
          </cell>
          <cell r="G37">
            <v>-23834.1300000008</v>
          </cell>
          <cell r="H37">
            <v>19453.22</v>
          </cell>
          <cell r="I37">
            <v>73806.57</v>
          </cell>
          <cell r="J37">
            <v>12618.26</v>
          </cell>
          <cell r="K37">
            <v>-0.470000000000002</v>
          </cell>
          <cell r="L37">
            <v>5717.89</v>
          </cell>
          <cell r="M37">
            <v>-8098.62</v>
          </cell>
          <cell r="N37">
            <v>4948.09</v>
          </cell>
          <cell r="O37">
            <v>153504.94</v>
          </cell>
          <cell r="P37">
            <v>234965.43</v>
          </cell>
          <cell r="Q37">
            <v>534688.179999999</v>
          </cell>
        </row>
        <row r="38">
          <cell r="B38" t="str">
            <v>E3560001</v>
          </cell>
          <cell r="C38" t="str">
            <v>OVERHEAD CONDUCTORS AND DEVICES</v>
          </cell>
          <cell r="E38">
            <v>1772033.32</v>
          </cell>
          <cell r="F38">
            <v>-1471830.64768562</v>
          </cell>
          <cell r="G38">
            <v>1387629.67</v>
          </cell>
          <cell r="H38">
            <v>7836252.94</v>
          </cell>
          <cell r="I38">
            <v>4241564.77000001</v>
          </cell>
          <cell r="J38">
            <v>16969246.6917633</v>
          </cell>
          <cell r="K38">
            <v>-22518491.19</v>
          </cell>
          <cell r="L38">
            <v>13882851.91</v>
          </cell>
          <cell r="M38">
            <v>84266080.19</v>
          </cell>
          <cell r="N38">
            <v>7055462.93</v>
          </cell>
          <cell r="O38">
            <v>-220966431.97</v>
          </cell>
          <cell r="P38">
            <v>13152966.7</v>
          </cell>
          <cell r="Q38">
            <v>-94392664.6859223</v>
          </cell>
        </row>
        <row r="39">
          <cell r="B39" t="str">
            <v>E3561001</v>
          </cell>
          <cell r="C39" t="str">
            <v>69KV-E3561007-Overhead Conductors &amp; Devices-Tc10</v>
          </cell>
          <cell r="E39">
            <v>852526.43576446</v>
          </cell>
          <cell r="F39">
            <v>500495.88</v>
          </cell>
          <cell r="G39">
            <v>789192.52</v>
          </cell>
          <cell r="H39">
            <v>324376.7</v>
          </cell>
          <cell r="I39">
            <v>686143.16834342</v>
          </cell>
          <cell r="J39">
            <v>322905.01</v>
          </cell>
          <cell r="K39">
            <v>-461110.75</v>
          </cell>
          <cell r="L39">
            <v>-312464.41</v>
          </cell>
          <cell r="M39">
            <v>-45926.59</v>
          </cell>
          <cell r="N39">
            <v>272988.16</v>
          </cell>
          <cell r="O39">
            <v>799045.057025402</v>
          </cell>
          <cell r="P39">
            <v>-3333530.48908743</v>
          </cell>
          <cell r="Q39">
            <v>394640.692045847</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v>
          </cell>
          <cell r="F41">
            <v>-3258.15</v>
          </cell>
          <cell r="G41">
            <v>43552.3900000006</v>
          </cell>
          <cell r="H41">
            <v>423.46</v>
          </cell>
          <cell r="I41">
            <v>3322.82</v>
          </cell>
          <cell r="J41">
            <v>22.79</v>
          </cell>
          <cell r="K41">
            <v>16840.78</v>
          </cell>
          <cell r="L41">
            <v>1853.76</v>
          </cell>
          <cell r="M41">
            <v>4.73</v>
          </cell>
          <cell r="N41">
            <v>1253.63</v>
          </cell>
          <cell r="O41">
            <v>355428.22</v>
          </cell>
          <cell r="P41">
            <v>3602.71429941742</v>
          </cell>
          <cell r="Q41">
            <v>498156.584299418</v>
          </cell>
        </row>
        <row r="42">
          <cell r="B42" t="str">
            <v>E3580001</v>
          </cell>
          <cell r="C42" t="str">
            <v>UNDERGROUND CONDUCTORS AND DEVICES</v>
          </cell>
          <cell r="E42">
            <v>997760.47</v>
          </cell>
          <cell r="F42">
            <v>494597.79</v>
          </cell>
          <cell r="G42">
            <v>127070.44</v>
          </cell>
          <cell r="H42">
            <v>943578.77</v>
          </cell>
          <cell r="I42">
            <v>126162.27</v>
          </cell>
          <cell r="J42">
            <v>67588.2699999996</v>
          </cell>
          <cell r="K42">
            <v>100323.77</v>
          </cell>
          <cell r="L42">
            <v>2724472.43</v>
          </cell>
          <cell r="M42">
            <v>33684837.28</v>
          </cell>
          <cell r="N42">
            <v>294293.38</v>
          </cell>
          <cell r="O42">
            <v>23896598.79</v>
          </cell>
          <cell r="P42">
            <v>7296845.92</v>
          </cell>
          <cell r="Q42">
            <v>70754129.58</v>
          </cell>
        </row>
        <row r="43">
          <cell r="B43" t="str">
            <v>E3582001</v>
          </cell>
          <cell r="C43" t="str">
            <v>69KV-E3582007-Undrgnd Cond&amp;Devics(Conv)-Tc10</v>
          </cell>
          <cell r="E43">
            <v>36231.32</v>
          </cell>
          <cell r="F43">
            <v>2432027.38</v>
          </cell>
          <cell r="G43">
            <v>-92890.5299999993</v>
          </cell>
          <cell r="H43">
            <v>19081.99</v>
          </cell>
          <cell r="I43">
            <v>1088516.07165658</v>
          </cell>
          <cell r="J43">
            <v>606208.93</v>
          </cell>
          <cell r="K43">
            <v>2109.57</v>
          </cell>
          <cell r="L43">
            <v>-1676465.82</v>
          </cell>
          <cell r="M43">
            <v>45144.51</v>
          </cell>
          <cell r="N43">
            <v>38253.69</v>
          </cell>
          <cell r="O43">
            <v>266208.569443388</v>
          </cell>
          <cell r="P43">
            <v>-2514433.52999998</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11269355.65</v>
          </cell>
          <cell r="F47">
            <v>20952932.7023144</v>
          </cell>
          <cell r="G47">
            <v>22526781.47</v>
          </cell>
          <cell r="H47">
            <v>14884872.64</v>
          </cell>
          <cell r="I47">
            <v>28785066.43</v>
          </cell>
          <cell r="J47">
            <v>23508373.9535266</v>
          </cell>
          <cell r="K47">
            <v>-19207894.51</v>
          </cell>
          <cell r="L47">
            <v>16648172.86</v>
          </cell>
          <cell r="M47">
            <v>14347846.35</v>
          </cell>
          <cell r="N47">
            <v>18640665.37</v>
          </cell>
          <cell r="O47">
            <v>6330094.89259401</v>
          </cell>
          <cell r="P47">
            <v>51831668.59</v>
          </cell>
          <cell r="Q47">
            <v>210517936.398435</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390428.16</v>
          </cell>
          <cell r="P52">
            <v>128784.61</v>
          </cell>
          <cell r="Q52">
            <v>1040438.02</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2068.49</v>
          </cell>
          <cell r="I54">
            <v>27168</v>
          </cell>
          <cell r="J54">
            <v>0</v>
          </cell>
          <cell r="K54">
            <v>4311</v>
          </cell>
          <cell r="L54">
            <v>991.55</v>
          </cell>
          <cell r="M54">
            <v>12988.39</v>
          </cell>
          <cell r="N54">
            <v>0</v>
          </cell>
          <cell r="O54">
            <v>0</v>
          </cell>
          <cell r="P54">
            <v>49309</v>
          </cell>
          <cell r="Q54">
            <v>96836.43</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v>
          </cell>
        </row>
        <row r="57">
          <cell r="B57" t="str">
            <v>E3922001</v>
          </cell>
          <cell r="C57" t="str">
            <v>TRANSPORTATION EQUIPMENT over 13K lb</v>
          </cell>
          <cell r="F57">
            <v>5010.60000000009</v>
          </cell>
          <cell r="H57">
            <v>0</v>
          </cell>
          <cell r="J57">
            <v>167542.73</v>
          </cell>
          <cell r="K57">
            <v>1522.89999999999</v>
          </cell>
          <cell r="L57">
            <v>0</v>
          </cell>
          <cell r="M57">
            <v>0</v>
          </cell>
          <cell r="N57">
            <v>1354.57</v>
          </cell>
          <cell r="O57">
            <v>0</v>
          </cell>
          <cell r="P57">
            <v>0</v>
          </cell>
          <cell r="Q57">
            <v>175430.8</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v>
          </cell>
          <cell r="I60">
            <v>11632.01</v>
          </cell>
          <cell r="J60">
            <v>0</v>
          </cell>
          <cell r="L60">
            <v>0</v>
          </cell>
          <cell r="M60">
            <v>0</v>
          </cell>
          <cell r="N60">
            <v>366980.85</v>
          </cell>
          <cell r="O60">
            <v>-319152</v>
          </cell>
          <cell r="P60">
            <v>356386.57</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256.54</v>
          </cell>
          <cell r="J63">
            <v>0</v>
          </cell>
          <cell r="L63">
            <v>0</v>
          </cell>
          <cell r="M63">
            <v>627.000000000007</v>
          </cell>
          <cell r="N63">
            <v>1824</v>
          </cell>
          <cell r="O63">
            <v>238153.87</v>
          </cell>
          <cell r="P63">
            <v>62478</v>
          </cell>
          <cell r="Q63">
            <v>303339.41</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37758252.785</v>
          </cell>
          <cell r="I92">
            <v>0</v>
          </cell>
          <cell r="J92">
            <v>0</v>
          </cell>
          <cell r="K92">
            <v>73504303.69</v>
          </cell>
          <cell r="L92">
            <v>0</v>
          </cell>
          <cell r="M92">
            <v>104685.84</v>
          </cell>
          <cell r="N92">
            <v>0</v>
          </cell>
          <cell r="P92">
            <v>1998870.5</v>
          </cell>
          <cell r="Q92">
            <v>114454033.115</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v>
          </cell>
          <cell r="Q94">
            <v>149825.3</v>
          </cell>
        </row>
        <row r="95">
          <cell r="B95" t="str">
            <v>E3520001</v>
          </cell>
          <cell r="C95" t="str">
            <v>STRUCTURES &amp; IMPROVEMENTS</v>
          </cell>
          <cell r="E95">
            <v>0</v>
          </cell>
          <cell r="F95">
            <v>30183458.625</v>
          </cell>
          <cell r="G95">
            <v>7518.5</v>
          </cell>
          <cell r="H95">
            <v>56705306.26</v>
          </cell>
          <cell r="I95">
            <v>85592.18</v>
          </cell>
          <cell r="J95">
            <v>2307067.35</v>
          </cell>
          <cell r="K95">
            <v>0</v>
          </cell>
          <cell r="L95">
            <v>0</v>
          </cell>
          <cell r="M95">
            <v>87303571.75</v>
          </cell>
          <cell r="N95">
            <v>1530534.01</v>
          </cell>
          <cell r="O95">
            <v>53859422.32</v>
          </cell>
          <cell r="P95">
            <v>270241.69</v>
          </cell>
          <cell r="Q95">
            <v>232252712.685</v>
          </cell>
        </row>
        <row r="96">
          <cell r="B96" t="str">
            <v>E3531001</v>
          </cell>
          <cell r="C96" t="str">
            <v>STATION EQUIPMENT (OTHER THAN YARDS</v>
          </cell>
          <cell r="E96">
            <v>29710021.69</v>
          </cell>
          <cell r="F96">
            <v>37895033.715</v>
          </cell>
          <cell r="G96">
            <v>38985998.94</v>
          </cell>
          <cell r="H96">
            <v>191232213.3</v>
          </cell>
          <cell r="I96">
            <v>24516381.74</v>
          </cell>
          <cell r="J96">
            <v>48420323.31</v>
          </cell>
          <cell r="K96">
            <v>22067748.27</v>
          </cell>
          <cell r="L96">
            <v>33683827.48</v>
          </cell>
          <cell r="M96">
            <v>2379564.32</v>
          </cell>
          <cell r="N96">
            <v>17382110.52</v>
          </cell>
          <cell r="O96">
            <v>0</v>
          </cell>
          <cell r="P96">
            <v>61919764.27</v>
          </cell>
          <cell r="Q96">
            <v>508192987.555</v>
          </cell>
        </row>
        <row r="97">
          <cell r="B97" t="str">
            <v>E3532001</v>
          </cell>
          <cell r="C97" t="str">
            <v>STATION EQUIPMENT (YARDS CREEK)</v>
          </cell>
          <cell r="F97">
            <v>0</v>
          </cell>
          <cell r="H97">
            <v>0</v>
          </cell>
          <cell r="I97">
            <v>0</v>
          </cell>
          <cell r="J97">
            <v>0</v>
          </cell>
          <cell r="L97">
            <v>0</v>
          </cell>
          <cell r="M97">
            <v>0</v>
          </cell>
          <cell r="O97">
            <v>4476796.05</v>
          </cell>
          <cell r="Q97">
            <v>4476796.05</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89862993.755</v>
          </cell>
          <cell r="I99">
            <v>0</v>
          </cell>
          <cell r="J99">
            <v>3541326.81823666</v>
          </cell>
          <cell r="K99">
            <v>0</v>
          </cell>
          <cell r="L99">
            <v>0</v>
          </cell>
          <cell r="M99">
            <v>0</v>
          </cell>
          <cell r="N99">
            <v>0</v>
          </cell>
          <cell r="O99">
            <v>0</v>
          </cell>
          <cell r="P99">
            <v>0</v>
          </cell>
          <cell r="Q99">
            <v>93404320.5732367</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15389808.6464688</v>
          </cell>
          <cell r="Q103">
            <v>15389808.6464688</v>
          </cell>
        </row>
        <row r="104">
          <cell r="B104" t="str">
            <v>E3553001</v>
          </cell>
          <cell r="C104" t="str">
            <v>MASS PROPERTY POLES</v>
          </cell>
          <cell r="E104">
            <v>699115.415764459</v>
          </cell>
          <cell r="F104">
            <v>116362.09</v>
          </cell>
          <cell r="G104">
            <v>0</v>
          </cell>
          <cell r="H104">
            <v>0</v>
          </cell>
          <cell r="I104">
            <v>1308473.22</v>
          </cell>
          <cell r="J104">
            <v>32771567.29</v>
          </cell>
          <cell r="K104">
            <v>0</v>
          </cell>
          <cell r="L104">
            <v>47987489.3</v>
          </cell>
          <cell r="M104">
            <v>0</v>
          </cell>
          <cell r="N104">
            <v>0</v>
          </cell>
          <cell r="O104">
            <v>0</v>
          </cell>
          <cell r="P104">
            <v>5807176.90521199</v>
          </cell>
          <cell r="Q104">
            <v>88690184.2209764</v>
          </cell>
        </row>
        <row r="105">
          <cell r="B105" t="str">
            <v>E3554001</v>
          </cell>
          <cell r="C105" t="str">
            <v>69KV-E3554007-Pole Fixtures-TC10</v>
          </cell>
          <cell r="E105">
            <v>0</v>
          </cell>
          <cell r="F105">
            <v>45698.1700000002</v>
          </cell>
          <cell r="G105">
            <v>0</v>
          </cell>
          <cell r="H105">
            <v>0</v>
          </cell>
          <cell r="I105">
            <v>0</v>
          </cell>
          <cell r="J105">
            <v>0</v>
          </cell>
          <cell r="K105">
            <v>0</v>
          </cell>
          <cell r="L105">
            <v>0</v>
          </cell>
          <cell r="M105">
            <v>0</v>
          </cell>
          <cell r="N105">
            <v>0</v>
          </cell>
          <cell r="O105">
            <v>17638962.98</v>
          </cell>
          <cell r="P105">
            <v>0</v>
          </cell>
          <cell r="Q105">
            <v>17684661.15</v>
          </cell>
        </row>
        <row r="106">
          <cell r="B106" t="str">
            <v>E3560001</v>
          </cell>
          <cell r="C106" t="str">
            <v>OVERHEAD CONDUCTORS AND DEVICES</v>
          </cell>
          <cell r="E106">
            <v>20191403.17</v>
          </cell>
          <cell r="F106">
            <v>7226580.86768562</v>
          </cell>
          <cell r="G106">
            <v>3182547.49</v>
          </cell>
          <cell r="H106">
            <v>141488819.9</v>
          </cell>
          <cell r="I106">
            <v>91766272.35</v>
          </cell>
          <cell r="J106">
            <v>65208145.7182367</v>
          </cell>
          <cell r="K106">
            <v>149325317.22</v>
          </cell>
          <cell r="L106">
            <v>1881193.06</v>
          </cell>
          <cell r="M106">
            <v>840507.090000001</v>
          </cell>
          <cell r="N106">
            <v>31751566.92</v>
          </cell>
          <cell r="O106">
            <v>10545366.3629746</v>
          </cell>
          <cell r="P106">
            <v>15539744.67</v>
          </cell>
          <cell r="Q106">
            <v>538947464.818897</v>
          </cell>
        </row>
        <row r="107">
          <cell r="B107" t="str">
            <v>E3561001</v>
          </cell>
          <cell r="C107" t="str">
            <v>69KV-E3561007-Overhead Conductors &amp; Devices-Tc10</v>
          </cell>
          <cell r="E107">
            <v>1540134.88423554</v>
          </cell>
          <cell r="F107">
            <v>1959149.13</v>
          </cell>
          <cell r="G107">
            <v>0</v>
          </cell>
          <cell r="H107">
            <v>0</v>
          </cell>
          <cell r="I107">
            <v>1917358.85165658</v>
          </cell>
          <cell r="J107">
            <v>0</v>
          </cell>
          <cell r="K107">
            <v>0</v>
          </cell>
          <cell r="L107">
            <v>0</v>
          </cell>
          <cell r="M107">
            <v>0</v>
          </cell>
          <cell r="N107">
            <v>199386.18</v>
          </cell>
          <cell r="O107">
            <v>0</v>
          </cell>
          <cell r="P107">
            <v>34861910.4090874</v>
          </cell>
          <cell r="Q107">
            <v>40477939.4549796</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239938.045700583</v>
          </cell>
          <cell r="Q109">
            <v>239938.045700583</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v>
          </cell>
          <cell r="P110">
            <v>0</v>
          </cell>
          <cell r="Q110">
            <v>6024173.33055661</v>
          </cell>
        </row>
        <row r="111">
          <cell r="B111" t="str">
            <v>E3582001</v>
          </cell>
          <cell r="C111" t="str">
            <v>69KV-E3582007-Undrgnd Cond&amp;Devics(Conv)-Tc10</v>
          </cell>
          <cell r="E111">
            <v>0</v>
          </cell>
          <cell r="F111">
            <v>0</v>
          </cell>
          <cell r="G111">
            <v>2649551.1</v>
          </cell>
          <cell r="H111">
            <v>0</v>
          </cell>
          <cell r="I111">
            <v>9911313.05834342</v>
          </cell>
          <cell r="J111">
            <v>0</v>
          </cell>
          <cell r="K111">
            <v>0</v>
          </cell>
          <cell r="L111">
            <v>0</v>
          </cell>
          <cell r="M111">
            <v>0</v>
          </cell>
          <cell r="N111">
            <v>0</v>
          </cell>
          <cell r="O111">
            <v>0</v>
          </cell>
          <cell r="P111">
            <v>61297662.43</v>
          </cell>
          <cell r="Q111">
            <v>73858526.5883434</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56227731.02</v>
          </cell>
          <cell r="F115">
            <v>79397974.3476856</v>
          </cell>
          <cell r="G115">
            <v>48394850.48</v>
          </cell>
          <cell r="H115">
            <v>517255776.17</v>
          </cell>
          <cell r="I115">
            <v>129505391.4</v>
          </cell>
          <cell r="J115">
            <v>153153682.996473</v>
          </cell>
          <cell r="K115">
            <v>244897369.18</v>
          </cell>
          <cell r="L115">
            <v>83552509.84</v>
          </cell>
          <cell r="M115">
            <v>90628329</v>
          </cell>
          <cell r="N115">
            <v>50863597.63</v>
          </cell>
          <cell r="O115">
            <v>103092046.62</v>
          </cell>
          <cell r="P115">
            <v>181935308.92</v>
          </cell>
          <cell r="Q115">
            <v>1738904567.60416</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44900.04</v>
          </cell>
          <cell r="Q132">
            <v>44900.04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-23803367.38</v>
          </cell>
          <cell r="M160">
            <v>219890.88000001</v>
          </cell>
          <cell r="N160">
            <v>-7195.83</v>
          </cell>
          <cell r="O160">
            <v>23803367.38</v>
          </cell>
          <cell r="P160">
            <v>-20681559.57</v>
          </cell>
          <cell r="Q160">
            <v>-20468864.52</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1111292.4</v>
          </cell>
          <cell r="I164">
            <v>-1203062</v>
          </cell>
          <cell r="M164">
            <v>0</v>
          </cell>
          <cell r="Q164">
            <v>-2741493.45</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416879.650000036</v>
          </cell>
          <cell r="Q167">
            <v>416879.650000036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v>
          </cell>
          <cell r="M172">
            <v>0</v>
          </cell>
          <cell r="Q172">
            <v>-468482.350000003</v>
          </cell>
        </row>
        <row r="173">
          <cell r="B173" t="str">
            <v>E3554001</v>
          </cell>
          <cell r="C173" t="str">
            <v>69KV-E3554007-Pole Fixtures-TC10</v>
          </cell>
          <cell r="G173">
            <v>114792.88</v>
          </cell>
          <cell r="M173">
            <v>0</v>
          </cell>
          <cell r="Q173">
            <v>114792.88</v>
          </cell>
        </row>
        <row r="174">
          <cell r="B174" t="str">
            <v>E3560001</v>
          </cell>
          <cell r="C174" t="str">
            <v>OVERHEAD CONDUCTORS AND DEVICES</v>
          </cell>
          <cell r="G174">
            <v>-2966657.27</v>
          </cell>
          <cell r="M174">
            <v>0</v>
          </cell>
          <cell r="Q174">
            <v>-2966657.27</v>
          </cell>
        </row>
        <row r="175">
          <cell r="B175" t="str">
            <v>E3561001</v>
          </cell>
          <cell r="C175" t="str">
            <v>69KV-E3561007-Overhead Conductors &amp; Devices-Tc10</v>
          </cell>
          <cell r="G175">
            <v>-114167.889999993</v>
          </cell>
          <cell r="M175">
            <v>0</v>
          </cell>
          <cell r="Q175">
            <v>-114167.889999993</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-71089.6400000006</v>
          </cell>
          <cell r="M177">
            <v>0</v>
          </cell>
          <cell r="Q177">
            <v>-71089.6400000006</v>
          </cell>
        </row>
        <row r="178">
          <cell r="B178" t="str">
            <v>E3580001</v>
          </cell>
          <cell r="C178" t="str">
            <v>UNDERGROUND CONDUCTORS AND DEVICES</v>
          </cell>
          <cell r="G178">
            <v>-1520.61</v>
          </cell>
          <cell r="K178">
            <v>23803367.38</v>
          </cell>
          <cell r="M178">
            <v>0</v>
          </cell>
          <cell r="O178">
            <v>-23803367.38</v>
          </cell>
          <cell r="Q178">
            <v>-1520.6099999994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-89.7900000000373</v>
          </cell>
          <cell r="M180">
            <v>0</v>
          </cell>
          <cell r="Q180">
            <v>-89.7900000000373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v>
          </cell>
          <cell r="H183">
            <v>0</v>
          </cell>
          <cell r="I183">
            <v>-1203062</v>
          </cell>
          <cell r="J183">
            <v>0</v>
          </cell>
          <cell r="K183">
            <v>0</v>
          </cell>
          <cell r="L183">
            <v>0</v>
          </cell>
          <cell r="M183">
            <v>219890.880000046</v>
          </cell>
          <cell r="N183">
            <v>0</v>
          </cell>
          <cell r="O183">
            <v>0</v>
          </cell>
          <cell r="P183">
            <v>-20681559.57</v>
          </cell>
          <cell r="Q183">
            <v>-23203162.1399999</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138049.67</v>
          </cell>
          <cell r="P192">
            <v>0</v>
          </cell>
          <cell r="Q192">
            <v>138049.67</v>
          </cell>
        </row>
        <row r="193">
          <cell r="B193" t="str">
            <v>E3922001</v>
          </cell>
          <cell r="C193" t="str">
            <v>TRANSPORTATION EQUIPMENT over 13K lb</v>
          </cell>
          <cell r="N193">
            <v>-138049.67</v>
          </cell>
          <cell r="P193">
            <v>416409.73</v>
          </cell>
          <cell r="Q193">
            <v>278360.06</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-515.17</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v>
          </cell>
          <cell r="F230">
            <v>-846111.53</v>
          </cell>
          <cell r="G230">
            <v>-15825112.97</v>
          </cell>
          <cell r="H230">
            <v>-16263750.52</v>
          </cell>
          <cell r="I230">
            <v>-6577853.54</v>
          </cell>
          <cell r="J230">
            <v>-1358766.06</v>
          </cell>
          <cell r="K230">
            <v>-1070526.39</v>
          </cell>
          <cell r="L230">
            <v>-38552816.57</v>
          </cell>
          <cell r="M230">
            <v>-19539.2</v>
          </cell>
          <cell r="N230">
            <v>-4329099.83</v>
          </cell>
          <cell r="O230">
            <v>-2965560.02</v>
          </cell>
          <cell r="P230">
            <v>-1062291</v>
          </cell>
          <cell r="Q230">
            <v>-101293446.51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-635384.33</v>
          </cell>
          <cell r="N233">
            <v>-1811983.24</v>
          </cell>
          <cell r="O233">
            <v>0</v>
          </cell>
          <cell r="P233">
            <v>0</v>
          </cell>
          <cell r="Q233">
            <v>-3027783.52</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v>
          </cell>
          <cell r="I240">
            <v>-1097148.24</v>
          </cell>
          <cell r="J240">
            <v>-528332.67</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-4036679.52</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v>
          </cell>
          <cell r="F249">
            <v>-846111.53</v>
          </cell>
          <cell r="G249">
            <v>-17035952.17</v>
          </cell>
          <cell r="H249">
            <v>-15357444.75</v>
          </cell>
          <cell r="I249">
            <v>-7747502.33</v>
          </cell>
          <cell r="J249">
            <v>-1916895.16</v>
          </cell>
          <cell r="K249">
            <v>-2079610.58</v>
          </cell>
          <cell r="L249">
            <v>-38552816.57</v>
          </cell>
          <cell r="M249">
            <v>-2630704.65</v>
          </cell>
          <cell r="N249">
            <v>-8764107.9</v>
          </cell>
          <cell r="O249">
            <v>-4084145.69</v>
          </cell>
          <cell r="P249">
            <v>-1608559.35</v>
          </cell>
          <cell r="Q249">
            <v>-118167459.48</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1.15</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0.968</v>
          </cell>
          <cell r="S11">
            <v>0.973</v>
          </cell>
          <cell r="T11" t="str">
            <v>-</v>
          </cell>
          <cell r="U11">
            <v>0.956</v>
          </cell>
          <cell r="V11">
            <v>0.938</v>
          </cell>
          <cell r="W11">
            <v>0.979</v>
          </cell>
          <cell r="X11">
            <v>0.957</v>
          </cell>
          <cell r="Y11">
            <v>0.911</v>
          </cell>
          <cell r="Z11">
            <v>0.999</v>
          </cell>
          <cell r="AA11">
            <v>0.992</v>
          </cell>
          <cell r="AB11">
            <v>1</v>
          </cell>
          <cell r="AC11">
            <v>0.965</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0.098</v>
          </cell>
          <cell r="S13">
            <v>0.026</v>
          </cell>
          <cell r="T13" t="str">
            <v>-</v>
          </cell>
          <cell r="U13">
            <v>0.098</v>
          </cell>
          <cell r="V13">
            <v>0.176</v>
          </cell>
          <cell r="W13">
            <v>0.025</v>
          </cell>
          <cell r="X13">
            <v>0.175</v>
          </cell>
          <cell r="Y13">
            <v>0.06</v>
          </cell>
          <cell r="Z13">
            <v>0.007</v>
          </cell>
          <cell r="AA13">
            <v>0.034</v>
          </cell>
          <cell r="AB13">
            <v>0</v>
          </cell>
          <cell r="AC13">
            <v>0.015</v>
          </cell>
        </row>
        <row r="14">
          <cell r="P14" t="str">
            <v>Employee Technical Training - BU</v>
          </cell>
          <cell r="Q14" t="str">
            <v>H</v>
          </cell>
          <cell r="R14" t="str">
            <v>Quarterly</v>
          </cell>
          <cell r="S14">
            <v>0.6666</v>
          </cell>
          <cell r="U14" t="str">
            <v>Quarterly</v>
          </cell>
        </row>
        <row r="15">
          <cell r="P15" t="str">
            <v>Employee Development - MAST</v>
          </cell>
          <cell r="Q15" t="str">
            <v>H</v>
          </cell>
          <cell r="R15">
            <v>0.173</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0.862</v>
          </cell>
          <cell r="Q17">
            <v>0.903</v>
          </cell>
          <cell r="R17" t="str">
            <v>-</v>
          </cell>
          <cell r="S17">
            <v>0.854</v>
          </cell>
          <cell r="U17">
            <v>0.854</v>
          </cell>
        </row>
        <row r="18">
          <cell r="P18" t="str">
            <v>SAFE (reliable)</v>
          </cell>
          <cell r="Q18" t="str">
            <v>Customer Operations</v>
          </cell>
          <cell r="R18" t="str">
            <v>-</v>
          </cell>
          <cell r="S18">
            <v>0.745</v>
          </cell>
          <cell r="T18">
            <v>0.745</v>
          </cell>
        </row>
        <row r="19">
          <cell r="P19">
            <v>0.051</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v>
          </cell>
          <cell r="D20">
            <v>0.901</v>
          </cell>
          <cell r="E20" t="str">
            <v>ê</v>
          </cell>
          <cell r="F20">
            <v>0.884</v>
          </cell>
          <cell r="H20">
            <v>0.884</v>
          </cell>
          <cell r="P20" t="str">
            <v>Percent of Actual Meters Read</v>
          </cell>
          <cell r="Q20" t="str">
            <v>H</v>
          </cell>
          <cell r="R20">
            <v>0.903</v>
          </cell>
          <cell r="S20">
            <v>0.901</v>
          </cell>
          <cell r="T20" t="str">
            <v>-</v>
          </cell>
          <cell r="U20">
            <v>0.895</v>
          </cell>
          <cell r="W20">
            <v>0.895</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0.99681</v>
          </cell>
          <cell r="P22" t="str">
            <v>MR Errors/10,000 Reads</v>
          </cell>
          <cell r="Q22" t="str">
            <v>L</v>
          </cell>
          <cell r="R22">
            <v>2.7</v>
          </cell>
          <cell r="S22">
            <v>3.9</v>
          </cell>
          <cell r="T22" t="str">
            <v>-</v>
          </cell>
          <cell r="U22">
            <v>5.3</v>
          </cell>
          <cell r="V22">
            <v>0.9949</v>
          </cell>
          <cell r="W22">
            <v>5.3</v>
          </cell>
        </row>
        <row r="23">
          <cell r="A23" t="str">
            <v>Gen'l Inquiry Service Level (30 sec.)</v>
          </cell>
          <cell r="B23" t="str">
            <v>H</v>
          </cell>
          <cell r="C23">
            <v>0.76</v>
          </cell>
          <cell r="D23" t="str">
            <v>51.0% 2</v>
          </cell>
          <cell r="E23" t="str">
            <v>é</v>
          </cell>
          <cell r="F23">
            <v>0.614</v>
          </cell>
          <cell r="G23">
            <v>0.614</v>
          </cell>
          <cell r="P23" t="str">
            <v>Gen'l Inquiry Service Level (30 sec.)</v>
          </cell>
          <cell r="Q23" t="str">
            <v>H</v>
          </cell>
          <cell r="R23">
            <v>0.702</v>
          </cell>
          <cell r="S23">
            <v>0.51</v>
          </cell>
          <cell r="T23" t="str">
            <v>+</v>
          </cell>
          <cell r="U23">
            <v>0.695</v>
          </cell>
          <cell r="V23">
            <v>0.695</v>
          </cell>
        </row>
        <row r="24">
          <cell r="A24" t="str">
            <v>Abandonment Rate - Inbound Collections</v>
          </cell>
          <cell r="B24" t="str">
            <v>L</v>
          </cell>
          <cell r="C24">
            <v>0.109</v>
          </cell>
          <cell r="D24">
            <v>0.109</v>
          </cell>
          <cell r="E24" t="str">
            <v>ê</v>
          </cell>
          <cell r="F24">
            <v>0.171</v>
          </cell>
          <cell r="G24">
            <v>0.171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0.987</v>
          </cell>
          <cell r="D26">
            <v>0.988</v>
          </cell>
          <cell r="E26" t="str">
            <v>é</v>
          </cell>
          <cell r="F26">
            <v>76</v>
          </cell>
          <cell r="P26" t="str">
            <v>Accounts Converted to Bills and Printed (%)</v>
          </cell>
          <cell r="Q26" t="str">
            <v>H</v>
          </cell>
          <cell r="R26">
            <v>0.993</v>
          </cell>
          <cell r="S26">
            <v>0.988</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0.947</v>
          </cell>
          <cell r="D28">
            <v>0.965</v>
          </cell>
          <cell r="E28" t="str">
            <v>é</v>
          </cell>
          <cell r="F28">
            <v>0.989</v>
          </cell>
          <cell r="G28">
            <v>8.3</v>
          </cell>
          <cell r="I28">
            <v>0.989</v>
          </cell>
          <cell r="P28" t="str">
            <v>Payments Deposited within 1 Bus Day (%)</v>
          </cell>
          <cell r="Q28" t="str">
            <v>H</v>
          </cell>
          <cell r="R28">
            <v>0.912</v>
          </cell>
          <cell r="S28">
            <v>0.965</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126444.272727273</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v>
          </cell>
          <cell r="M32">
            <v>77.9</v>
          </cell>
          <cell r="P32" t="str">
            <v>BPU Inquiries - Non-Collection</v>
          </cell>
          <cell r="Q32" t="str">
            <v>L</v>
          </cell>
          <cell r="R32">
            <v>57</v>
          </cell>
          <cell r="S32">
            <v>68.059025322467</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8.7</v>
          </cell>
          <cell r="D35">
            <v>8.7</v>
          </cell>
          <cell r="E35" t="str">
            <v>ê</v>
          </cell>
          <cell r="F35">
            <v>8.2</v>
          </cell>
          <cell r="G35">
            <v>8.1</v>
          </cell>
          <cell r="I35">
            <v>0.2038</v>
          </cell>
          <cell r="J35">
            <v>8.5</v>
          </cell>
          <cell r="P35" t="str">
            <v>Moment of Truth Survey</v>
          </cell>
          <cell r="Q35" t="str">
            <v>H</v>
          </cell>
          <cell r="R35" t="str">
            <v>Quarterly</v>
          </cell>
          <cell r="S35">
            <v>8.7</v>
          </cell>
          <cell r="U35" t="str">
            <v>Quarterly</v>
          </cell>
          <cell r="V35" t="str">
            <v>Qtrly</v>
          </cell>
          <cell r="Y35" t="str">
            <v>Qtrly</v>
          </cell>
        </row>
        <row r="36">
          <cell r="A36" t="str">
            <v>New Business Construction Survey-CO</v>
          </cell>
          <cell r="B36" t="str">
            <v>H</v>
          </cell>
          <cell r="C36">
            <v>8.3</v>
          </cell>
          <cell r="D36">
            <v>8.4</v>
          </cell>
          <cell r="E36" t="str">
            <v>ê</v>
          </cell>
          <cell r="F36">
            <v>8.1</v>
          </cell>
          <cell r="G36">
            <v>8.1</v>
          </cell>
          <cell r="K36">
            <v>6.432952</v>
          </cell>
          <cell r="P36" t="str">
            <v>New Business Construction Survey-CO</v>
          </cell>
          <cell r="Q36" t="str">
            <v>H</v>
          </cell>
          <cell r="R36" t="str">
            <v>Quarterly</v>
          </cell>
          <cell r="S36">
            <v>8.4</v>
          </cell>
          <cell r="U36" t="str">
            <v>Quarterly</v>
          </cell>
          <cell r="V36" t="str">
            <v>Qtrly</v>
          </cell>
          <cell r="X36">
            <v>0.208499</v>
          </cell>
          <cell r="Y36" t="str">
            <v>Qtrly</v>
          </cell>
        </row>
        <row r="37">
          <cell r="A37" t="str">
            <v>Client Value Assessment</v>
          </cell>
          <cell r="B37" t="str">
            <v>H</v>
          </cell>
          <cell r="C37">
            <v>0.081</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8.2</v>
          </cell>
          <cell r="Y38">
            <v>8.2</v>
          </cell>
          <cell r="AB38">
            <v>8.3</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v>
          </cell>
          <cell r="G42">
            <v>0.278</v>
          </cell>
          <cell r="P42" t="str">
            <v>ECONOMIC</v>
          </cell>
          <cell r="Q42" t="str">
            <v>Customer Operations</v>
          </cell>
          <cell r="R42" t="str">
            <v>+</v>
          </cell>
          <cell r="S42">
            <v>0.292</v>
          </cell>
          <cell r="T42">
            <v>0.292</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v>
          </cell>
          <cell r="T44" t="str">
            <v>+</v>
          </cell>
          <cell r="U44">
            <v>0.07</v>
          </cell>
          <cell r="X44">
            <v>9.4</v>
          </cell>
          <cell r="AC44">
            <v>0.07</v>
          </cell>
        </row>
        <row r="45">
          <cell r="P45" t="str">
            <v>iPower CapEx ($M)</v>
          </cell>
          <cell r="Q45" t="str">
            <v>L</v>
          </cell>
          <cell r="R45">
            <v>4.2</v>
          </cell>
          <cell r="S45">
            <v>0</v>
          </cell>
          <cell r="T45" t="str">
            <v>-</v>
          </cell>
          <cell r="U45">
            <v>0.233</v>
          </cell>
          <cell r="X45">
            <v>8.8</v>
          </cell>
          <cell r="AC45">
            <v>0.233</v>
          </cell>
        </row>
        <row r="46">
          <cell r="P46" t="str">
            <v>Accountability O&amp;M ($M)</v>
          </cell>
          <cell r="Q46" t="str">
            <v>L</v>
          </cell>
          <cell r="R46">
            <v>12.9</v>
          </cell>
          <cell r="S46">
            <v>14.713585</v>
          </cell>
          <cell r="T46" t="str">
            <v>-</v>
          </cell>
          <cell r="U46">
            <v>15.112959</v>
          </cell>
          <cell r="V46">
            <v>2.587231</v>
          </cell>
          <cell r="W46">
            <v>3.014513</v>
          </cell>
          <cell r="X46">
            <v>2.344919</v>
          </cell>
          <cell r="Y46">
            <v>1.320593</v>
          </cell>
          <cell r="Z46">
            <v>0.392671</v>
          </cell>
          <cell r="AA46">
            <v>0.757719</v>
          </cell>
          <cell r="AB46">
            <v>0.101812</v>
          </cell>
          <cell r="AC46">
            <v>4.593501</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0.176</v>
          </cell>
          <cell r="S49">
            <v>0.145</v>
          </cell>
          <cell r="T49" t="str">
            <v>-</v>
          </cell>
          <cell r="U49">
            <v>0.2523</v>
          </cell>
          <cell r="X49">
            <v>0.2523</v>
          </cell>
        </row>
        <row r="50">
          <cell r="P50" t="str">
            <v>Notice Dollars Collected on RNP (%) </v>
          </cell>
          <cell r="Q50" t="str">
            <v>H</v>
          </cell>
          <cell r="R50">
            <v>0.66</v>
          </cell>
          <cell r="S50">
            <v>0.701</v>
          </cell>
        </row>
        <row r="51">
          <cell r="P51" t="str">
            <v>Dollars Treated by Field Collections</v>
          </cell>
          <cell r="Q51" t="str">
            <v>H</v>
          </cell>
          <cell r="R51">
            <v>13.9</v>
          </cell>
          <cell r="S51">
            <v>15.6303087205883</v>
          </cell>
        </row>
        <row r="52">
          <cell r="P52" t="str">
            <v>Unbilled Revenue Recovery ($M)</v>
          </cell>
          <cell r="Q52" t="str">
            <v>H</v>
          </cell>
          <cell r="R52">
            <v>2.2</v>
          </cell>
          <cell r="S52">
            <v>2.97976714737969</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v>
          </cell>
          <cell r="Z54">
            <v>0.273</v>
          </cell>
        </row>
        <row r="55">
          <cell r="P55" t="str">
            <v>Contract Revenue ($M)</v>
          </cell>
          <cell r="Q55" t="str">
            <v>H</v>
          </cell>
          <cell r="R55">
            <v>6.9</v>
          </cell>
          <cell r="S55">
            <v>7.00785221850322</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2.3</v>
          </cell>
          <cell r="S57">
            <v>2.891233</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20.136</v>
          </cell>
          <cell r="T59" t="str">
            <v>-</v>
          </cell>
          <cell r="U59">
            <v>9.2</v>
          </cell>
          <cell r="Y59">
            <v>9.2</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0.0126</v>
          </cell>
          <cell r="S65">
            <v>0.03</v>
          </cell>
          <cell r="T65" t="str">
            <v>+</v>
          </cell>
          <cell r="U65">
            <v>0.302</v>
          </cell>
          <cell r="V65">
            <v>0.302</v>
          </cell>
        </row>
        <row r="66">
          <cell r="P66" t="str">
            <v>Paperless Billing (%)</v>
          </cell>
          <cell r="Q66" t="str">
            <v>H</v>
          </cell>
          <cell r="R66" t="str">
            <v>NA</v>
          </cell>
          <cell r="S66">
            <v>0.025</v>
          </cell>
          <cell r="T66" t="str">
            <v>-</v>
          </cell>
          <cell r="U66">
            <v>0.016</v>
          </cell>
          <cell r="X66">
            <v>0.016</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7.2</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0.7474</v>
          </cell>
          <cell r="S71">
            <v>0.695</v>
          </cell>
          <cell r="T71" t="str">
            <v>-</v>
          </cell>
          <cell r="U71">
            <v>0.6254</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19.31</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0.956</v>
          </cell>
          <cell r="D10">
            <v>0.973</v>
          </cell>
          <cell r="E10" t="str">
            <v>ê</v>
          </cell>
          <cell r="F10">
            <v>0.958</v>
          </cell>
          <cell r="G10">
            <v>0.943</v>
          </cell>
          <cell r="H10">
            <v>0.974</v>
          </cell>
          <cell r="I10">
            <v>0.948</v>
          </cell>
          <cell r="J10">
            <v>0.981</v>
          </cell>
          <cell r="K10">
            <v>0.972</v>
          </cell>
          <cell r="L10">
            <v>0.969</v>
          </cell>
          <cell r="M10">
            <v>0.941</v>
          </cell>
          <cell r="P10">
            <v>0.949</v>
          </cell>
          <cell r="Q10">
            <v>0.973</v>
          </cell>
          <cell r="R10" t="str">
            <v>-</v>
          </cell>
          <cell r="S10">
            <v>0.955</v>
          </cell>
          <cell r="T10">
            <v>0.944</v>
          </cell>
          <cell r="U10">
            <v>0.969</v>
          </cell>
          <cell r="V10">
            <v>0.936</v>
          </cell>
          <cell r="W10">
            <v>0.986</v>
          </cell>
          <cell r="X10">
            <v>0.974</v>
          </cell>
          <cell r="Y10">
            <v>0.993</v>
          </cell>
          <cell r="Z10">
            <v>0.938</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0.992</v>
          </cell>
          <cell r="AB11">
            <v>1</v>
          </cell>
          <cell r="AC11">
            <v>0.965</v>
          </cell>
        </row>
        <row r="12">
          <cell r="A12" t="str">
            <v>Overtime</v>
          </cell>
          <cell r="B12" t="str">
            <v>L</v>
          </cell>
          <cell r="C12">
            <v>0.119</v>
          </cell>
          <cell r="D12">
            <v>0.04</v>
          </cell>
          <cell r="E12" t="str">
            <v>ê</v>
          </cell>
          <cell r="F12">
            <v>0.062</v>
          </cell>
          <cell r="G12">
            <v>0.111</v>
          </cell>
          <cell r="H12">
            <v>0.046</v>
          </cell>
          <cell r="I12">
            <v>0.042</v>
          </cell>
          <cell r="J12">
            <v>0.036</v>
          </cell>
          <cell r="K12">
            <v>0.031</v>
          </cell>
          <cell r="L12">
            <v>0.019</v>
          </cell>
          <cell r="M12">
            <v>0</v>
          </cell>
          <cell r="P12">
            <v>0.093</v>
          </cell>
          <cell r="Q12">
            <v>0.04</v>
          </cell>
          <cell r="R12" t="str">
            <v>+</v>
          </cell>
          <cell r="S12">
            <v>0.034</v>
          </cell>
          <cell r="T12">
            <v>0.07</v>
          </cell>
          <cell r="U12">
            <v>0.008</v>
          </cell>
          <cell r="V12">
            <v>0.032</v>
          </cell>
          <cell r="W12">
            <v>0.021</v>
          </cell>
          <cell r="X12">
            <v>0.042</v>
          </cell>
          <cell r="Y12">
            <v>0.012</v>
          </cell>
          <cell r="Z12">
            <v>0</v>
          </cell>
          <cell r="AA12">
            <v>31</v>
          </cell>
          <cell r="AB12">
            <v>11</v>
          </cell>
          <cell r="AC12">
            <v>33</v>
          </cell>
        </row>
        <row r="13">
          <cell r="A13" t="str">
            <v>Employee Development - MAST</v>
          </cell>
          <cell r="B13" t="str">
            <v>H</v>
          </cell>
          <cell r="C13">
            <v>0.984</v>
          </cell>
          <cell r="D13">
            <v>0.97</v>
          </cell>
          <cell r="E13" t="str">
            <v>é</v>
          </cell>
          <cell r="F13">
            <v>0.99</v>
          </cell>
          <cell r="G13">
            <v>0.984</v>
          </cell>
          <cell r="H13">
            <v>1</v>
          </cell>
          <cell r="I13">
            <v>0.996</v>
          </cell>
          <cell r="J13">
            <v>1</v>
          </cell>
          <cell r="K13">
            <v>0.968</v>
          </cell>
          <cell r="L13">
            <v>1</v>
          </cell>
          <cell r="M13">
            <v>1</v>
          </cell>
          <cell r="P13">
            <v>0.984</v>
          </cell>
          <cell r="Q13">
            <v>0.97</v>
          </cell>
          <cell r="R13" t="str">
            <v>+</v>
          </cell>
          <cell r="S13">
            <v>0.99</v>
          </cell>
          <cell r="T13">
            <v>0.984</v>
          </cell>
          <cell r="U13">
            <v>1</v>
          </cell>
          <cell r="V13">
            <v>0.996</v>
          </cell>
          <cell r="W13">
            <v>1</v>
          </cell>
          <cell r="X13">
            <v>0.968</v>
          </cell>
          <cell r="Y13">
            <v>1</v>
          </cell>
          <cell r="Z13">
            <v>1</v>
          </cell>
          <cell r="AA13">
            <v>0.034</v>
          </cell>
          <cell r="AB13">
            <v>0</v>
          </cell>
          <cell r="AC13">
            <v>0.015</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0.6666</v>
          </cell>
          <cell r="U14" t="str">
            <v>Quarterly</v>
          </cell>
        </row>
        <row r="15">
          <cell r="P15" t="str">
            <v>Employee Development - MAST</v>
          </cell>
          <cell r="Q15" t="str">
            <v>H</v>
          </cell>
          <cell r="R15">
            <v>0.173</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v>
          </cell>
          <cell r="D17">
            <v>0.903</v>
          </cell>
          <cell r="E17" t="str">
            <v>ê</v>
          </cell>
          <cell r="F17">
            <v>0.886</v>
          </cell>
          <cell r="H17">
            <v>0.886</v>
          </cell>
          <cell r="P17">
            <v>0.862</v>
          </cell>
          <cell r="Q17">
            <v>0.903</v>
          </cell>
          <cell r="R17" t="str">
            <v>-</v>
          </cell>
          <cell r="S17">
            <v>0.854</v>
          </cell>
          <cell r="U17">
            <v>0.854</v>
          </cell>
        </row>
        <row r="18">
          <cell r="A18" t="str">
            <v>Gen'l Inquiry Service Level (30 sec.)</v>
          </cell>
          <cell r="B18" t="str">
            <v>H</v>
          </cell>
          <cell r="C18">
            <v>0.617</v>
          </cell>
          <cell r="D18">
            <v>0.822</v>
          </cell>
          <cell r="E18" t="str">
            <v>ê</v>
          </cell>
          <cell r="F18">
            <v>0.672</v>
          </cell>
          <cell r="G18">
            <v>0.672</v>
          </cell>
          <cell r="P18">
            <v>0.641</v>
          </cell>
          <cell r="Q18">
            <v>0.822</v>
          </cell>
          <cell r="R18" t="str">
            <v>-</v>
          </cell>
          <cell r="S18">
            <v>0.745</v>
          </cell>
          <cell r="T18">
            <v>0.745</v>
          </cell>
        </row>
        <row r="19">
          <cell r="A19" t="str">
            <v>General Inquiry Abandonment Rate</v>
          </cell>
          <cell r="B19" t="str">
            <v>L</v>
          </cell>
          <cell r="C19">
            <v>0.15</v>
          </cell>
          <cell r="D19">
            <v>0.05</v>
          </cell>
          <cell r="E19" t="str">
            <v>ê</v>
          </cell>
          <cell r="F19">
            <v>0.054</v>
          </cell>
          <cell r="G19">
            <v>0.054</v>
          </cell>
          <cell r="P19">
            <v>0.051</v>
          </cell>
          <cell r="Q19">
            <v>0.05</v>
          </cell>
          <cell r="R19" t="str">
            <v>+</v>
          </cell>
          <cell r="S19">
            <v>0.033</v>
          </cell>
          <cell r="T19">
            <v>0.033</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v>
          </cell>
          <cell r="H20">
            <v>0.884</v>
          </cell>
          <cell r="P20" t="str">
            <v>NA</v>
          </cell>
          <cell r="Q20" t="str">
            <v>Tracking</v>
          </cell>
          <cell r="R20">
            <v>0.903</v>
          </cell>
          <cell r="S20">
            <v>0.901</v>
          </cell>
          <cell r="T20" t="str">
            <v>-</v>
          </cell>
          <cell r="U20">
            <v>0.895</v>
          </cell>
          <cell r="W20">
            <v>0.895</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0.991</v>
          </cell>
          <cell r="E22" t="str">
            <v>é</v>
          </cell>
          <cell r="F22">
            <v>0.99681</v>
          </cell>
          <cell r="H22">
            <v>3.9</v>
          </cell>
          <cell r="I22">
            <v>0.99681</v>
          </cell>
          <cell r="P22">
            <v>1</v>
          </cell>
          <cell r="Q22">
            <v>0.991</v>
          </cell>
          <cell r="R22" t="str">
            <v>+</v>
          </cell>
          <cell r="S22">
            <v>0.9949</v>
          </cell>
          <cell r="T22" t="str">
            <v>-</v>
          </cell>
          <cell r="U22">
            <v>5.3</v>
          </cell>
          <cell r="V22">
            <v>0.9949</v>
          </cell>
          <cell r="W22">
            <v>5.3</v>
          </cell>
        </row>
        <row r="23">
          <cell r="A23" t="str">
            <v>BPU Inquiry Rate-Collection</v>
          </cell>
          <cell r="B23" t="str">
            <v>L</v>
          </cell>
          <cell r="C23">
            <v>1.78</v>
          </cell>
          <cell r="D23">
            <v>1.32</v>
          </cell>
          <cell r="E23" t="str">
            <v>é</v>
          </cell>
          <cell r="F23">
            <v>1.32</v>
          </cell>
          <cell r="G23">
            <v>0.614</v>
          </cell>
          <cell r="P23">
            <v>1.37</v>
          </cell>
          <cell r="Q23">
            <v>1.60099323109846</v>
          </cell>
          <cell r="R23" t="str">
            <v>+</v>
          </cell>
          <cell r="S23">
            <v>0.75</v>
          </cell>
          <cell r="T23" t="str">
            <v>+</v>
          </cell>
          <cell r="U23">
            <v>0.695</v>
          </cell>
          <cell r="V23">
            <v>0.695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8.2</v>
          </cell>
          <cell r="D28">
            <v>8.7</v>
          </cell>
          <cell r="E28" t="str">
            <v>ê</v>
          </cell>
          <cell r="F28">
            <v>8.2</v>
          </cell>
          <cell r="G28">
            <v>8.3</v>
          </cell>
          <cell r="I28">
            <v>8</v>
          </cell>
          <cell r="P28">
            <v>8.3</v>
          </cell>
          <cell r="Q28">
            <v>8.7</v>
          </cell>
          <cell r="R28" t="str">
            <v>-</v>
          </cell>
          <cell r="S28">
            <v>8</v>
          </cell>
          <cell r="T28">
            <v>8.2</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126444.272727273</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v>
          </cell>
          <cell r="D31">
            <v>21.4</v>
          </cell>
          <cell r="E31" t="str">
            <v>é</v>
          </cell>
          <cell r="F31">
            <v>13</v>
          </cell>
          <cell r="M31">
            <v>13</v>
          </cell>
          <cell r="P31">
            <v>-4.125849</v>
          </cell>
          <cell r="Q31">
            <v>1.769669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35.964</v>
          </cell>
          <cell r="I32">
            <v>47.612</v>
          </cell>
          <cell r="J32">
            <v>16.124</v>
          </cell>
          <cell r="K32">
            <v>6.18</v>
          </cell>
          <cell r="L32">
            <v>10.108</v>
          </cell>
          <cell r="M32">
            <v>77.9</v>
          </cell>
          <cell r="P32">
            <v>15.2</v>
          </cell>
          <cell r="Q32">
            <v>18.97828788</v>
          </cell>
          <cell r="R32" t="str">
            <v>+</v>
          </cell>
          <cell r="S32">
            <v>17.1</v>
          </cell>
          <cell r="T32">
            <v>3.156</v>
          </cell>
          <cell r="U32">
            <v>3.306</v>
          </cell>
          <cell r="V32">
            <v>4.081</v>
          </cell>
          <cell r="W32">
            <v>0.368</v>
          </cell>
          <cell r="X32">
            <v>0.535</v>
          </cell>
          <cell r="Y32">
            <v>0.873</v>
          </cell>
          <cell r="Z32">
            <v>4.8</v>
          </cell>
        </row>
        <row r="33">
          <cell r="A33" t="str">
            <v>Net Write-Off ($) /$100 billed</v>
          </cell>
          <cell r="B33" t="str">
            <v>L</v>
          </cell>
          <cell r="C33">
            <v>1.24</v>
          </cell>
          <cell r="D33">
            <v>1</v>
          </cell>
          <cell r="E33" t="str">
            <v>ê</v>
          </cell>
          <cell r="F33">
            <v>1.46</v>
          </cell>
          <cell r="I33">
            <v>1.46</v>
          </cell>
          <cell r="P33">
            <v>2.3</v>
          </cell>
          <cell r="Q33">
            <v>1</v>
          </cell>
          <cell r="R33" t="str">
            <v>+</v>
          </cell>
          <cell r="S33">
            <v>0.88</v>
          </cell>
          <cell r="T33" t="str">
            <v>-</v>
          </cell>
          <cell r="U33">
            <v>73</v>
          </cell>
          <cell r="V33">
            <v>0.88</v>
          </cell>
        </row>
        <row r="34">
          <cell r="A34" t="str">
            <v>Days Sales Outstanding</v>
          </cell>
          <cell r="B34" t="str">
            <v>L</v>
          </cell>
          <cell r="C34">
            <v>37.1</v>
          </cell>
          <cell r="D34">
            <v>34.7</v>
          </cell>
          <cell r="E34" t="str">
            <v>ê</v>
          </cell>
          <cell r="F34">
            <v>40.94</v>
          </cell>
          <cell r="I34">
            <v>40.94</v>
          </cell>
          <cell r="P34">
            <v>35.6</v>
          </cell>
          <cell r="Q34">
            <v>34.7</v>
          </cell>
          <cell r="R34" t="str">
            <v>-</v>
          </cell>
          <cell r="S34">
            <v>36.46</v>
          </cell>
          <cell r="T34" t="str">
            <v>-</v>
          </cell>
          <cell r="U34">
            <v>74</v>
          </cell>
          <cell r="V34">
            <v>36.46</v>
          </cell>
        </row>
        <row r="35">
          <cell r="A35" t="str">
            <v>Aged Receivables &gt;90 Days (%) 2</v>
          </cell>
          <cell r="B35" t="str">
            <v>L</v>
          </cell>
          <cell r="C35">
            <v>0.2</v>
          </cell>
          <cell r="D35">
            <v>0.165</v>
          </cell>
          <cell r="E35" t="str">
            <v>ê</v>
          </cell>
          <cell r="F35">
            <v>0.2038</v>
          </cell>
          <cell r="G35">
            <v>8.1</v>
          </cell>
          <cell r="I35">
            <v>0.2038</v>
          </cell>
          <cell r="J35">
            <v>8.5</v>
          </cell>
          <cell r="P35">
            <v>0.219</v>
          </cell>
          <cell r="Q35">
            <v>0.165</v>
          </cell>
          <cell r="R35" t="str">
            <v>+</v>
          </cell>
          <cell r="S35">
            <v>0.2248</v>
          </cell>
          <cell r="U35" t="str">
            <v>Quarterly</v>
          </cell>
          <cell r="V35">
            <v>0.2248</v>
          </cell>
          <cell r="Y35" t="str">
            <v>Qtrly</v>
          </cell>
        </row>
        <row r="36">
          <cell r="A36" t="str">
            <v>LCS Outdoor Lighting Sales ($M)</v>
          </cell>
          <cell r="B36" t="str">
            <v>H</v>
          </cell>
          <cell r="C36">
            <v>4.150162</v>
          </cell>
          <cell r="D36">
            <v>4.2</v>
          </cell>
          <cell r="E36" t="str">
            <v>é</v>
          </cell>
          <cell r="F36">
            <v>6.432952</v>
          </cell>
          <cell r="G36">
            <v>8.1</v>
          </cell>
          <cell r="K36">
            <v>6.432952</v>
          </cell>
          <cell r="P36">
            <v>2.226005</v>
          </cell>
          <cell r="Q36">
            <v>0.26</v>
          </cell>
          <cell r="R36" t="str">
            <v>-</v>
          </cell>
          <cell r="S36">
            <v>0.208499</v>
          </cell>
          <cell r="U36" t="str">
            <v>Quarterly</v>
          </cell>
          <cell r="V36" t="str">
            <v>Qtrly</v>
          </cell>
          <cell r="X36">
            <v>0.208499</v>
          </cell>
          <cell r="Y36" t="str">
            <v>Qtrly</v>
          </cell>
        </row>
        <row r="37">
          <cell r="A37" t="str">
            <v>Total AS Revenue ($M)</v>
          </cell>
          <cell r="B37" t="str">
            <v>H</v>
          </cell>
          <cell r="C37">
            <v>135.346038</v>
          </cell>
          <cell r="D37">
            <v>134.5</v>
          </cell>
          <cell r="E37" t="str">
            <v>é</v>
          </cell>
          <cell r="F37">
            <v>141.6</v>
          </cell>
          <cell r="L37">
            <v>141.6</v>
          </cell>
          <cell r="M37">
            <v>8.9</v>
          </cell>
          <cell r="P37">
            <v>13.674338</v>
          </cell>
          <cell r="Q37">
            <v>11.4132822365069</v>
          </cell>
          <cell r="R37" t="str">
            <v>+</v>
          </cell>
          <cell r="S37">
            <v>12.8</v>
          </cell>
          <cell r="U37" t="str">
            <v>SemiAnnul</v>
          </cell>
          <cell r="Y37">
            <v>12.8</v>
          </cell>
          <cell r="AB37" t="str">
            <v>SemiAn</v>
          </cell>
        </row>
        <row r="38">
          <cell r="A38" t="str">
            <v>Payment Assistance-Dollars ($M)</v>
          </cell>
          <cell r="B38" t="str">
            <v>H</v>
          </cell>
          <cell r="C38">
            <v>205.066748</v>
          </cell>
          <cell r="D38">
            <v>181.8</v>
          </cell>
          <cell r="E38" t="str">
            <v>é</v>
          </cell>
          <cell r="F38">
            <v>213.4</v>
          </cell>
          <cell r="J38">
            <v>7.4</v>
          </cell>
          <cell r="M38">
            <v>7.9</v>
          </cell>
          <cell r="P38">
            <v>10.115573</v>
          </cell>
          <cell r="Q38">
            <v>8.96786655725382</v>
          </cell>
          <cell r="R38" t="str">
            <v>+</v>
          </cell>
          <cell r="S38">
            <v>11.3</v>
          </cell>
          <cell r="T38" t="str">
            <v>+</v>
          </cell>
          <cell r="U38">
            <v>8.2</v>
          </cell>
          <cell r="Y38">
            <v>8.2</v>
          </cell>
          <cell r="AB38">
            <v>8.3</v>
          </cell>
        </row>
        <row r="39">
          <cell r="A39" t="str">
            <v>2   YTD Based on a rolling 12 months.</v>
          </cell>
          <cell r="B39" t="str">
            <v>L</v>
          </cell>
          <cell r="C39">
            <v>0</v>
          </cell>
          <cell r="D39">
            <v>2</v>
          </cell>
          <cell r="E39" t="str">
            <v>ê</v>
          </cell>
          <cell r="F39" t="str">
            <v>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v>
          </cell>
          <cell r="G42">
            <v>0.278</v>
          </cell>
          <cell r="P42">
            <v>0.273</v>
          </cell>
          <cell r="Q42">
            <v>0.22</v>
          </cell>
          <cell r="R42" t="str">
            <v>+</v>
          </cell>
          <cell r="S42">
            <v>0.292</v>
          </cell>
          <cell r="T42">
            <v>0.292</v>
          </cell>
        </row>
        <row r="43">
          <cell r="A43" t="str">
            <v>Paperless Billing (%)</v>
          </cell>
          <cell r="B43" t="str">
            <v>H</v>
          </cell>
          <cell r="C43">
            <v>0.02</v>
          </cell>
          <cell r="D43">
            <v>0.08</v>
          </cell>
          <cell r="E43" t="str">
            <v>ê</v>
          </cell>
          <cell r="F43">
            <v>0.057</v>
          </cell>
          <cell r="I43">
            <v>0.057</v>
          </cell>
          <cell r="P43">
            <v>0.02</v>
          </cell>
          <cell r="Q43">
            <v>0.08</v>
          </cell>
          <cell r="R43" t="str">
            <v>-</v>
          </cell>
          <cell r="S43">
            <v>0.057</v>
          </cell>
          <cell r="T43" t="str">
            <v>Monthly / Quarterly Status</v>
          </cell>
          <cell r="U43" t="str">
            <v>Cust Ops</v>
          </cell>
          <cell r="V43">
            <v>0.057</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42.933845</v>
          </cell>
          <cell r="D44">
            <v>54.3</v>
          </cell>
          <cell r="E44" t="str">
            <v>é</v>
          </cell>
          <cell r="F44">
            <v>70.7</v>
          </cell>
          <cell r="K44">
            <v>70.7</v>
          </cell>
          <cell r="P44">
            <v>22.087311</v>
          </cell>
          <cell r="Q44">
            <v>8.1</v>
          </cell>
          <cell r="R44" t="str">
            <v>+</v>
          </cell>
          <cell r="S44">
            <v>9.4</v>
          </cell>
          <cell r="T44" t="str">
            <v>+</v>
          </cell>
          <cell r="U44">
            <v>0.07</v>
          </cell>
          <cell r="X44">
            <v>9.4</v>
          </cell>
          <cell r="AC44">
            <v>0.07</v>
          </cell>
        </row>
        <row r="45">
          <cell r="A45" t="str">
            <v>Energy Efficiency Committed Investment ($M)</v>
          </cell>
          <cell r="B45" t="str">
            <v>H</v>
          </cell>
          <cell r="C45">
            <v>20.071424</v>
          </cell>
          <cell r="D45">
            <v>87.3</v>
          </cell>
          <cell r="E45" t="str">
            <v>é</v>
          </cell>
          <cell r="F45">
            <v>89.7</v>
          </cell>
          <cell r="K45">
            <v>89.7</v>
          </cell>
          <cell r="P45">
            <v>9.785395</v>
          </cell>
          <cell r="Q45">
            <v>10.37090091</v>
          </cell>
          <cell r="R45" t="str">
            <v>-</v>
          </cell>
          <cell r="S45">
            <v>8.8</v>
          </cell>
          <cell r="T45" t="str">
            <v>-</v>
          </cell>
          <cell r="U45">
            <v>0.233</v>
          </cell>
          <cell r="X45">
            <v>8.8</v>
          </cell>
          <cell r="AC45">
            <v>0.233</v>
          </cell>
        </row>
        <row r="46">
          <cell r="P46" t="str">
            <v>Accountability O&amp;M ($M)</v>
          </cell>
          <cell r="Q46" t="str">
            <v>L</v>
          </cell>
          <cell r="R46">
            <v>12.9</v>
          </cell>
          <cell r="S46">
            <v>14.713585</v>
          </cell>
          <cell r="T46" t="str">
            <v>-</v>
          </cell>
          <cell r="U46">
            <v>15.112959</v>
          </cell>
          <cell r="V46">
            <v>2.587231</v>
          </cell>
          <cell r="W46">
            <v>3.014513</v>
          </cell>
          <cell r="X46">
            <v>2.344919</v>
          </cell>
          <cell r="Y46">
            <v>1.320593</v>
          </cell>
          <cell r="Z46">
            <v>0.392671</v>
          </cell>
          <cell r="AA46">
            <v>0.757719</v>
          </cell>
          <cell r="AB46">
            <v>0.101812</v>
          </cell>
          <cell r="AC46">
            <v>4.593501</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0.176</v>
          </cell>
          <cell r="S49">
            <v>0.145</v>
          </cell>
          <cell r="T49" t="str">
            <v>-</v>
          </cell>
          <cell r="U49">
            <v>0.2523</v>
          </cell>
          <cell r="X49">
            <v>0.2523</v>
          </cell>
        </row>
        <row r="50">
          <cell r="P50" t="str">
            <v>Notice Dollars Collected on RNP (%) </v>
          </cell>
          <cell r="Q50" t="str">
            <v>H</v>
          </cell>
          <cell r="R50">
            <v>0.66</v>
          </cell>
          <cell r="S50">
            <v>0.701</v>
          </cell>
        </row>
        <row r="51">
          <cell r="P51" t="str">
            <v>Dollars Treated by Field Collections</v>
          </cell>
          <cell r="Q51" t="str">
            <v>H</v>
          </cell>
          <cell r="R51">
            <v>13.9</v>
          </cell>
          <cell r="S51">
            <v>15.6303087205883</v>
          </cell>
        </row>
        <row r="52">
          <cell r="P52" t="str">
            <v>Unbilled Revenue Recovery ($M)</v>
          </cell>
          <cell r="Q52" t="str">
            <v>H</v>
          </cell>
          <cell r="R52">
            <v>2.2</v>
          </cell>
          <cell r="S52">
            <v>2.97976714737969</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v>
          </cell>
          <cell r="Z54">
            <v>0.273</v>
          </cell>
        </row>
        <row r="55">
          <cell r="A55" t="str">
            <v>Arrow Choices</v>
          </cell>
          <cell r="B55" t="str">
            <v>ê</v>
          </cell>
          <cell r="C55" t="str">
            <v>ê</v>
          </cell>
          <cell r="P55" t="str">
            <v>Contract Revenue ($M)</v>
          </cell>
          <cell r="Q55" t="str">
            <v>H</v>
          </cell>
          <cell r="R55">
            <v>6.9</v>
          </cell>
          <cell r="S55">
            <v>7.00785221850322</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2.3</v>
          </cell>
          <cell r="S57">
            <v>2.891233</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20.136</v>
          </cell>
          <cell r="T59" t="str">
            <v>-</v>
          </cell>
          <cell r="U59">
            <v>9.2</v>
          </cell>
          <cell r="Y59">
            <v>9.2</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0.0126</v>
          </cell>
          <cell r="S65">
            <v>0.03</v>
          </cell>
          <cell r="T65" t="str">
            <v>+</v>
          </cell>
          <cell r="U65">
            <v>0.302</v>
          </cell>
          <cell r="V65">
            <v>0.302</v>
          </cell>
        </row>
        <row r="66">
          <cell r="P66" t="str">
            <v>Paperless Billing (%)</v>
          </cell>
          <cell r="Q66" t="str">
            <v>H</v>
          </cell>
          <cell r="R66" t="str">
            <v>NA</v>
          </cell>
          <cell r="S66">
            <v>0.025</v>
          </cell>
          <cell r="T66" t="str">
            <v>-</v>
          </cell>
          <cell r="U66">
            <v>0.016</v>
          </cell>
          <cell r="X66">
            <v>0.016</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7.2</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0.7474</v>
          </cell>
          <cell r="S71">
            <v>0.695</v>
          </cell>
          <cell r="T71" t="str">
            <v>-</v>
          </cell>
          <cell r="U71">
            <v>0.6254</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131.735108009</v>
          </cell>
          <cell r="Q8">
            <v>9.44</v>
          </cell>
          <cell r="R8" t="str">
            <v>-</v>
          </cell>
          <cell r="S8">
            <v>13.049499699</v>
          </cell>
          <cell r="T8">
            <v>76.599950581</v>
          </cell>
          <cell r="U8">
            <v>0</v>
          </cell>
          <cell r="V8">
            <v>0</v>
          </cell>
          <cell r="W8">
            <v>0</v>
          </cell>
          <cell r="X8">
            <v>0</v>
          </cell>
          <cell r="Y8">
            <v>0</v>
          </cell>
          <cell r="Z8">
            <v>0</v>
          </cell>
          <cell r="AA8">
            <v>0</v>
          </cell>
        </row>
        <row r="9">
          <cell r="P9">
            <v>7.16312366631591</v>
          </cell>
          <cell r="Q9">
            <v>3.75</v>
          </cell>
          <cell r="R9" t="str">
            <v>-</v>
          </cell>
          <cell r="S9">
            <v>7.41008327081076</v>
          </cell>
          <cell r="T9">
            <v>9.19825693031171</v>
          </cell>
          <cell r="U9">
            <v>10.0111123346915</v>
          </cell>
          <cell r="V9">
            <v>4.83290239953604</v>
          </cell>
          <cell r="W9">
            <v>5.34961041462156</v>
          </cell>
          <cell r="X9">
            <v>0</v>
          </cell>
          <cell r="Y9">
            <v>0</v>
          </cell>
          <cell r="Z9">
            <v>9.74901169393953</v>
          </cell>
          <cell r="AA9">
            <v>20.0360649168503</v>
          </cell>
        </row>
        <row r="10">
          <cell r="P10">
            <v>0.970049860915395</v>
          </cell>
          <cell r="Q10">
            <v>0.973</v>
          </cell>
          <cell r="R10" t="str">
            <v>-</v>
          </cell>
          <cell r="S10">
            <v>0.967805204872534</v>
          </cell>
          <cell r="T10">
            <v>0.958204389640069</v>
          </cell>
          <cell r="U10">
            <v>0.969963240847978</v>
          </cell>
          <cell r="V10">
            <v>0.964192524128391</v>
          </cell>
          <cell r="W10">
            <v>0.966685142919248</v>
          </cell>
          <cell r="X10">
            <v>0.959499506091538</v>
          </cell>
          <cell r="Y10">
            <v>0.963534837122273</v>
          </cell>
          <cell r="Z10">
            <v>0.98642810287498</v>
          </cell>
          <cell r="AA10">
            <v>0.987345943452185</v>
          </cell>
        </row>
        <row r="11">
          <cell r="P11">
            <v>0.210696361601056</v>
          </cell>
          <cell r="Q11">
            <v>0.200329842451956</v>
          </cell>
          <cell r="R11" t="str">
            <v> -</v>
          </cell>
          <cell r="S11">
            <v>0.22403327065807</v>
          </cell>
          <cell r="T11">
            <v>0.230035945534184</v>
          </cell>
          <cell r="U11">
            <v>0.320322146130218</v>
          </cell>
          <cell r="V11">
            <v>0.285573642679745</v>
          </cell>
          <cell r="W11">
            <v>0.248991413976742</v>
          </cell>
          <cell r="X11">
            <v>0.236417517286796</v>
          </cell>
          <cell r="Y11">
            <v>0.108079796089756</v>
          </cell>
          <cell r="Z11">
            <v>0.178450089348323</v>
          </cell>
          <cell r="AA11">
            <v>0.0392143939893231</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0.0464558462221214</v>
          </cell>
          <cell r="R18" t="str">
            <v>o</v>
          </cell>
          <cell r="S18">
            <v>0.05</v>
          </cell>
          <cell r="T18">
            <v>0.06</v>
          </cell>
          <cell r="U18">
            <v>0.05</v>
          </cell>
          <cell r="V18">
            <v>0.04</v>
          </cell>
          <cell r="W18">
            <v>0.07</v>
          </cell>
        </row>
        <row r="19">
          <cell r="P19">
            <v>0.08</v>
          </cell>
          <cell r="Q19">
            <v>0.0803465042485628</v>
          </cell>
          <cell r="R19" t="str">
            <v>+</v>
          </cell>
          <cell r="S19">
            <v>0.07</v>
          </cell>
          <cell r="T19">
            <v>0.09</v>
          </cell>
          <cell r="U19">
            <v>0.06</v>
          </cell>
          <cell r="V19">
            <v>0.04</v>
          </cell>
          <cell r="W19">
            <v>0.09</v>
          </cell>
          <cell r="X19">
            <v>0.0325112633592254</v>
          </cell>
        </row>
        <row r="20">
          <cell r="P20">
            <v>64.52</v>
          </cell>
          <cell r="Q20">
            <v>55.6217877372506</v>
          </cell>
          <cell r="R20" t="str">
            <v>-</v>
          </cell>
          <cell r="S20">
            <v>66.51</v>
          </cell>
          <cell r="T20">
            <v>59.15</v>
          </cell>
          <cell r="U20">
            <v>67.34</v>
          </cell>
          <cell r="V20">
            <v>97.61</v>
          </cell>
          <cell r="W20">
            <v>53.67</v>
          </cell>
          <cell r="X20" t="str">
            <v>Pal</v>
          </cell>
          <cell r="Y20" t="str">
            <v>South</v>
          </cell>
          <cell r="Z20" t="str">
            <v>TC&amp;M</v>
          </cell>
          <cell r="AA20" t="str">
            <v>UOS</v>
          </cell>
        </row>
        <row r="21">
          <cell r="P21">
            <v>0.00662251655629139</v>
          </cell>
          <cell r="Q21">
            <v>0.00662251655629139</v>
          </cell>
          <cell r="R21" t="str">
            <v>+</v>
          </cell>
          <cell r="S21">
            <v>0</v>
          </cell>
          <cell r="T21" t="str">
            <v>+</v>
          </cell>
          <cell r="U21">
            <v>0.04</v>
          </cell>
          <cell r="V21">
            <v>0.03</v>
          </cell>
          <cell r="W21">
            <v>0.03</v>
          </cell>
          <cell r="X21">
            <v>0</v>
          </cell>
          <cell r="Y21">
            <v>0.05</v>
          </cell>
        </row>
        <row r="22">
          <cell r="P22">
            <v>0.623076923076923</v>
          </cell>
          <cell r="Q22">
            <v>0.556</v>
          </cell>
          <cell r="R22" t="str">
            <v>+</v>
          </cell>
          <cell r="S22">
            <v>0.564784053156146</v>
          </cell>
          <cell r="T22">
            <v>0.575757575757576</v>
          </cell>
          <cell r="U22">
            <v>0.534883720930233</v>
          </cell>
          <cell r="V22">
            <v>0.484848484848485</v>
          </cell>
          <cell r="W22">
            <v>0.650602409638554</v>
          </cell>
          <cell r="X22">
            <v>0.07</v>
          </cell>
          <cell r="Y22">
            <v>0.1</v>
          </cell>
          <cell r="Z22">
            <v>0.0356510920396351</v>
          </cell>
        </row>
        <row r="23">
          <cell r="P23">
            <v>72.9461899496881</v>
          </cell>
          <cell r="Q23">
            <v>76</v>
          </cell>
          <cell r="R23" t="str">
            <v>o</v>
          </cell>
          <cell r="S23">
            <v>76.2985532838527</v>
          </cell>
          <cell r="T23" t="str">
            <v>-</v>
          </cell>
          <cell r="U23">
            <v>70.39</v>
          </cell>
          <cell r="V23">
            <v>53.15</v>
          </cell>
          <cell r="W23">
            <v>136.39</v>
          </cell>
          <cell r="X23">
            <v>53.49</v>
          </cell>
          <cell r="Y23">
            <v>49.89</v>
          </cell>
        </row>
        <row r="24">
          <cell r="P24">
            <v>73.8273629975903</v>
          </cell>
          <cell r="Q24">
            <v>76</v>
          </cell>
          <cell r="R24" t="str">
            <v>+</v>
          </cell>
          <cell r="S24">
            <v>78.6642509748895</v>
          </cell>
        </row>
        <row r="25">
          <cell r="P25">
            <v>0.888688109866281</v>
          </cell>
          <cell r="Q25">
            <v>0.84</v>
          </cell>
          <cell r="R25" t="str">
            <v>-</v>
          </cell>
          <cell r="S25">
            <v>0.708853410740203</v>
          </cell>
          <cell r="T25">
            <v>0.62</v>
          </cell>
          <cell r="U25">
            <v>0.8</v>
          </cell>
          <cell r="V25">
            <v>0.88</v>
          </cell>
          <cell r="W25">
            <v>0.56</v>
          </cell>
          <cell r="Z25">
            <v>0</v>
          </cell>
        </row>
        <row r="26">
          <cell r="P26">
            <v>8.69</v>
          </cell>
          <cell r="Q26">
            <v>9</v>
          </cell>
          <cell r="R26" t="str">
            <v>-</v>
          </cell>
          <cell r="S26">
            <v>8.55</v>
          </cell>
          <cell r="T26">
            <v>8.56</v>
          </cell>
          <cell r="U26">
            <v>8.36</v>
          </cell>
          <cell r="V26">
            <v>8.54</v>
          </cell>
          <cell r="W26">
            <v>8.73</v>
          </cell>
          <cell r="X26">
            <v>0.771428571428571</v>
          </cell>
          <cell r="Y26">
            <v>0.653846153846154</v>
          </cell>
          <cell r="Z26">
            <v>8.95</v>
          </cell>
        </row>
        <row r="27">
          <cell r="P27">
            <v>18</v>
          </cell>
          <cell r="Q27">
            <v>19.4971469987556</v>
          </cell>
          <cell r="R27" t="str">
            <v>-</v>
          </cell>
          <cell r="S27">
            <v>22</v>
          </cell>
          <cell r="T27">
            <v>9</v>
          </cell>
          <cell r="U27">
            <v>9</v>
          </cell>
          <cell r="V27">
            <v>4</v>
          </cell>
          <cell r="W27">
            <v>0</v>
          </cell>
          <cell r="X27">
            <v>0</v>
          </cell>
          <cell r="Z27">
            <v>0</v>
          </cell>
          <cell r="AA27">
            <v>43.17</v>
          </cell>
        </row>
        <row r="28">
          <cell r="P28" t="str">
            <v>Perception Survey (Res/Sm Business) </v>
          </cell>
          <cell r="Q28" t="str">
            <v>H</v>
          </cell>
          <cell r="R28">
            <v>75.4370691580653</v>
          </cell>
          <cell r="S28">
            <v>76</v>
          </cell>
          <cell r="T28" t="str">
            <v>-</v>
          </cell>
          <cell r="U28">
            <v>73.2530849115046</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v>
          </cell>
          <cell r="Q30">
            <v>126.559345</v>
          </cell>
          <cell r="R30" t="str">
            <v>+</v>
          </cell>
          <cell r="S30">
            <v>98.875302</v>
          </cell>
          <cell r="T30">
            <v>8.038616</v>
          </cell>
          <cell r="U30">
            <v>7.37368</v>
          </cell>
          <cell r="V30">
            <v>10.796146</v>
          </cell>
          <cell r="W30">
            <v>10.021238</v>
          </cell>
          <cell r="X30">
            <v>0.221744</v>
          </cell>
          <cell r="Y30">
            <v>2.536674</v>
          </cell>
          <cell r="Z30">
            <v>50.760265</v>
          </cell>
          <cell r="AA30">
            <v>9.126939</v>
          </cell>
        </row>
        <row r="31">
          <cell r="P31">
            <v>38.28358399</v>
          </cell>
          <cell r="Q31">
            <v>31.96480329</v>
          </cell>
          <cell r="R31" t="str">
            <v>-</v>
          </cell>
          <cell r="S31">
            <v>34.25693315</v>
          </cell>
          <cell r="T31">
            <v>2.3566098</v>
          </cell>
          <cell r="U31">
            <v>1.9251654</v>
          </cell>
          <cell r="V31">
            <v>1.80443027</v>
          </cell>
          <cell r="W31">
            <v>2.22962261</v>
          </cell>
          <cell r="X31">
            <v>1.21570387</v>
          </cell>
          <cell r="Y31">
            <v>2.36181328</v>
          </cell>
          <cell r="Z31">
            <v>5.90689169</v>
          </cell>
          <cell r="AA31">
            <v>16.45669623</v>
          </cell>
        </row>
        <row r="32">
          <cell r="P32" t="str">
            <v>Number of Regulatory Inquiries</v>
          </cell>
          <cell r="Q32" t="str">
            <v>L</v>
          </cell>
          <cell r="R32">
            <v>9</v>
          </cell>
          <cell r="S32">
            <v>19.8864926220204</v>
          </cell>
          <cell r="T32" t="str">
            <v>+</v>
          </cell>
          <cell r="U32">
            <v>18</v>
          </cell>
          <cell r="V32">
            <v>6</v>
          </cell>
          <cell r="W32">
            <v>8</v>
          </cell>
          <cell r="X32">
            <v>1</v>
          </cell>
          <cell r="Y32">
            <v>2</v>
          </cell>
          <cell r="Z32">
            <v>1</v>
          </cell>
        </row>
        <row r="33">
          <cell r="Q33">
            <v>1.34831087889794</v>
          </cell>
          <cell r="R33" t="str">
            <v>-</v>
          </cell>
          <cell r="S33">
            <v>1.09768948472987</v>
          </cell>
        </row>
        <row r="36">
          <cell r="A36" t="str">
            <v>Total CapEx ($M)</v>
          </cell>
          <cell r="B36" t="str">
            <v>L</v>
          </cell>
          <cell r="C36">
            <v>465.8412</v>
          </cell>
          <cell r="D36">
            <v>588.2</v>
          </cell>
          <cell r="E36" t="str">
            <v>ê</v>
          </cell>
          <cell r="F36">
            <v>565.361013</v>
          </cell>
          <cell r="G36">
            <v>57.642247</v>
          </cell>
          <cell r="H36">
            <v>72.520971</v>
          </cell>
          <cell r="I36">
            <v>70.654605</v>
          </cell>
          <cell r="J36">
            <v>65.823378</v>
          </cell>
          <cell r="K36">
            <v>9.794993</v>
          </cell>
          <cell r="L36">
            <v>11.990889</v>
          </cell>
          <cell r="M36">
            <v>251.603147</v>
          </cell>
          <cell r="N36">
            <v>25.149085</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v>
          </cell>
          <cell r="D38">
            <v>263</v>
          </cell>
          <cell r="E38" t="str">
            <v>é</v>
          </cell>
          <cell r="F38">
            <v>249.499520896</v>
          </cell>
          <cell r="L38">
            <v>9.2</v>
          </cell>
          <cell r="M38">
            <v>249.499520896</v>
          </cell>
          <cell r="P38">
            <v>7.54167928273449</v>
          </cell>
          <cell r="Q38">
            <v>9.2</v>
          </cell>
          <cell r="R38" t="str">
            <v>-</v>
          </cell>
          <cell r="S38">
            <v>8.48951108903099</v>
          </cell>
          <cell r="Y38">
            <v>8.48951108903099</v>
          </cell>
        </row>
        <row r="39">
          <cell r="A39" t="str">
            <v>% Landfill Disposal</v>
          </cell>
          <cell r="B39" t="str">
            <v>L</v>
          </cell>
          <cell r="C39">
            <v>0.0345622041797927</v>
          </cell>
          <cell r="D39">
            <v>0.034</v>
          </cell>
          <cell r="E39" t="str">
            <v>ê</v>
          </cell>
          <cell r="F39">
            <v>0.050346557451102</v>
          </cell>
          <cell r="G39">
            <v>0.0686853692756196</v>
          </cell>
          <cell r="H39">
            <v>0.0460271032807689</v>
          </cell>
          <cell r="I39">
            <v>0.0575501321551367</v>
          </cell>
          <cell r="J39">
            <v>0.057752540907539</v>
          </cell>
          <cell r="K39">
            <v>0.0103627830993173</v>
          </cell>
          <cell r="L39">
            <v>0.0811538929555024</v>
          </cell>
          <cell r="M39">
            <v>0.524506917272727</v>
          </cell>
          <cell r="N39">
            <v>0.470206140278159</v>
          </cell>
          <cell r="P39">
            <v>0.0674893811345266</v>
          </cell>
          <cell r="Q39">
            <v>0.034</v>
          </cell>
          <cell r="R39" t="str">
            <v>-</v>
          </cell>
          <cell r="S39">
            <v>0.0461612138444633</v>
          </cell>
          <cell r="T39">
            <v>0.091186056681353</v>
          </cell>
          <cell r="U39">
            <v>0.0357662091143395</v>
          </cell>
          <cell r="V39">
            <v>0.0299788927691519</v>
          </cell>
          <cell r="W39">
            <v>0.0140073468063954</v>
          </cell>
          <cell r="X39">
            <v>0.00932435607529758</v>
          </cell>
          <cell r="Y39">
            <v>0.00665450035793146</v>
          </cell>
          <cell r="AA39">
            <v>0.753749665677975</v>
          </cell>
        </row>
        <row r="40">
          <cell r="A40" t="str">
            <v>Solar for All Earnings ($M)*</v>
          </cell>
          <cell r="B40" t="str">
            <v>H</v>
          </cell>
          <cell r="C40">
            <v>0.722830605365215</v>
          </cell>
          <cell r="D40">
            <v>5.2</v>
          </cell>
          <cell r="E40" t="str">
            <v>ê</v>
          </cell>
          <cell r="F40">
            <v>3.46749</v>
          </cell>
          <cell r="M40">
            <v>0.926447024657832</v>
          </cell>
          <cell r="N40">
            <v>0</v>
          </cell>
          <cell r="Q40">
            <v>0.433333333333333</v>
          </cell>
          <cell r="R40" t="str">
            <v>+</v>
          </cell>
          <cell r="S40">
            <v>0.715241527661526</v>
          </cell>
        </row>
        <row r="41">
          <cell r="A41" t="str">
            <v>Current Capital Performance</v>
          </cell>
          <cell r="B41" t="str">
            <v>H</v>
          </cell>
          <cell r="D41">
            <v>1</v>
          </cell>
          <cell r="E41" t="str">
            <v>é</v>
          </cell>
          <cell r="F41">
            <v>1.04740941414607</v>
          </cell>
          <cell r="M41">
            <v>1.04740941414607</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8.92094399318706</v>
          </cell>
          <cell r="D45">
            <v>8.9</v>
          </cell>
          <cell r="E45" t="str">
            <v>é</v>
          </cell>
          <cell r="F45">
            <v>8.95706021142788</v>
          </cell>
          <cell r="L45">
            <v>8.95706021142788</v>
          </cell>
        </row>
        <row r="46">
          <cell r="A46" t="str">
            <v>Non-Hazardous Waste</v>
          </cell>
          <cell r="B46" t="str">
            <v>H</v>
          </cell>
          <cell r="C46">
            <v>0.907326620714863</v>
          </cell>
          <cell r="D46">
            <v>0.938</v>
          </cell>
          <cell r="E46" t="str">
            <v>é</v>
          </cell>
          <cell r="F46">
            <v>0.966726482306401</v>
          </cell>
          <cell r="G46">
            <v>0.934015776640085</v>
          </cell>
          <cell r="H46">
            <v>0.955471718143785</v>
          </cell>
          <cell r="I46">
            <v>0.944517816944587</v>
          </cell>
          <cell r="J46">
            <v>0.942452631970255</v>
          </cell>
          <cell r="K46">
            <v>0.995592589141892</v>
          </cell>
          <cell r="L46">
            <v>0.762432512626001</v>
          </cell>
          <cell r="N46">
            <v>0.255522180823468</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 Id="rId3"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customProperty" Target="../customProperty19.bin" /><Relationship Id="rId3" Type="http://schemas.openxmlformats.org/officeDocument/2006/relationships/customProperty" Target="../customProperty2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customProperty" Target="../customProperty21.bin" /><Relationship Id="rId3" Type="http://schemas.openxmlformats.org/officeDocument/2006/relationships/customProperty" Target="../customProperty22.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customProperty" Target="../customProperty23.bin" /><Relationship Id="rId3" Type="http://schemas.openxmlformats.org/officeDocument/2006/relationships/customProperty" Target="../customProperty2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customProperty" Target="../customProperty25.bin" /><Relationship Id="rId3" Type="http://schemas.openxmlformats.org/officeDocument/2006/relationships/customProperty" Target="../customProperty2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customProperty" Target="../customProperty27.bin" /><Relationship Id="rId3" Type="http://schemas.openxmlformats.org/officeDocument/2006/relationships/customProperty" Target="../customProperty2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customProperty" Target="../customProperty29.bin" /><Relationship Id="rId3" Type="http://schemas.openxmlformats.org/officeDocument/2006/relationships/customProperty" Target="../customProperty3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customProperty" Target="../customProperty31.bin" /><Relationship Id="rId3" Type="http://schemas.openxmlformats.org/officeDocument/2006/relationships/customProperty" Target="../customProperty3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customProperty" Target="../customProperty33.bin" /><Relationship Id="rId3" Type="http://schemas.openxmlformats.org/officeDocument/2006/relationships/customProperty" Target="../customProperty3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customProperty" Target="../customProperty35.bin" /><Relationship Id="rId3" Type="http://schemas.openxmlformats.org/officeDocument/2006/relationships/customProperty" Target="../customProperty3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customProperty" Target="../customProperty37.bin" /><Relationship Id="rId3" Type="http://schemas.openxmlformats.org/officeDocument/2006/relationships/customProperty" Target="../customProperty3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3.bin" /><Relationship Id="rId3" Type="http://schemas.openxmlformats.org/officeDocument/2006/relationships/customProperty" Target="../customProperty4.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5.bin" /><Relationship Id="rId3" Type="http://schemas.openxmlformats.org/officeDocument/2006/relationships/customProperty" Target="../customProperty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7.bin" /><Relationship Id="rId3" Type="http://schemas.openxmlformats.org/officeDocument/2006/relationships/customProperty" Target="../customProperty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9.bin" /><Relationship Id="rId3" Type="http://schemas.openxmlformats.org/officeDocument/2006/relationships/customProperty" Target="../customProperty1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11.bin" /><Relationship Id="rId3" Type="http://schemas.openxmlformats.org/officeDocument/2006/relationships/customProperty" Target="../customProperty1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13.bin" /><Relationship Id="rId3" Type="http://schemas.openxmlformats.org/officeDocument/2006/relationships/customProperty" Target="../customProperty1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15.bin" /><Relationship Id="rId3" Type="http://schemas.openxmlformats.org/officeDocument/2006/relationships/customProperty" Target="../customProperty1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17.bin" /><Relationship Id="rId3" Type="http://schemas.openxmlformats.org/officeDocument/2006/relationships/customProperty" Target="../customProperty1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4">
    <pageSetUpPr fitToPage="1"/>
  </sheetPr>
  <dimension ref="A1:M1086"/>
  <sheetViews>
    <sheetView showGridLines="0" tabSelected="1" zoomScale="50" zoomScaleNormal="50" workbookViewId="0" topLeftCell="A1"/>
  </sheetViews>
  <sheetFormatPr defaultColWidth="9.27428571428571" defaultRowHeight="20.25"/>
  <cols>
    <col min="1" max="1" width="8.57142857142857" style="333" customWidth="1"/>
    <col min="2" max="2" width="4.57142857142857" style="319" customWidth="1"/>
    <col min="3" max="3" width="72.2857142857143" style="319" customWidth="1"/>
    <col min="4" max="4" width="39.8571428571429" style="319" customWidth="1"/>
    <col min="5" max="5" width="27.4285714285714" style="334" customWidth="1"/>
    <col min="6" max="6" width="36.8571428571429" style="296" customWidth="1"/>
    <col min="7" max="7" width="36.4285714285714" style="296" customWidth="1"/>
    <col min="8" max="8" width="33.7142857142857" style="296" customWidth="1"/>
    <col min="9" max="9" width="47" style="12" bestFit="1" customWidth="1"/>
    <col min="10" max="10" width="42.2857142857143" style="12" bestFit="1" customWidth="1"/>
    <col min="11" max="11" width="21.7142857142857" style="12" customWidth="1"/>
    <col min="12" max="13" width="9.28571428571429" style="12"/>
    <col min="14" max="16384" width="9.28571428571429" style="12"/>
  </cols>
  <sheetData>
    <row r="1" spans="7:8" ht="20">
      <c r="G1" s="287"/>
      <c r="H1" s="287"/>
    </row>
    <row r="2" spans="2:8" ht="25.5" customHeight="1" thickBot="1">
      <c r="B2" s="335"/>
      <c r="C2" s="336"/>
      <c r="D2" s="1138"/>
      <c r="E2" s="1138"/>
      <c r="F2" s="1138"/>
      <c r="G2" s="287"/>
      <c r="H2" s="287"/>
    </row>
    <row r="3" spans="1:8" ht="30" customHeight="1" thickBot="1">
      <c r="A3" s="337" t="s">
        <v>0</v>
      </c>
      <c r="B3" s="338"/>
      <c r="C3" s="338"/>
      <c r="D3" s="1139"/>
      <c r="E3" s="1139"/>
      <c r="F3" s="1140"/>
      <c r="G3" s="288"/>
      <c r="H3" s="287"/>
    </row>
    <row r="4" spans="1:8" ht="24.65" customHeight="1">
      <c r="A4" s="339" t="s">
        <v>1</v>
      </c>
      <c r="B4" s="340"/>
      <c r="C4" s="340"/>
      <c r="D4" s="341"/>
      <c r="E4" s="341"/>
      <c r="F4" s="342"/>
      <c r="G4" s="288"/>
      <c r="H4" s="810" t="s">
        <v>2</v>
      </c>
    </row>
    <row r="5" spans="1:8" s="17" customFormat="1" ht="60.5" thickBot="1">
      <c r="A5" s="343" t="s">
        <v>3</v>
      </c>
      <c r="B5" s="344"/>
      <c r="C5" s="344"/>
      <c r="D5" s="344"/>
      <c r="E5" s="345" t="s">
        <v>4</v>
      </c>
      <c r="F5" s="346" t="s">
        <v>5</v>
      </c>
      <c r="G5" s="347"/>
      <c r="H5" s="809" t="s">
        <v>975</v>
      </c>
    </row>
    <row r="6" spans="1:8" s="16" customFormat="1" ht="23.25" customHeight="1">
      <c r="A6" s="348" t="s">
        <v>6</v>
      </c>
      <c r="B6" s="349"/>
      <c r="C6" s="349"/>
      <c r="D6" s="349"/>
      <c r="E6" s="330"/>
      <c r="F6" s="289"/>
      <c r="G6" s="347"/>
      <c r="H6" s="289"/>
    </row>
    <row r="7" spans="1:8" s="13" customFormat="1" ht="20">
      <c r="A7" s="350" t="s">
        <v>7</v>
      </c>
      <c r="B7" s="351"/>
      <c r="C7" s="352"/>
      <c r="D7" s="352"/>
      <c r="E7" s="353"/>
      <c r="F7" s="354"/>
      <c r="G7" s="354"/>
      <c r="H7" s="290"/>
    </row>
    <row r="8" spans="1:8" s="13" customFormat="1" ht="20">
      <c r="A8" s="355"/>
      <c r="B8" s="356"/>
      <c r="C8" s="356"/>
      <c r="D8" s="356"/>
      <c r="E8" s="330"/>
      <c r="F8" s="288"/>
      <c r="G8" s="288"/>
      <c r="H8" s="816"/>
    </row>
    <row r="9" spans="1:8" ht="20">
      <c r="A9" s="357"/>
      <c r="B9" s="358" t="s">
        <v>8</v>
      </c>
      <c r="E9" s="303"/>
      <c r="F9" s="293"/>
      <c r="G9" s="292"/>
      <c r="H9" s="292"/>
    </row>
    <row r="10" spans="1:11" ht="20">
      <c r="A10" s="359">
        <v>1</v>
      </c>
      <c r="B10" s="359"/>
      <c r="C10" s="288" t="s">
        <v>9</v>
      </c>
      <c r="D10" s="360"/>
      <c r="E10" s="361"/>
      <c r="F10" s="293" t="str">
        <f>"(Attachment 4, Line "&amp;'4 - Cost Support'!$A$33&amp;")"</f>
        <v>(Attachment 4, Line 16)</v>
      </c>
      <c r="G10" s="319"/>
      <c r="H10" s="293">
        <f>+'4 - Cost Support'!T33</f>
        <v>2757079</v>
      </c>
      <c r="I10" s="28"/>
      <c r="J10" s="576"/>
      <c r="K10" s="576"/>
    </row>
    <row r="11" spans="1:11" ht="20">
      <c r="A11" s="334"/>
      <c r="F11" s="287"/>
      <c r="H11" s="287"/>
      <c r="J11" s="576"/>
      <c r="K11" s="576"/>
    </row>
    <row r="12" spans="1:11" ht="20">
      <c r="A12" s="359">
        <f>+A10+1</f>
        <v>2</v>
      </c>
      <c r="B12" s="359"/>
      <c r="C12" s="288" t="s">
        <v>10</v>
      </c>
      <c r="D12" s="288"/>
      <c r="E12" s="361"/>
      <c r="F12" s="293" t="str">
        <f>"(Attachment 4, Line "&amp;'4 - Cost Support'!$A$31&amp;")"</f>
        <v>(Attachment 4, Line 14)</v>
      </c>
      <c r="G12" s="319"/>
      <c r="H12" s="293">
        <f>+'4 - Cost Support'!T31</f>
        <v>33512208</v>
      </c>
      <c r="J12" s="576"/>
      <c r="K12" s="576"/>
    </row>
    <row r="13" spans="1:11" ht="20">
      <c r="A13" s="359">
        <f>+A12+1</f>
        <v>3</v>
      </c>
      <c r="B13" s="359"/>
      <c r="C13" s="288" t="s">
        <v>11</v>
      </c>
      <c r="D13" s="288"/>
      <c r="E13" s="361"/>
      <c r="F13" s="297" t="str">
        <f>"(Attachment 4, Line "&amp;'4 - Cost Support'!$A$32&amp;")"</f>
        <v>(Attachment 4, Line 15)</v>
      </c>
      <c r="G13" s="319"/>
      <c r="H13" s="293">
        <f>+'4 - Cost Support'!T32</f>
        <v>3343867</v>
      </c>
      <c r="J13" s="576"/>
      <c r="K13" s="576"/>
    </row>
    <row r="14" spans="1:11" ht="20">
      <c r="A14" s="359">
        <f>+A13+1</f>
        <v>4</v>
      </c>
      <c r="B14" s="359"/>
      <c r="C14" s="362" t="s">
        <v>12</v>
      </c>
      <c r="D14" s="294"/>
      <c r="E14" s="363"/>
      <c r="F14" s="302" t="str">
        <f>"(Line "&amp;A12&amp;" - Line "&amp;A13&amp;")"</f>
        <v>(Line 2 - Line 3)</v>
      </c>
      <c r="G14" s="364"/>
      <c r="H14" s="294">
        <f>H12-H13</f>
        <v>30168341</v>
      </c>
      <c r="J14" s="576"/>
      <c r="K14" s="576"/>
    </row>
    <row r="15" spans="1:11" ht="20">
      <c r="A15" s="359"/>
      <c r="B15" s="359"/>
      <c r="C15" s="365"/>
      <c r="E15" s="303"/>
      <c r="F15" s="335"/>
      <c r="G15" s="319"/>
      <c r="H15" s="292"/>
      <c r="J15" s="576"/>
      <c r="K15" s="576"/>
    </row>
    <row r="16" spans="1:11" ht="20.5" thickBot="1">
      <c r="A16" s="359">
        <v>5</v>
      </c>
      <c r="B16" s="366" t="s">
        <v>13</v>
      </c>
      <c r="C16" s="366"/>
      <c r="D16" s="367"/>
      <c r="E16" s="368"/>
      <c r="F16" s="369" t="str">
        <f>"(Line "&amp;A10&amp;" / Line "&amp;A14&amp;")"</f>
        <v>(Line 1 / Line 4)</v>
      </c>
      <c r="G16" s="370"/>
      <c r="H16" s="740">
        <f>H10/H14</f>
        <v>0.09138981159089922</v>
      </c>
      <c r="J16" s="576"/>
      <c r="K16" s="576"/>
    </row>
    <row r="17" spans="1:11" ht="20.5" thickTop="1">
      <c r="A17" s="359"/>
      <c r="B17" s="359"/>
      <c r="C17" s="358"/>
      <c r="D17" s="335"/>
      <c r="E17" s="371"/>
      <c r="F17" s="335"/>
      <c r="G17" s="319"/>
      <c r="H17" s="295"/>
      <c r="J17" s="576"/>
      <c r="K17" s="576"/>
    </row>
    <row r="18" spans="1:11" ht="20">
      <c r="A18" s="334"/>
      <c r="B18" s="358" t="s">
        <v>14</v>
      </c>
      <c r="D18" s="296"/>
      <c r="F18" s="287"/>
      <c r="J18" s="576"/>
      <c r="K18" s="576"/>
    </row>
    <row r="19" spans="1:11" ht="20">
      <c r="A19" s="372">
        <f>+A16+1</f>
        <v>6</v>
      </c>
      <c r="B19" s="296"/>
      <c r="C19" s="288" t="s">
        <v>15</v>
      </c>
      <c r="E19" s="361" t="str">
        <f>"(Note "&amp;B$296&amp;")"</f>
        <v>(Note A)</v>
      </c>
      <c r="F19" s="293" t="str">
        <f>"(Attachment 4, Line "&amp;'4 - Cost Support'!A9&amp;")"</f>
        <v>(Attachment 4, Line 1)</v>
      </c>
      <c r="H19" s="293">
        <f>+'4 - Cost Support'!T9</f>
        <v>2448208773.7519789</v>
      </c>
      <c r="J19" s="576"/>
      <c r="K19" s="576"/>
    </row>
    <row r="20" spans="1:11" ht="20">
      <c r="A20" s="372">
        <f>+A19+1</f>
        <v>7</v>
      </c>
      <c r="B20" s="296"/>
      <c r="C20" s="373" t="s">
        <v>16</v>
      </c>
      <c r="D20" s="374"/>
      <c r="E20" s="375" t="str">
        <f>"(Note "&amp;B$296&amp;")"</f>
        <v>(Note A)</v>
      </c>
      <c r="F20" s="297" t="str">
        <f>"(Attachment 4, Line "&amp;'4 - Cost Support'!A11&amp;")"</f>
        <v>(Attachment 4, Line 3)</v>
      </c>
      <c r="G20" s="376"/>
      <c r="H20" s="297">
        <f>+'4 - Cost Support'!T11</f>
        <v>-1183661938.4695745</v>
      </c>
      <c r="J20" s="576"/>
      <c r="K20" s="576"/>
    </row>
    <row r="21" spans="1:11" ht="20">
      <c r="A21" s="359">
        <f>+A20+1</f>
        <v>8</v>
      </c>
      <c r="B21" s="296"/>
      <c r="C21" s="288" t="s">
        <v>17</v>
      </c>
      <c r="D21" s="379"/>
      <c r="E21" s="381"/>
      <c r="F21" s="298" t="str">
        <f>"(Line "&amp;A19&amp;" - Line "&amp;A20&amp;")"</f>
        <v>(Line 6 - Line 7)</v>
      </c>
      <c r="G21" s="379"/>
      <c r="H21" s="300">
        <f>+H19+H20</f>
        <v>1264546835.2824044</v>
      </c>
      <c r="J21" s="576"/>
      <c r="K21" s="576"/>
    </row>
    <row r="22" spans="1:11" ht="20">
      <c r="A22" s="334"/>
      <c r="B22" s="296"/>
      <c r="C22" s="287"/>
      <c r="D22" s="296"/>
      <c r="F22" s="287"/>
      <c r="J22" s="576"/>
      <c r="K22" s="576"/>
    </row>
    <row r="23" spans="1:11" ht="20">
      <c r="A23" s="372">
        <f>+A21+1</f>
        <v>9</v>
      </c>
      <c r="B23" s="296"/>
      <c r="C23" s="287" t="s">
        <v>18</v>
      </c>
      <c r="D23" s="296"/>
      <c r="E23" s="361" t="str">
        <f>"(Note "&amp;B$296&amp;")"</f>
        <v>(Note A)</v>
      </c>
      <c r="F23" s="297" t="str">
        <f>"(Line "&amp;A42&amp;")"</f>
        <v>(Line 20)</v>
      </c>
      <c r="H23" s="834">
        <f>H42</f>
        <v>442941701.82863998</v>
      </c>
      <c r="J23" s="576"/>
      <c r="K23" s="576"/>
    </row>
    <row r="24" spans="1:11" ht="20.5" thickBot="1">
      <c r="A24" s="359">
        <f>+A23+1</f>
        <v>10</v>
      </c>
      <c r="B24" s="382" t="s">
        <v>19</v>
      </c>
      <c r="C24" s="383"/>
      <c r="D24" s="384"/>
      <c r="E24" s="385"/>
      <c r="F24" s="369" t="str">
        <f>"(Line "&amp;A23&amp;" / Line "&amp;A19&amp;")"</f>
        <v>(Line 9 / Line 6)</v>
      </c>
      <c r="G24" s="384"/>
      <c r="H24" s="740">
        <f>H23/H19</f>
        <v>0.18092480779317441</v>
      </c>
      <c r="J24" s="576"/>
      <c r="K24" s="576"/>
    </row>
    <row r="25" spans="1:11" ht="20.5" thickTop="1">
      <c r="A25" s="334"/>
      <c r="C25" s="335"/>
      <c r="F25" s="287"/>
      <c r="J25" s="576"/>
      <c r="K25" s="576"/>
    </row>
    <row r="26" spans="1:11" ht="20">
      <c r="A26" s="372">
        <f>+A24+1</f>
        <v>11</v>
      </c>
      <c r="B26" s="359"/>
      <c r="C26" s="386" t="s">
        <v>20</v>
      </c>
      <c r="D26" s="335"/>
      <c r="E26" s="361" t="str">
        <f>"(Note "&amp;B$296&amp;")"</f>
        <v>(Note A)</v>
      </c>
      <c r="F26" s="297" t="str">
        <f>"(Line "&amp;A57&amp;")"</f>
        <v>(Line 29)</v>
      </c>
      <c r="G26" s="319"/>
      <c r="H26" s="741">
        <f>H57</f>
        <v>202362522.09915596</v>
      </c>
      <c r="J26" s="576"/>
      <c r="K26" s="576"/>
    </row>
    <row r="27" spans="1:11" ht="20.5" thickBot="1">
      <c r="A27" s="359">
        <f>+A26+1</f>
        <v>12</v>
      </c>
      <c r="B27" s="382" t="s">
        <v>21</v>
      </c>
      <c r="C27" s="383"/>
      <c r="D27" s="384"/>
      <c r="E27" s="385"/>
      <c r="F27" s="369" t="str">
        <f>"(Line "&amp;A26&amp;" / Line "&amp;A21&amp;")"</f>
        <v>(Line 11 / Line 8)</v>
      </c>
      <c r="G27" s="384"/>
      <c r="H27" s="740">
        <f>H26/H21</f>
        <v>0.16002770040064465</v>
      </c>
      <c r="J27" s="576"/>
      <c r="K27" s="576"/>
    </row>
    <row r="28" spans="1:11" ht="20.5" thickTop="1">
      <c r="A28" s="359"/>
      <c r="B28" s="433"/>
      <c r="C28" s="347"/>
      <c r="D28" s="379"/>
      <c r="E28" s="381"/>
      <c r="F28" s="298"/>
      <c r="G28" s="379"/>
      <c r="H28" s="626"/>
      <c r="J28" s="576"/>
      <c r="K28" s="576"/>
    </row>
    <row r="29" spans="1:11" ht="20">
      <c r="A29" s="359"/>
      <c r="B29" s="433"/>
      <c r="C29" s="288"/>
      <c r="D29" s="379"/>
      <c r="E29" s="381"/>
      <c r="F29" s="298"/>
      <c r="G29" s="379"/>
      <c r="H29" s="626"/>
      <c r="J29" s="576"/>
      <c r="K29" s="576"/>
    </row>
    <row r="30" spans="1:11" s="13" customFormat="1" ht="20">
      <c r="A30" s="350" t="s">
        <v>22</v>
      </c>
      <c r="B30" s="351"/>
      <c r="C30" s="352"/>
      <c r="D30" s="352"/>
      <c r="E30" s="353"/>
      <c r="F30" s="354"/>
      <c r="G30" s="354"/>
      <c r="H30" s="290"/>
      <c r="J30" s="576"/>
      <c r="K30" s="576"/>
    </row>
    <row r="31" spans="1:11" s="13" customFormat="1" ht="20">
      <c r="A31" s="388"/>
      <c r="B31" s="389"/>
      <c r="C31" s="356"/>
      <c r="D31" s="356"/>
      <c r="E31" s="330"/>
      <c r="F31" s="288"/>
      <c r="G31" s="288"/>
      <c r="H31" s="291"/>
      <c r="J31" s="576"/>
      <c r="K31" s="576"/>
    </row>
    <row r="32" spans="1:11" ht="20">
      <c r="A32" s="334"/>
      <c r="B32" s="358" t="s">
        <v>23</v>
      </c>
      <c r="C32" s="335"/>
      <c r="E32" s="371"/>
      <c r="F32" s="293"/>
      <c r="G32" s="357"/>
      <c r="H32" s="292"/>
      <c r="J32" s="576"/>
      <c r="K32" s="576"/>
    </row>
    <row r="33" spans="1:11" ht="20">
      <c r="A33" s="372">
        <f>+A27+1</f>
        <v>13</v>
      </c>
      <c r="B33" s="372"/>
      <c r="C33" s="386" t="s">
        <v>24</v>
      </c>
      <c r="D33" s="335"/>
      <c r="E33" s="361" t="str">
        <f>"(Note "&amp;B$296&amp;" &amp; "&amp;B305&amp;")"</f>
        <v>(Note A &amp; J)</v>
      </c>
      <c r="F33" s="293" t="str">
        <f>"(Attachment 4, Line "&amp;'4 - Cost Support'!A17&amp;")"</f>
        <v>(Attachment 4, Line 7)</v>
      </c>
      <c r="G33" s="319"/>
      <c r="H33" s="293">
        <f>+'4 - Cost Support'!T17</f>
        <v>436230368.61538464</v>
      </c>
      <c r="J33" s="576"/>
      <c r="K33" s="576"/>
    </row>
    <row r="34" spans="1:11" s="13" customFormat="1" ht="20">
      <c r="A34" s="372"/>
      <c r="B34" s="372"/>
      <c r="C34" s="386"/>
      <c r="D34" s="335"/>
      <c r="E34" s="390"/>
      <c r="F34" s="293"/>
      <c r="G34" s="335"/>
      <c r="H34" s="293"/>
      <c r="J34" s="576"/>
      <c r="K34" s="576"/>
    </row>
    <row r="35" spans="1:11" ht="20">
      <c r="A35" s="372">
        <f>+A33+1</f>
        <v>14</v>
      </c>
      <c r="B35" s="372"/>
      <c r="C35" s="386" t="s">
        <v>25</v>
      </c>
      <c r="D35" s="335"/>
      <c r="E35" s="361" t="str">
        <f>"(Note "&amp;B$296&amp;")"</f>
        <v>(Note A)</v>
      </c>
      <c r="F35" s="293" t="str">
        <f>"(Attachment 4, Line "&amp;'4 - Cost Support'!A18&amp;")"</f>
        <v>(Attachment 4, Line 8)</v>
      </c>
      <c r="G35" s="335"/>
      <c r="H35" s="293">
        <f>+'4 - Cost Support'!T18</f>
        <v>33985528.84615384</v>
      </c>
      <c r="J35" s="576"/>
      <c r="K35" s="576"/>
    </row>
    <row r="36" spans="1:11" ht="20">
      <c r="A36" s="372">
        <f>A35+1</f>
        <v>15</v>
      </c>
      <c r="B36" s="372"/>
      <c r="C36" s="386" t="s">
        <v>26</v>
      </c>
      <c r="D36" s="335"/>
      <c r="E36" s="361" t="str">
        <f>"(Note "&amp;B$296&amp;")"</f>
        <v>(Note A)</v>
      </c>
      <c r="F36" s="293" t="str">
        <f>"(Attachment 4, Line "&amp;'4 - Cost Support'!A19&amp;")"</f>
        <v>(Attachment 4, Line 9)</v>
      </c>
      <c r="G36" s="335"/>
      <c r="H36" s="293">
        <f>+'4 - Cost Support'!T19</f>
        <v>39450810.461538464</v>
      </c>
      <c r="J36" s="576"/>
      <c r="K36" s="576"/>
    </row>
    <row r="37" spans="1:11" ht="20">
      <c r="A37" s="372">
        <f>A36+1</f>
        <v>16</v>
      </c>
      <c r="B37" s="372"/>
      <c r="C37" s="386" t="s">
        <v>27</v>
      </c>
      <c r="D37" s="335"/>
      <c r="E37" s="361" t="str">
        <f>"(Note "&amp;B$296&amp;")"</f>
        <v>(Note A)</v>
      </c>
      <c r="F37" s="297" t="str">
        <f>"(Attachment 4, Line "&amp;'4 - Cost Support'!A20&amp;")"</f>
        <v>(Attachment 4, Line 10)</v>
      </c>
      <c r="G37" s="335"/>
      <c r="H37" s="293">
        <f>+'4 - Cost Support'!T20</f>
        <v>0</v>
      </c>
      <c r="J37" s="576"/>
      <c r="K37" s="576"/>
    </row>
    <row r="38" spans="1:11" ht="20">
      <c r="A38" s="372">
        <f>A37+1</f>
        <v>17</v>
      </c>
      <c r="B38" s="372"/>
      <c r="C38" s="362" t="s">
        <v>28</v>
      </c>
      <c r="D38" s="392"/>
      <c r="E38" s="393"/>
      <c r="F38" s="298" t="str">
        <f>"(Line "&amp;A35&amp;" + Line "&amp;A36&amp;" + Line "&amp;A37&amp;")"</f>
        <v>(Line 14 + Line 15 + Line 16)</v>
      </c>
      <c r="G38" s="392"/>
      <c r="H38" s="302">
        <f>SUM(H35:H37)</f>
        <v>73436339.307692304</v>
      </c>
      <c r="J38" s="576"/>
      <c r="K38" s="576"/>
    </row>
    <row r="39" spans="1:11" ht="20">
      <c r="A39" s="372">
        <f>+A38+1</f>
        <v>18</v>
      </c>
      <c r="B39" s="372"/>
      <c r="C39" s="397" t="s">
        <v>29</v>
      </c>
      <c r="D39" s="386"/>
      <c r="E39" s="371"/>
      <c r="F39" s="297" t="str">
        <f>"(Line "&amp;A$16&amp;")"</f>
        <v>(Line 5)</v>
      </c>
      <c r="G39" s="398"/>
      <c r="H39" s="723">
        <f>H16</f>
        <v>0.09138981159089922</v>
      </c>
      <c r="J39" s="576"/>
      <c r="K39" s="576"/>
    </row>
    <row r="40" spans="1:11" ht="20">
      <c r="A40" s="372">
        <f>A39+1</f>
        <v>19</v>
      </c>
      <c r="B40" s="287"/>
      <c r="C40" s="362" t="s">
        <v>30</v>
      </c>
      <c r="D40" s="377"/>
      <c r="E40" s="399"/>
      <c r="F40" s="298" t="str">
        <f>"(Line "&amp;A38&amp;" * Line "&amp;A39&amp;")"</f>
        <v>(Line 17 * Line 18)</v>
      </c>
      <c r="G40" s="377"/>
      <c r="H40" s="742">
        <f>+H38*H39</f>
        <v>6711333.2132553458</v>
      </c>
      <c r="J40" s="576"/>
      <c r="K40" s="576"/>
    </row>
    <row r="41" spans="1:11" ht="20">
      <c r="A41" s="390"/>
      <c r="B41" s="296"/>
      <c r="C41" s="358"/>
      <c r="D41" s="287"/>
      <c r="E41" s="390"/>
      <c r="F41" s="287"/>
      <c r="H41" s="326"/>
      <c r="J41" s="576"/>
      <c r="K41" s="576"/>
    </row>
    <row r="42" spans="1:11" s="17" customFormat="1" ht="20.5" thickBot="1">
      <c r="A42" s="372">
        <f>+A40+1</f>
        <v>20</v>
      </c>
      <c r="B42" s="382" t="s">
        <v>31</v>
      </c>
      <c r="C42" s="383"/>
      <c r="D42" s="383"/>
      <c r="E42" s="401"/>
      <c r="F42" s="369" t="str">
        <f>"(Line "&amp;A33&amp;" + Line "&amp;A40&amp;")"</f>
        <v>(Line 13 + Line 19)</v>
      </c>
      <c r="G42" s="382"/>
      <c r="H42" s="743">
        <f>+H33+H40</f>
        <v>442941701.82863998</v>
      </c>
      <c r="J42" s="576"/>
      <c r="K42" s="576"/>
    </row>
    <row r="43" spans="1:11" ht="20.5" thickTop="1">
      <c r="A43" s="390"/>
      <c r="B43" s="296"/>
      <c r="C43" s="287"/>
      <c r="D43" s="287"/>
      <c r="E43" s="390"/>
      <c r="J43" s="576"/>
      <c r="K43" s="576"/>
    </row>
    <row r="44" spans="1:11" ht="20">
      <c r="A44" s="372"/>
      <c r="B44" s="358" t="s">
        <v>32</v>
      </c>
      <c r="C44" s="358"/>
      <c r="D44" s="293"/>
      <c r="E44" s="361"/>
      <c r="F44" s="292"/>
      <c r="G44" s="402"/>
      <c r="H44" s="293"/>
      <c r="J44" s="576"/>
      <c r="K44" s="576"/>
    </row>
    <row r="45" spans="1:11" ht="20">
      <c r="A45" s="390"/>
      <c r="B45" s="335"/>
      <c r="C45" s="335"/>
      <c r="D45" s="335"/>
      <c r="E45" s="390"/>
      <c r="F45" s="293"/>
      <c r="G45" s="292"/>
      <c r="H45" s="292"/>
      <c r="J45" s="576"/>
      <c r="K45" s="576"/>
    </row>
    <row r="46" spans="1:11" ht="20">
      <c r="A46" s="372">
        <f>+A42+1</f>
        <v>21</v>
      </c>
      <c r="B46" s="372"/>
      <c r="C46" s="386" t="s">
        <v>33</v>
      </c>
      <c r="D46" s="335"/>
      <c r="E46" s="361" t="str">
        <f>"(Note "&amp;B$296&amp;")"</f>
        <v>(Note A)</v>
      </c>
      <c r="F46" s="293" t="str">
        <f>"(Attachment 4, Line "&amp;'4 - Cost Support'!A23&amp;")"</f>
        <v>(Attachment 4, Line 11)</v>
      </c>
      <c r="G46" s="335"/>
      <c r="H46" s="293">
        <f>+'4 - Cost Support'!T23</f>
        <v>-236254238.85014501</v>
      </c>
      <c r="J46" s="576"/>
      <c r="K46" s="576"/>
    </row>
    <row r="47" spans="1:11" ht="20">
      <c r="A47" s="372"/>
      <c r="B47" s="372"/>
      <c r="C47" s="394"/>
      <c r="D47" s="356"/>
      <c r="E47" s="361"/>
      <c r="F47" s="298"/>
      <c r="G47" s="356"/>
      <c r="H47" s="298"/>
      <c r="J47" s="576"/>
      <c r="K47" s="576"/>
    </row>
    <row r="48" spans="1:11" ht="20">
      <c r="A48" s="372">
        <f>A46+1</f>
        <v>22</v>
      </c>
      <c r="B48" s="372"/>
      <c r="C48" s="394" t="s">
        <v>34</v>
      </c>
      <c r="D48" s="356"/>
      <c r="E48" s="361" t="str">
        <f>"(Note "&amp;B$296&amp;")"</f>
        <v>(Note A)</v>
      </c>
      <c r="F48" s="293" t="str">
        <f>"(Attachment 4, Line "&amp;'4 - Cost Support'!A24&amp;")"</f>
        <v>(Attachment 4, Line 12)</v>
      </c>
      <c r="G48" s="356"/>
      <c r="H48" s="298">
        <f>+'4 - Cost Support'!T24</f>
        <v>-19431637.154849093</v>
      </c>
      <c r="J48" s="576"/>
      <c r="K48" s="576"/>
    </row>
    <row r="49" spans="1:11" ht="20">
      <c r="A49" s="372">
        <f>+A48+1</f>
        <v>23</v>
      </c>
      <c r="B49" s="372"/>
      <c r="C49" s="394" t="s">
        <v>35</v>
      </c>
      <c r="D49" s="356"/>
      <c r="E49" s="361" t="str">
        <f>"(Note "&amp;B$296&amp;")"</f>
        <v>(Note A)</v>
      </c>
      <c r="F49" s="293" t="str">
        <f>"(Attachment 4, Line "&amp;'4 - Cost Support'!A12&amp;")"</f>
        <v>(Attachment 4, Line 4)</v>
      </c>
      <c r="G49" s="356"/>
      <c r="H49" s="298">
        <f>+'4 - Cost Support'!T12</f>
        <v>-27892466.09091888</v>
      </c>
      <c r="J49" s="576"/>
      <c r="K49" s="576"/>
    </row>
    <row r="50" spans="1:11" ht="20">
      <c r="A50" s="372">
        <f>+A49+1</f>
        <v>24</v>
      </c>
      <c r="B50" s="372"/>
      <c r="C50" s="373" t="s">
        <v>36</v>
      </c>
      <c r="D50" s="396"/>
      <c r="E50" s="375" t="str">
        <f>"(Note "&amp;B$296&amp;")"</f>
        <v>(Note A)</v>
      </c>
      <c r="F50" s="297" t="str">
        <f>"(Attachment 4, Line "&amp;'4 - Cost Support'!A25&amp;")"</f>
        <v>(Attachment 4, Line 13)</v>
      </c>
      <c r="G50" s="396"/>
      <c r="H50" s="297">
        <f>+'4 - Cost Support'!T25</f>
        <v>0</v>
      </c>
      <c r="J50" s="576"/>
      <c r="K50" s="576"/>
    </row>
    <row r="51" spans="1:11" ht="20">
      <c r="A51" s="372">
        <f>+A50+1</f>
        <v>25</v>
      </c>
      <c r="B51" s="372"/>
      <c r="C51" s="394" t="s">
        <v>37</v>
      </c>
      <c r="D51" s="356"/>
      <c r="E51" s="400"/>
      <c r="F51" s="298" t="str">
        <f>"(Line "&amp;A48&amp;" + "&amp;A49&amp;" + "&amp;A50&amp;")"</f>
        <v>(Line 22 + 23 + 24)</v>
      </c>
      <c r="G51" s="298"/>
      <c r="H51" s="298">
        <f>+H48+H50+H49</f>
        <v>-47324103.245767973</v>
      </c>
      <c r="J51" s="576"/>
      <c r="K51" s="576"/>
    </row>
    <row r="52" spans="1:11" ht="20">
      <c r="A52" s="372">
        <f>+A51+1</f>
        <v>26</v>
      </c>
      <c r="B52" s="372"/>
      <c r="C52" s="394" t="str">
        <f>+C39</f>
        <v>Wage &amp; Salary Allocator</v>
      </c>
      <c r="D52" s="356"/>
      <c r="E52" s="400"/>
      <c r="F52" s="297" t="str">
        <f>"(Line "&amp;A$16&amp;")"</f>
        <v>(Line 5)</v>
      </c>
      <c r="G52" s="298"/>
      <c r="H52" s="744">
        <f>H16</f>
        <v>0.09138981159089922</v>
      </c>
      <c r="J52" s="576"/>
      <c r="K52" s="576"/>
    </row>
    <row r="53" spans="1:11" ht="20">
      <c r="A53" s="372">
        <f>+A52+1</f>
        <v>27</v>
      </c>
      <c r="B53" s="287"/>
      <c r="C53" s="362" t="s">
        <v>38</v>
      </c>
      <c r="D53" s="377"/>
      <c r="E53" s="393"/>
      <c r="F53" s="298" t="str">
        <f>"(Line "&amp;A51&amp;" * Line "&amp;A52&amp;")"</f>
        <v>(Line 25 * Line 26)</v>
      </c>
      <c r="G53" s="377"/>
      <c r="H53" s="742">
        <f>H51*H52</f>
        <v>-4324940.8793389974</v>
      </c>
      <c r="J53" s="576"/>
      <c r="K53" s="576"/>
    </row>
    <row r="54" spans="1:11" ht="20">
      <c r="A54" s="390"/>
      <c r="B54" s="296"/>
      <c r="C54" s="296"/>
      <c r="D54" s="296"/>
      <c r="F54" s="334"/>
      <c r="G54" s="334"/>
      <c r="H54" s="741"/>
      <c r="J54" s="576"/>
      <c r="K54" s="576"/>
    </row>
    <row r="55" spans="1:11" ht="20.5" thickBot="1">
      <c r="A55" s="372">
        <f>+A53+1</f>
        <v>28</v>
      </c>
      <c r="B55" s="382" t="s">
        <v>39</v>
      </c>
      <c r="C55" s="382"/>
      <c r="D55" s="382"/>
      <c r="E55" s="403"/>
      <c r="F55" s="404" t="str">
        <f>"(Lines "&amp;A46&amp;" + "&amp;A53&amp;")"</f>
        <v>(Lines 21 + 27)</v>
      </c>
      <c r="G55" s="405"/>
      <c r="H55" s="743">
        <f>+H46+H53</f>
        <v>-240579179.72948402</v>
      </c>
      <c r="J55" s="576"/>
      <c r="K55" s="576"/>
    </row>
    <row r="56" spans="1:11" ht="20.5" thickTop="1">
      <c r="A56" s="390"/>
      <c r="B56" s="296"/>
      <c r="C56" s="296"/>
      <c r="D56" s="296"/>
      <c r="F56" s="287"/>
      <c r="G56" s="319"/>
      <c r="H56" s="451"/>
      <c r="J56" s="576"/>
      <c r="K56" s="576"/>
    </row>
    <row r="57" spans="1:11" ht="20.5" thickBot="1">
      <c r="A57" s="372">
        <f>+A55+1</f>
        <v>29</v>
      </c>
      <c r="B57" s="382" t="s">
        <v>40</v>
      </c>
      <c r="C57" s="382"/>
      <c r="D57" s="382"/>
      <c r="E57" s="403"/>
      <c r="F57" s="369" t="str">
        <f>"(Line "&amp;A42&amp;" - Line "&amp;A55&amp;")"</f>
        <v>(Line 20 - Line 28)</v>
      </c>
      <c r="G57" s="382"/>
      <c r="H57" s="743">
        <f>H42+H55</f>
        <v>202362522.09915596</v>
      </c>
      <c r="J57" s="576"/>
      <c r="K57" s="576"/>
    </row>
    <row r="58" spans="1:11" ht="20.5" thickTop="1">
      <c r="A58" s="334"/>
      <c r="B58" s="296"/>
      <c r="C58" s="296"/>
      <c r="D58" s="296"/>
      <c r="F58" s="287"/>
      <c r="J58" s="576"/>
      <c r="K58" s="576"/>
    </row>
    <row r="59" spans="1:11" ht="20">
      <c r="A59" s="350" t="s">
        <v>41</v>
      </c>
      <c r="B59" s="352"/>
      <c r="C59" s="352"/>
      <c r="D59" s="352"/>
      <c r="E59" s="353"/>
      <c r="F59" s="354"/>
      <c r="G59" s="354"/>
      <c r="H59" s="304"/>
      <c r="J59" s="576"/>
      <c r="K59" s="576"/>
    </row>
    <row r="60" spans="1:11" ht="20">
      <c r="A60" s="406"/>
      <c r="B60" s="407"/>
      <c r="C60" s="407"/>
      <c r="D60" s="407"/>
      <c r="H60" s="816"/>
      <c r="J60" s="576"/>
      <c r="K60" s="576"/>
    </row>
    <row r="61" spans="1:11" ht="20">
      <c r="A61" s="390"/>
      <c r="B61" s="408" t="s">
        <v>42</v>
      </c>
      <c r="D61" s="287"/>
      <c r="E61" s="409"/>
      <c r="H61" s="292"/>
      <c r="J61" s="576"/>
      <c r="K61" s="576"/>
    </row>
    <row r="62" spans="1:11" ht="20">
      <c r="A62" s="390">
        <f>+A57+1</f>
        <v>30</v>
      </c>
      <c r="B62" s="408"/>
      <c r="C62" s="410" t="s">
        <v>43</v>
      </c>
      <c r="D62" s="411"/>
      <c r="E62" s="361" t="str">
        <f>"(Notes "&amp;B$307&amp;" and "&amp;B311&amp;")"</f>
        <v>(Notes L and P)</v>
      </c>
      <c r="F62" s="293" t="str">
        <f>"(Attachment 1A, Line "&amp;'1A - ADIT'!A19&amp;")"</f>
        <v>(Attachment 1A, Line 11)</v>
      </c>
      <c r="H62" s="305">
        <f>+'1A - ADIT'!H19</f>
        <v>-31958533.465385862</v>
      </c>
      <c r="J62" s="576"/>
      <c r="K62" s="576"/>
    </row>
    <row r="63" spans="1:11" ht="20">
      <c r="A63" s="390"/>
      <c r="B63" s="287"/>
      <c r="C63" s="408"/>
      <c r="D63" s="288"/>
      <c r="E63" s="1016"/>
      <c r="F63" s="288"/>
      <c r="G63" s="379"/>
      <c r="H63" s="305"/>
      <c r="J63" s="576"/>
      <c r="K63" s="576"/>
    </row>
    <row r="64" spans="1:11" ht="20">
      <c r="A64" s="390"/>
      <c r="B64" s="408" t="s">
        <v>42</v>
      </c>
      <c r="D64" s="288"/>
      <c r="E64" s="1016"/>
      <c r="F64" s="288"/>
      <c r="G64" s="379"/>
      <c r="H64" s="305"/>
      <c r="J64" s="576"/>
      <c r="K64" s="576"/>
    </row>
    <row r="65" spans="1:11" ht="20">
      <c r="A65" s="390">
        <f>+A62+1</f>
        <v>31</v>
      </c>
      <c r="B65" s="408"/>
      <c r="C65" s="410" t="s">
        <v>44</v>
      </c>
      <c r="D65" s="288"/>
      <c r="E65" s="361" t="str">
        <f>"(Note "&amp;B307&amp;" and "&amp;B309&amp;")"</f>
        <v>(Note L and N)</v>
      </c>
      <c r="F65" s="293" t="str">
        <f>"(Attachment 4, Line "&amp;'4 - Cost Support'!A203&amp;")"</f>
        <v>(Attachment 4, Line 78)</v>
      </c>
      <c r="G65" s="379"/>
      <c r="H65" s="305">
        <f>+'4 - Cost Support'!T203</f>
        <v>-32619056.170353778</v>
      </c>
      <c r="J65" s="576"/>
      <c r="K65" s="576"/>
    </row>
    <row r="66" spans="1:11" ht="20">
      <c r="A66" s="390"/>
      <c r="B66" s="408"/>
      <c r="C66" s="410"/>
      <c r="D66" s="288"/>
      <c r="E66" s="361"/>
      <c r="F66" s="288"/>
      <c r="G66" s="379"/>
      <c r="H66" s="305"/>
      <c r="J66" s="576"/>
      <c r="K66" s="576"/>
    </row>
    <row r="67" spans="1:11" ht="20">
      <c r="A67" s="372"/>
      <c r="B67" s="412" t="s">
        <v>45</v>
      </c>
      <c r="C67" s="287"/>
      <c r="D67" s="287"/>
      <c r="E67" s="287"/>
      <c r="F67" s="335"/>
      <c r="G67" s="287"/>
      <c r="H67" s="287"/>
      <c r="J67" s="576"/>
      <c r="K67" s="576"/>
    </row>
    <row r="68" spans="1:11" ht="20">
      <c r="A68" s="372">
        <f>+A65+1</f>
        <v>32</v>
      </c>
      <c r="B68" s="357"/>
      <c r="C68" s="394" t="s">
        <v>46</v>
      </c>
      <c r="D68" s="361"/>
      <c r="E68" s="361" t="str">
        <f>"(Note "&amp;B$296&amp;" &amp; "&amp;B$301&amp;")"</f>
        <v>(Note A &amp; F)</v>
      </c>
      <c r="F68" s="293" t="str">
        <f>"(Attachment 5, Line "&amp;'5 - CWIP in Rate Base'!A35&amp;")"</f>
        <v>(Attachment 5, Line 25)</v>
      </c>
      <c r="G68" s="288"/>
      <c r="H68" s="298">
        <f>+'5 - CWIP in Rate Base'!S35</f>
        <v>23279458.663696028</v>
      </c>
      <c r="J68" s="576"/>
      <c r="K68" s="576"/>
    </row>
    <row r="69" spans="1:11" ht="20">
      <c r="A69" s="372"/>
      <c r="B69" s="357"/>
      <c r="C69" s="394"/>
      <c r="D69" s="361"/>
      <c r="E69" s="361"/>
      <c r="F69" s="355"/>
      <c r="G69" s="288"/>
      <c r="H69" s="298"/>
      <c r="J69" s="576"/>
      <c r="K69" s="576"/>
    </row>
    <row r="70" spans="1:11" s="59" customFormat="1" ht="20">
      <c r="A70" s="372"/>
      <c r="B70" s="412" t="s">
        <v>47</v>
      </c>
      <c r="C70" s="287"/>
      <c r="D70" s="287"/>
      <c r="E70" s="287"/>
      <c r="F70" s="335"/>
      <c r="G70" s="287"/>
      <c r="H70" s="287"/>
      <c r="J70" s="576"/>
      <c r="K70" s="576"/>
    </row>
    <row r="71" spans="1:11" s="59" customFormat="1" ht="20">
      <c r="A71" s="372">
        <f>+A68+1</f>
        <v>33</v>
      </c>
      <c r="B71" s="357"/>
      <c r="C71" s="394" t="s">
        <v>48</v>
      </c>
      <c r="D71" s="361"/>
      <c r="E71" s="361" t="str">
        <f>"(Note "&amp;B296&amp;" and "&amp;B$308&amp;")"</f>
        <v>(Note A and M)</v>
      </c>
      <c r="F71" s="293" t="str">
        <f>"(Attachment 4, Line "&amp;'4 - Cost Support'!A195&amp;")"</f>
        <v>(Attachment 4, Line 77)</v>
      </c>
      <c r="G71" s="288"/>
      <c r="H71" s="298">
        <f>+'4 - Cost Support'!K195</f>
        <v>0</v>
      </c>
      <c r="J71" s="576"/>
      <c r="K71" s="576"/>
    </row>
    <row r="72" spans="1:11" ht="20">
      <c r="A72" s="372"/>
      <c r="B72" s="372"/>
      <c r="C72" s="394"/>
      <c r="D72" s="361"/>
      <c r="E72" s="355"/>
      <c r="F72" s="380"/>
      <c r="G72" s="298"/>
      <c r="H72" s="287"/>
      <c r="J72" s="576"/>
      <c r="K72" s="576"/>
    </row>
    <row r="73" spans="1:11" ht="20">
      <c r="A73" s="372">
        <f>+A71+1</f>
        <v>34</v>
      </c>
      <c r="B73" s="413" t="s">
        <v>49</v>
      </c>
      <c r="D73" s="414"/>
      <c r="E73" s="361" t="str">
        <f>"(Note "&amp;B$297&amp;" &amp; "&amp;B$307&amp;")"</f>
        <v>(Note B &amp; L)</v>
      </c>
      <c r="F73" s="293" t="str">
        <f>"(Attachment 4, Line "&amp;'4 - Cost Support'!A40&amp;")"</f>
        <v>(Attachment 4, Line 17)</v>
      </c>
      <c r="G73" s="356"/>
      <c r="H73" s="298">
        <f>+'4 - Cost Support'!T40</f>
        <v>269799</v>
      </c>
      <c r="J73" s="576"/>
      <c r="K73" s="576"/>
    </row>
    <row r="74" spans="1:11" ht="20">
      <c r="A74" s="372"/>
      <c r="B74" s="372"/>
      <c r="C74" s="394"/>
      <c r="D74" s="361"/>
      <c r="E74" s="355"/>
      <c r="F74" s="380"/>
      <c r="G74" s="298"/>
      <c r="H74" s="287"/>
      <c r="J74" s="576"/>
      <c r="K74" s="576"/>
    </row>
    <row r="75" spans="1:11" ht="20">
      <c r="A75" s="372"/>
      <c r="B75" s="415" t="s">
        <v>50</v>
      </c>
      <c r="C75" s="397"/>
      <c r="D75" s="335"/>
      <c r="E75" s="390"/>
      <c r="F75" s="416"/>
      <c r="G75" s="417"/>
      <c r="H75" s="287"/>
      <c r="I75" s="618"/>
      <c r="K75" s="576"/>
    </row>
    <row r="76" spans="1:11" ht="20">
      <c r="A76" s="372">
        <f>+A73+1</f>
        <v>35</v>
      </c>
      <c r="B76" s="418"/>
      <c r="C76" s="419" t="s">
        <v>51</v>
      </c>
      <c r="D76" s="361"/>
      <c r="E76" s="361" t="str">
        <f>"(Note "&amp;B$296&amp;")"</f>
        <v>(Note A)</v>
      </c>
      <c r="F76" s="293" t="str">
        <f>"(Attachment 4, Line "&amp;'4 - Cost Support'!A51&amp;")"</f>
        <v>(Attachment 4, Line 22)</v>
      </c>
      <c r="G76" s="314"/>
      <c r="H76" s="306">
        <f>+'4 - Cost Support'!T51</f>
        <v>6921419</v>
      </c>
      <c r="J76" s="618"/>
      <c r="K76" s="576"/>
    </row>
    <row r="77" spans="1:11" ht="20">
      <c r="A77" s="372">
        <f>+A76+1</f>
        <v>36</v>
      </c>
      <c r="B77" s="418"/>
      <c r="C77" s="422" t="s">
        <v>29</v>
      </c>
      <c r="D77" s="391"/>
      <c r="E77" s="423"/>
      <c r="F77" s="297" t="str">
        <f>"(Line "&amp;A$16&amp;")"</f>
        <v>(Line 5)</v>
      </c>
      <c r="G77" s="424"/>
      <c r="H77" s="723">
        <f>+H16</f>
        <v>0.09138981159089922</v>
      </c>
      <c r="J77" s="618"/>
      <c r="K77" s="576"/>
    </row>
    <row r="78" spans="1:11" ht="20">
      <c r="A78" s="372">
        <f>+A77+1</f>
        <v>37</v>
      </c>
      <c r="B78" s="418"/>
      <c r="C78" s="397" t="s">
        <v>52</v>
      </c>
      <c r="D78" s="335"/>
      <c r="E78" s="390"/>
      <c r="F78" s="298" t="str">
        <f>"(Line "&amp;A76&amp;" * Line "&amp;A77&amp;")"</f>
        <v>(Line 35 * Line 36)</v>
      </c>
      <c r="G78" s="417"/>
      <c r="H78" s="308">
        <f>H76*H77</f>
        <v>632547.17835167004</v>
      </c>
      <c r="J78" s="618"/>
      <c r="K78" s="576"/>
    </row>
    <row r="79" spans="1:11" ht="20">
      <c r="A79" s="359"/>
      <c r="B79" s="420"/>
      <c r="C79" s="397"/>
      <c r="E79" s="359"/>
      <c r="F79" s="314"/>
      <c r="G79" s="417"/>
      <c r="H79" s="307"/>
      <c r="J79" s="618"/>
      <c r="K79" s="576"/>
    </row>
    <row r="80" spans="1:11" ht="20">
      <c r="A80" s="372"/>
      <c r="B80" s="415" t="s">
        <v>53</v>
      </c>
      <c r="C80" s="287"/>
      <c r="D80" s="287"/>
      <c r="E80" s="421"/>
      <c r="F80" s="314"/>
      <c r="G80" s="417"/>
      <c r="H80" s="307"/>
      <c r="J80" s="618"/>
      <c r="K80" s="576"/>
    </row>
    <row r="81" spans="1:11" ht="20">
      <c r="A81" s="390">
        <f>+A78+1</f>
        <v>38</v>
      </c>
      <c r="B81" s="287"/>
      <c r="C81" s="287" t="s">
        <v>54</v>
      </c>
      <c r="D81" s="335"/>
      <c r="E81" s="361" t="str">
        <f>"(Note "&amp;B$296&amp;")"</f>
        <v>(Note A)</v>
      </c>
      <c r="F81" s="293" t="str">
        <f>"(Attachment 4, Line "&amp;'4 - Cost Support'!A59&amp;")"</f>
        <v>(Attachment 4, Line 23)</v>
      </c>
      <c r="H81" s="293">
        <f>+'4 - Cost Support'!T59</f>
        <v>490321</v>
      </c>
      <c r="J81" s="13"/>
      <c r="K81" s="576"/>
    </row>
    <row r="82" spans="1:11" ht="20">
      <c r="A82" s="372">
        <f>+A81+1</f>
        <v>39</v>
      </c>
      <c r="B82" s="420"/>
      <c r="C82" s="422" t="s">
        <v>29</v>
      </c>
      <c r="D82" s="391"/>
      <c r="E82" s="423"/>
      <c r="F82" s="297" t="str">
        <f>"(Line "&amp;A$16&amp;")"</f>
        <v>(Line 5)</v>
      </c>
      <c r="G82" s="424"/>
      <c r="H82" s="723">
        <f>H16</f>
        <v>0.09138981159089922</v>
      </c>
      <c r="J82" s="618"/>
      <c r="K82" s="576"/>
    </row>
    <row r="83" spans="1:11" ht="20">
      <c r="A83" s="372">
        <f>+A82+1</f>
        <v>40</v>
      </c>
      <c r="B83" s="420"/>
      <c r="C83" s="397" t="s">
        <v>55</v>
      </c>
      <c r="D83" s="335"/>
      <c r="E83" s="390"/>
      <c r="F83" s="298" t="str">
        <f>"(Line "&amp;A81&amp;" * Line "&amp;A82&amp;")"</f>
        <v>(Line 38 * Line 39)</v>
      </c>
      <c r="G83" s="417"/>
      <c r="H83" s="308">
        <f>H81*H82</f>
        <v>44810.343809061298</v>
      </c>
      <c r="J83" s="618"/>
      <c r="K83" s="576"/>
    </row>
    <row r="84" spans="1:11" ht="20">
      <c r="A84" s="372"/>
      <c r="B84" s="420"/>
      <c r="C84" s="397" t="s">
        <v>819</v>
      </c>
      <c r="D84" s="335"/>
      <c r="E84" s="361" t="str">
        <f>"(Note "&amp;B$296&amp;" &amp; "&amp;B315&amp;")"</f>
        <v>(Note A &amp; T)</v>
      </c>
      <c r="F84" s="298" t="str">
        <f>"(Attachment 4, Line "&amp;'4 - Cost Support'!A61&amp;")"</f>
        <v>(Attachment 4, Line 25)</v>
      </c>
      <c r="G84" s="417"/>
      <c r="H84" s="326">
        <f>+'4 - Cost Support'!T61</f>
        <v>0</v>
      </c>
      <c r="J84" s="618"/>
      <c r="K84" s="576"/>
    </row>
    <row r="85" spans="1:11" ht="20">
      <c r="A85" s="372">
        <f>A83+1</f>
        <v>41</v>
      </c>
      <c r="B85" s="420"/>
      <c r="C85" s="397" t="s">
        <v>225</v>
      </c>
      <c r="D85" s="335"/>
      <c r="E85" s="361" t="str">
        <f>"(Note  "&amp;B$296&amp;" )"</f>
        <v>(Note  A )</v>
      </c>
      <c r="F85" s="297" t="str">
        <f>"(Attachment 4, Line "&amp;'4 - Cost Support'!A60&amp;")"</f>
        <v>(Attachment 4, Line 24)</v>
      </c>
      <c r="G85" s="417"/>
      <c r="H85" s="309">
        <f>+'4 - Cost Support'!T60</f>
        <v>0</v>
      </c>
      <c r="J85" s="576"/>
      <c r="K85" s="576"/>
    </row>
    <row r="86" spans="1:11" ht="27.75" customHeight="1">
      <c r="A86" s="372">
        <f>A85+1</f>
        <v>42</v>
      </c>
      <c r="B86" s="420"/>
      <c r="C86" s="377" t="s">
        <v>57</v>
      </c>
      <c r="D86" s="392"/>
      <c r="E86" s="425"/>
      <c r="F86" s="298" t="str">
        <f>"(Line "&amp;A83&amp;" + Line "&amp;A85&amp;")"</f>
        <v>(Line 40 + Line 41)</v>
      </c>
      <c r="G86" s="426"/>
      <c r="H86" s="326">
        <f>H83+H84+H85</f>
        <v>44810.343809061298</v>
      </c>
      <c r="J86" s="576"/>
      <c r="K86" s="576"/>
    </row>
    <row r="87" spans="1:11" ht="27.75" customHeight="1">
      <c r="A87" s="372"/>
      <c r="B87" s="420"/>
      <c r="C87" s="288"/>
      <c r="D87" s="356"/>
      <c r="E87" s="490"/>
      <c r="F87" s="298"/>
      <c r="G87" s="491"/>
      <c r="H87" s="299"/>
      <c r="J87" s="576"/>
      <c r="K87" s="576"/>
    </row>
    <row r="88" spans="1:11" ht="20">
      <c r="A88" s="372"/>
      <c r="B88" s="415" t="s">
        <v>58</v>
      </c>
      <c r="C88" s="287"/>
      <c r="D88" s="335"/>
      <c r="F88" s="314"/>
      <c r="G88" s="417"/>
      <c r="J88" s="576"/>
      <c r="K88" s="576"/>
    </row>
    <row r="89" spans="1:11" ht="20">
      <c r="A89" s="372">
        <f>+A86+1</f>
        <v>43</v>
      </c>
      <c r="B89" s="420"/>
      <c r="C89" s="397" t="s">
        <v>59</v>
      </c>
      <c r="D89" s="331"/>
      <c r="E89" s="390"/>
      <c r="F89" s="298" t="str">
        <f>"(Line "&amp;A$144&amp;")"</f>
        <v>(Line 78)</v>
      </c>
      <c r="G89" s="417"/>
      <c r="H89" s="306">
        <f>H144</f>
        <v>13799110.976779331</v>
      </c>
      <c r="J89" s="576"/>
      <c r="K89" s="576"/>
    </row>
    <row r="90" spans="1:11" ht="20">
      <c r="A90" s="372">
        <f>+A89+1</f>
        <v>44</v>
      </c>
      <c r="B90" s="420"/>
      <c r="C90" s="331" t="s">
        <v>803</v>
      </c>
      <c r="D90" s="331"/>
      <c r="E90" s="390"/>
      <c r="F90" s="422"/>
      <c r="H90" s="310">
        <v>0</v>
      </c>
      <c r="J90" s="576"/>
      <c r="K90" s="576"/>
    </row>
    <row r="91" spans="1:11" s="17" customFormat="1" ht="20">
      <c r="A91" s="372">
        <f>+A90+1</f>
        <v>45</v>
      </c>
      <c r="B91" s="398"/>
      <c r="C91" s="427" t="s">
        <v>60</v>
      </c>
      <c r="D91" s="428"/>
      <c r="E91" s="429"/>
      <c r="F91" s="298" t="str">
        <f>"(Line "&amp;A89&amp;" * Line "&amp;A90&amp;")"</f>
        <v>(Line 43 * Line 44)</v>
      </c>
      <c r="G91" s="430"/>
      <c r="H91" s="305">
        <f>H89*H90</f>
        <v>0</v>
      </c>
      <c r="J91" s="576"/>
      <c r="K91" s="576"/>
    </row>
    <row r="92" spans="1:11" s="17" customFormat="1" ht="20">
      <c r="A92" s="372"/>
      <c r="B92" s="398"/>
      <c r="C92" s="419"/>
      <c r="D92" s="355"/>
      <c r="E92" s="528"/>
      <c r="F92" s="298"/>
      <c r="G92" s="347"/>
      <c r="H92" s="305"/>
      <c r="J92" s="576"/>
      <c r="K92" s="576"/>
    </row>
    <row r="93" spans="1:11" s="17" customFormat="1" ht="20">
      <c r="A93" s="372"/>
      <c r="B93" s="415" t="s">
        <v>61</v>
      </c>
      <c r="C93" s="419"/>
      <c r="D93" s="355"/>
      <c r="E93" s="528"/>
      <c r="F93" s="298"/>
      <c r="G93" s="347"/>
      <c r="H93" s="305"/>
      <c r="J93" s="576"/>
      <c r="K93" s="576"/>
    </row>
    <row r="94" spans="1:11" s="17" customFormat="1" ht="20">
      <c r="A94" s="372">
        <f>+A91+1</f>
        <v>46</v>
      </c>
      <c r="B94" s="398"/>
      <c r="C94" s="419" t="s">
        <v>62</v>
      </c>
      <c r="D94" s="355"/>
      <c r="E94" s="361" t="str">
        <f>"(Note  "&amp;B$296&amp;")"</f>
        <v>(Note  A)</v>
      </c>
      <c r="F94" s="293" t="str">
        <f>"(Attachment 4, Line "&amp;'4 - Cost Support'!A212&amp;")"</f>
        <v>(Attachment 4, Line 79)</v>
      </c>
      <c r="G94" s="347"/>
      <c r="H94" s="305">
        <f>+'4 - Cost Support'!T212</f>
        <v>0</v>
      </c>
      <c r="J94" s="576"/>
      <c r="K94" s="576"/>
    </row>
    <row r="95" spans="1:11" s="17" customFormat="1" ht="20">
      <c r="A95" s="372">
        <f>+A94+1</f>
        <v>47</v>
      </c>
      <c r="B95" s="398"/>
      <c r="C95" s="422" t="s">
        <v>21</v>
      </c>
      <c r="D95" s="391"/>
      <c r="E95" s="621"/>
      <c r="F95" s="297" t="str">
        <f>"(Line "&amp;A$27&amp;")"</f>
        <v>(Line 12)</v>
      </c>
      <c r="G95" s="622"/>
      <c r="H95" s="722">
        <f>+H27</f>
        <v>0.16002770040064465</v>
      </c>
      <c r="J95" s="576"/>
      <c r="K95" s="576"/>
    </row>
    <row r="96" spans="1:11" s="17" customFormat="1" ht="20">
      <c r="A96" s="372">
        <f>+A95+1</f>
        <v>48</v>
      </c>
      <c r="B96" s="398"/>
      <c r="C96" s="419" t="s">
        <v>63</v>
      </c>
      <c r="D96" s="355"/>
      <c r="E96" s="528"/>
      <c r="F96" s="298" t="str">
        <f>"(Line "&amp;A94&amp;" * Line "&amp;A95&amp;")"</f>
        <v>(Line 46 * Line 47)</v>
      </c>
      <c r="G96" s="347"/>
      <c r="H96" s="305">
        <f>+H94*H95</f>
        <v>0</v>
      </c>
      <c r="J96" s="576"/>
      <c r="K96" s="576"/>
    </row>
    <row r="97" spans="1:11" s="17" customFormat="1" ht="20">
      <c r="A97" s="372"/>
      <c r="B97" s="398"/>
      <c r="C97" s="419"/>
      <c r="D97" s="355"/>
      <c r="E97" s="528"/>
      <c r="F97" s="298"/>
      <c r="G97" s="347"/>
      <c r="H97" s="305"/>
      <c r="J97" s="576"/>
      <c r="K97" s="576"/>
    </row>
    <row r="98" spans="1:11" s="17" customFormat="1" ht="20">
      <c r="A98" s="372">
        <f>+A96+1</f>
        <v>49</v>
      </c>
      <c r="B98" s="398"/>
      <c r="C98" s="419" t="s">
        <v>64</v>
      </c>
      <c r="D98" s="355"/>
      <c r="E98" s="361" t="str">
        <f>"(Note  "&amp;B$296&amp;")"</f>
        <v>(Note  A)</v>
      </c>
      <c r="F98" s="293" t="str">
        <f>"(Attachment 4, Line "&amp;'4 - Cost Support'!A213&amp;")"</f>
        <v>(Attachment 4, Line 80)</v>
      </c>
      <c r="G98" s="347"/>
      <c r="H98" s="305">
        <f>+'4 - Cost Support'!T213</f>
        <v>-1321140</v>
      </c>
      <c r="J98" s="576"/>
      <c r="K98" s="576"/>
    </row>
    <row r="99" spans="1:11" s="17" customFormat="1" ht="20">
      <c r="A99" s="372">
        <f>+A98+1</f>
        <v>50</v>
      </c>
      <c r="B99" s="398"/>
      <c r="C99" s="419" t="s">
        <v>804</v>
      </c>
      <c r="D99" s="355"/>
      <c r="E99" s="361" t="str">
        <f>"(Note  "&amp;B$296&amp;")"</f>
        <v>(Note  A)</v>
      </c>
      <c r="F99" s="293" t="str">
        <f>"(Attachment 4, Line "&amp;'4 - Cost Support'!A214&amp;")"</f>
        <v>(Attachment 4, Line 81)</v>
      </c>
      <c r="G99" s="347"/>
      <c r="H99" s="623">
        <f>+'4 - Cost Support'!T214</f>
        <v>-2200000</v>
      </c>
      <c r="J99" s="576"/>
      <c r="K99" s="576"/>
    </row>
    <row r="100" spans="1:11" s="17" customFormat="1" ht="20">
      <c r="A100" s="372">
        <f>+A99+1</f>
        <v>51</v>
      </c>
      <c r="B100" s="398"/>
      <c r="C100" s="419" t="s">
        <v>65</v>
      </c>
      <c r="D100" s="355"/>
      <c r="E100" s="528"/>
      <c r="F100" s="298" t="str">
        <f>"(Line "&amp;A98&amp;" + Line "&amp;A99&amp;")"</f>
        <v>(Line 49 + Line 50)</v>
      </c>
      <c r="G100" s="347"/>
      <c r="H100" s="305">
        <f>+H98+H99</f>
        <v>-3521140</v>
      </c>
      <c r="J100" s="576"/>
      <c r="K100" s="576"/>
    </row>
    <row r="101" spans="1:11" s="17" customFormat="1" ht="20">
      <c r="A101" s="372">
        <f>+A100+1</f>
        <v>52</v>
      </c>
      <c r="B101" s="398"/>
      <c r="C101" s="422" t="s">
        <v>66</v>
      </c>
      <c r="D101" s="391"/>
      <c r="E101" s="621"/>
      <c r="F101" s="297" t="str">
        <f>"(Line "&amp;A$16&amp;")"</f>
        <v>(Line 5)</v>
      </c>
      <c r="G101" s="622"/>
      <c r="H101" s="722">
        <f>+H16</f>
        <v>0.09138981159089922</v>
      </c>
      <c r="J101" s="576"/>
      <c r="K101" s="576"/>
    </row>
    <row r="102" spans="1:11" s="17" customFormat="1" ht="20">
      <c r="A102" s="372">
        <f>+A101+1</f>
        <v>53</v>
      </c>
      <c r="B102" s="398"/>
      <c r="C102" s="419" t="s">
        <v>67</v>
      </c>
      <c r="D102" s="355"/>
      <c r="E102" s="528"/>
      <c r="F102" s="298" t="str">
        <f>"(Line "&amp;A100&amp;" * Line "&amp;A101&amp;")"</f>
        <v>(Line 51 * Line 52)</v>
      </c>
      <c r="G102" s="347"/>
      <c r="H102" s="305">
        <f>+H100*H101</f>
        <v>-321796.32118517888</v>
      </c>
      <c r="J102" s="576"/>
      <c r="K102" s="576"/>
    </row>
    <row r="103" spans="1:11" s="17" customFormat="1" ht="20">
      <c r="A103" s="372"/>
      <c r="B103" s="398"/>
      <c r="C103" s="419"/>
      <c r="D103" s="355"/>
      <c r="E103" s="528"/>
      <c r="F103" s="298"/>
      <c r="G103" s="347"/>
      <c r="H103" s="305"/>
      <c r="J103" s="576"/>
      <c r="K103" s="576"/>
    </row>
    <row r="104" spans="1:11" s="17" customFormat="1" ht="20">
      <c r="A104" s="372">
        <f>+A102+1</f>
        <v>54</v>
      </c>
      <c r="B104" s="398"/>
      <c r="C104" s="419" t="s">
        <v>68</v>
      </c>
      <c r="D104" s="355"/>
      <c r="E104" s="361" t="str">
        <f>"(Note  "&amp;B$296&amp;")"</f>
        <v>(Note  A)</v>
      </c>
      <c r="F104" s="293" t="str">
        <f>"(Attachment 4, Line "&amp;'4 - Cost Support'!A215&amp;")"</f>
        <v>(Attachment 4, Line 82)</v>
      </c>
      <c r="G104" s="347"/>
      <c r="H104" s="305">
        <f>+'4 - Cost Support'!T215</f>
        <v>0</v>
      </c>
      <c r="J104" s="576"/>
      <c r="K104" s="576"/>
    </row>
    <row r="105" spans="1:11" s="17" customFormat="1" ht="20">
      <c r="A105" s="372"/>
      <c r="B105" s="398"/>
      <c r="C105" s="419"/>
      <c r="D105" s="355"/>
      <c r="E105" s="528"/>
      <c r="F105" s="298"/>
      <c r="G105" s="347"/>
      <c r="H105" s="305"/>
      <c r="J105" s="576"/>
      <c r="K105" s="576"/>
    </row>
    <row r="106" spans="1:11" s="17" customFormat="1" ht="20">
      <c r="A106" s="372">
        <f>+A104+1</f>
        <v>55</v>
      </c>
      <c r="B106" s="408" t="s">
        <v>900</v>
      </c>
      <c r="C106" s="419"/>
      <c r="D106" s="355"/>
      <c r="E106" s="361" t="str">
        <f>"(Note  "&amp;B$307&amp;")"</f>
        <v>(Note  L)</v>
      </c>
      <c r="F106" s="298" t="str">
        <f>"(Attachment 4, Line "&amp;'4 - Cost Support'!A231&amp;")"</f>
        <v>(Attachment 4, Line 86)</v>
      </c>
      <c r="G106" s="347"/>
      <c r="H106" s="305">
        <f>+'4 - Cost Support'!T231</f>
        <v>-56943</v>
      </c>
      <c r="J106" s="576"/>
      <c r="K106" s="576"/>
    </row>
    <row r="107" spans="1:11" s="17" customFormat="1" ht="20">
      <c r="A107" s="372"/>
      <c r="B107" s="398"/>
      <c r="C107" s="419"/>
      <c r="D107" s="355"/>
      <c r="E107" s="528"/>
      <c r="F107" s="356"/>
      <c r="G107" s="347"/>
      <c r="H107" s="744"/>
      <c r="J107" s="576"/>
      <c r="K107" s="576"/>
    </row>
    <row r="108" spans="1:11" s="17" customFormat="1" ht="20">
      <c r="A108" s="372">
        <f>+A106+1</f>
        <v>56</v>
      </c>
      <c r="B108" s="415" t="s">
        <v>69</v>
      </c>
      <c r="C108" s="419"/>
      <c r="D108" s="355"/>
      <c r="E108" s="361" t="str">
        <f>"(Note  "&amp;B$296&amp;")"</f>
        <v>(Note  A)</v>
      </c>
      <c r="F108" s="293" t="str">
        <f>"(Attachment 4, Line "&amp;'4 - Cost Support'!A222&amp;")"</f>
        <v>(Attachment 4, Line 83)</v>
      </c>
      <c r="G108" s="347"/>
      <c r="H108" s="305">
        <f>+'4 - Cost Support'!T222</f>
        <v>0</v>
      </c>
      <c r="J108" s="576"/>
      <c r="K108" s="576"/>
    </row>
    <row r="109" spans="1:11" s="17" customFormat="1" ht="20">
      <c r="A109" s="372"/>
      <c r="B109" s="415"/>
      <c r="C109" s="419"/>
      <c r="D109" s="355"/>
      <c r="E109" s="528"/>
      <c r="F109" s="298"/>
      <c r="G109" s="347"/>
      <c r="H109" s="305"/>
      <c r="J109" s="576"/>
      <c r="K109" s="576"/>
    </row>
    <row r="110" spans="1:11" s="17" customFormat="1" ht="20">
      <c r="A110" s="372">
        <f>+A108+1</f>
        <v>57</v>
      </c>
      <c r="B110" s="408" t="s">
        <v>70</v>
      </c>
      <c r="C110" s="419"/>
      <c r="D110" s="431"/>
      <c r="E110" s="361" t="str">
        <f>"(Note  "&amp;B$296&amp;")"</f>
        <v>(Note  A)</v>
      </c>
      <c r="F110" s="298" t="str">
        <f>"(Attachment 4, Line "&amp;'4 - Cost Support'!A237&amp;")"</f>
        <v>(Attachment 4, Line 87)</v>
      </c>
      <c r="G110" s="433"/>
      <c r="H110" s="326">
        <f>+'4 - Cost Support'!T237</f>
        <v>-1244235.8202752681</v>
      </c>
      <c r="J110" s="576"/>
      <c r="K110" s="576"/>
    </row>
    <row r="111" spans="1:11" ht="20">
      <c r="A111" s="334"/>
      <c r="B111" s="296"/>
      <c r="C111" s="296"/>
      <c r="D111" s="296"/>
      <c r="F111" s="287"/>
      <c r="H111" s="301"/>
      <c r="J111" s="576"/>
      <c r="K111" s="576"/>
    </row>
    <row r="112" spans="1:11" ht="64.5" customHeight="1" thickBot="1">
      <c r="A112" s="334">
        <f>+A110+1</f>
        <v>58</v>
      </c>
      <c r="B112" s="382" t="s">
        <v>71</v>
      </c>
      <c r="C112" s="382"/>
      <c r="D112" s="382"/>
      <c r="E112" s="403"/>
      <c r="F112" s="624" t="str">
        <f>"(Lines "&amp;A62&amp;" + "&amp;A65&amp;" + "&amp;A68&amp;" + "&amp;A71&amp;" + "&amp;A73&amp;" + "&amp;A78&amp;" + "&amp;A86&amp;" + "&amp;A91&amp;" + "&amp;A96&amp;" + "&amp;A102&amp;" + "&amp;A104&amp;" + "&amp;A106&amp;" + "&amp;A108&amp;" + "&amp;A110&amp;")"</f>
        <v>(Lines 30 + 31 + 32 + 33 + 34 + 37 + 42 + 45 + 48 + 53 + 54 + 55 + 56 + 57)</v>
      </c>
      <c r="G112" s="435"/>
      <c r="H112" s="835">
        <f>+H62+H65+H68+H71+H73+H78+H86+H91+H96+H102+H104+H106+H108+H110</f>
        <v>-41973949.591343328</v>
      </c>
      <c r="I112" s="576"/>
      <c r="J112" s="576"/>
      <c r="K112" s="576"/>
    </row>
    <row r="113" spans="1:11" ht="20.5" thickTop="1">
      <c r="A113" s="334"/>
      <c r="B113" s="296"/>
      <c r="C113" s="296"/>
      <c r="D113" s="296"/>
      <c r="F113" s="287"/>
      <c r="H113" s="741"/>
      <c r="J113" s="576"/>
      <c r="K113" s="576"/>
    </row>
    <row r="114" spans="1:11" ht="20.5" thickBot="1">
      <c r="A114" s="436">
        <f>+A112+1</f>
        <v>59</v>
      </c>
      <c r="B114" s="437" t="s">
        <v>72</v>
      </c>
      <c r="C114" s="437"/>
      <c r="D114" s="437"/>
      <c r="E114" s="438"/>
      <c r="F114" s="439" t="str">
        <f>"(Line "&amp;A57&amp;" + Line "&amp;A112&amp;")"</f>
        <v>(Line 29 + Line 58)</v>
      </c>
      <c r="G114" s="437"/>
      <c r="H114" s="745">
        <f>H57+H112</f>
        <v>160388572.50781262</v>
      </c>
      <c r="J114" s="576"/>
      <c r="K114" s="576"/>
    </row>
    <row r="115" spans="2:11" ht="20">
      <c r="B115" s="296"/>
      <c r="C115" s="296"/>
      <c r="D115" s="296"/>
      <c r="J115" s="576"/>
      <c r="K115" s="576"/>
    </row>
    <row r="116" spans="1:11" s="13" customFormat="1" ht="20">
      <c r="A116" s="440" t="s">
        <v>73</v>
      </c>
      <c r="B116" s="441"/>
      <c r="C116" s="442"/>
      <c r="D116" s="443"/>
      <c r="E116" s="444"/>
      <c r="F116" s="304"/>
      <c r="G116" s="304"/>
      <c r="H116" s="290"/>
      <c r="J116" s="576"/>
      <c r="K116" s="576"/>
    </row>
    <row r="117" spans="1:11" s="13" customFormat="1" ht="20">
      <c r="A117" s="335"/>
      <c r="B117" s="335"/>
      <c r="C117" s="335"/>
      <c r="D117" s="335"/>
      <c r="E117" s="357"/>
      <c r="F117" s="287"/>
      <c r="G117" s="287"/>
      <c r="H117" s="816"/>
      <c r="J117" s="576"/>
      <c r="K117" s="576"/>
    </row>
    <row r="118" spans="1:11" ht="20">
      <c r="A118" s="359"/>
      <c r="B118" s="358" t="s">
        <v>74</v>
      </c>
      <c r="D118" s="292"/>
      <c r="E118" s="303"/>
      <c r="G118" s="292"/>
      <c r="H118" s="292"/>
      <c r="J118" s="576"/>
      <c r="K118" s="576"/>
    </row>
    <row r="119" spans="1:13" ht="20">
      <c r="A119" s="372">
        <f>+A114+1</f>
        <v>60</v>
      </c>
      <c r="B119" s="372"/>
      <c r="C119" s="386" t="s">
        <v>74</v>
      </c>
      <c r="D119" s="335"/>
      <c r="E119" s="361"/>
      <c r="F119" s="293" t="str">
        <f>"(Attachment 4, Line "&amp;'4 - Cost Support'!A67&amp;")"</f>
        <v>(Attachment 4, Line 26)</v>
      </c>
      <c r="G119" s="357"/>
      <c r="H119" s="293">
        <f>+'4 - Cost Support'!S67</f>
        <v>65312406</v>
      </c>
      <c r="J119" s="618"/>
      <c r="K119" s="618"/>
      <c r="L119" s="13"/>
      <c r="M119" s="13"/>
    </row>
    <row r="120" spans="1:11" ht="20">
      <c r="A120" s="372">
        <f>+A119+1</f>
        <v>61</v>
      </c>
      <c r="B120" s="359"/>
      <c r="C120" s="386" t="s">
        <v>75</v>
      </c>
      <c r="D120" s="293"/>
      <c r="E120" s="361"/>
      <c r="F120" s="297" t="str">
        <f>"(Attachment 4, Line "&amp;'4 - Cost Support'!A70&amp;")"</f>
        <v>(Attachment 4, Line 29)</v>
      </c>
      <c r="G120" s="335"/>
      <c r="H120" s="298">
        <f>+'4 - Cost Support'!S70</f>
        <v>59267593</v>
      </c>
      <c r="I120" s="13"/>
      <c r="J120" s="576"/>
      <c r="K120" s="576"/>
    </row>
    <row r="121" spans="1:11" ht="20">
      <c r="A121" s="372">
        <f>1+A120</f>
        <v>62</v>
      </c>
      <c r="B121" s="335"/>
      <c r="C121" s="445" t="s">
        <v>74</v>
      </c>
      <c r="D121" s="392"/>
      <c r="E121" s="393"/>
      <c r="F121" s="298" t="str">
        <f>"(Lines "&amp;A119&amp;" - "&amp;A120&amp;")"</f>
        <v>(Lines 60 - 61)</v>
      </c>
      <c r="G121" s="377"/>
      <c r="H121" s="312">
        <f>+H119-H120</f>
        <v>6044813</v>
      </c>
      <c r="J121" s="576"/>
      <c r="K121" s="576"/>
    </row>
    <row r="122" spans="1:11" ht="20">
      <c r="A122" s="372"/>
      <c r="B122" s="372"/>
      <c r="C122" s="358"/>
      <c r="D122" s="335"/>
      <c r="E122" s="371"/>
      <c r="F122" s="335"/>
      <c r="G122" s="335"/>
      <c r="H122" s="313"/>
      <c r="J122" s="576"/>
      <c r="K122" s="576"/>
    </row>
    <row r="123" spans="1:11" ht="20">
      <c r="A123" s="372"/>
      <c r="B123" s="358" t="s">
        <v>76</v>
      </c>
      <c r="C123" s="335"/>
      <c r="D123" s="335"/>
      <c r="E123" s="371"/>
      <c r="F123" s="335"/>
      <c r="G123" s="335"/>
      <c r="H123" s="313"/>
      <c r="J123" s="576"/>
      <c r="K123" s="576"/>
    </row>
    <row r="124" spans="1:11" ht="20">
      <c r="A124" s="372">
        <f>A121+1</f>
        <v>63</v>
      </c>
      <c r="B124" s="372"/>
      <c r="C124" s="386" t="s">
        <v>77</v>
      </c>
      <c r="D124" s="335"/>
      <c r="E124" s="361" t="str">
        <f>"(Note  "&amp;B302&amp;", "&amp;B317&amp;" &amp; "&amp;B318&amp;")"</f>
        <v>(Note  G, V &amp; W)</v>
      </c>
      <c r="F124" s="293" t="str">
        <f>"(Attachment 4, Line "&amp;'4 - Cost Support'!A83&amp;")"</f>
        <v>(Attachment 4, Line 31)</v>
      </c>
      <c r="G124" s="335"/>
      <c r="H124" s="293">
        <f>+'4 - Cost Support'!S83</f>
        <v>70449487</v>
      </c>
      <c r="J124" s="576"/>
      <c r="K124" s="576"/>
    </row>
    <row r="125" spans="1:11" ht="20">
      <c r="A125" s="372">
        <f t="shared" si="0" ref="A125:A131">+A124+1</f>
        <v>64</v>
      </c>
      <c r="B125" s="372"/>
      <c r="C125" s="386" t="s">
        <v>78</v>
      </c>
      <c r="D125" s="293"/>
      <c r="E125" s="361"/>
      <c r="F125" s="293" t="str">
        <f>"(Attachment 4, Line "&amp;'4 - Cost Support'!A77&amp;")"</f>
        <v>(Attachment 4, Line 30)</v>
      </c>
      <c r="G125" s="335"/>
      <c r="H125" s="293">
        <f>+'4 - Cost Support'!S77</f>
        <v>3917387</v>
      </c>
      <c r="J125" s="576"/>
      <c r="K125" s="576"/>
    </row>
    <row r="126" spans="1:11" ht="20">
      <c r="A126" s="372">
        <f>+A125+1</f>
        <v>65</v>
      </c>
      <c r="B126" s="372"/>
      <c r="C126" s="386" t="s">
        <v>79</v>
      </c>
      <c r="D126" s="293"/>
      <c r="E126" s="361" t="str">
        <f>"(Note "&amp;B$299&amp;")"</f>
        <v>(Note D)</v>
      </c>
      <c r="F126" s="293" t="str">
        <f>"(Attachment 4, Line "&amp;'4 - Cost Support'!A92&amp;")"</f>
        <v>(Attachment 4, Line 34)</v>
      </c>
      <c r="G126" s="335"/>
      <c r="H126" s="293">
        <f>+'4 - Cost Support'!S92</f>
        <v>3642214</v>
      </c>
      <c r="J126" s="576"/>
      <c r="K126" s="576"/>
    </row>
    <row r="127" spans="1:11" ht="20">
      <c r="A127" s="372">
        <f>+A126+1</f>
        <v>66</v>
      </c>
      <c r="B127" s="372"/>
      <c r="C127" s="386" t="s">
        <v>80</v>
      </c>
      <c r="D127" s="293"/>
      <c r="E127" s="361" t="str">
        <f>"(Note "&amp;B310&amp;")"</f>
        <v>(Note O)</v>
      </c>
      <c r="F127" s="293" t="str">
        <f>"(Attachment 4, Line "&amp;'4 - Cost Support'!A85&amp;")"</f>
        <v>(Attachment 4, Line 33)</v>
      </c>
      <c r="G127" s="335"/>
      <c r="H127" s="293">
        <f>+'4 - Cost Support'!S85</f>
        <v>23253000</v>
      </c>
      <c r="J127" s="576"/>
      <c r="K127" s="576"/>
    </row>
    <row r="128" spans="1:11" ht="40">
      <c r="A128" s="372">
        <f>+A127+1</f>
        <v>67</v>
      </c>
      <c r="B128" s="372"/>
      <c r="C128" s="386" t="s">
        <v>843</v>
      </c>
      <c r="D128" s="287"/>
      <c r="E128" s="361" t="str">
        <f>"(Note "&amp;B$298&amp;")"</f>
        <v>(Note C)</v>
      </c>
      <c r="F128" s="1079" t="str">
        <f>"(Attachment 4, Line "&amp;'4 - Cost Support'!A100&amp;" &amp; Attachment 4, Line "&amp;'4 - Cost Support'!A101&amp;")"</f>
        <v>(Attachment 4, Line 36 &amp; Attachment 4, Line 37)</v>
      </c>
      <c r="G128" s="335"/>
      <c r="H128" s="293">
        <f>+'4 - Cost Support'!S100+'4 - Cost Support'!S101</f>
        <v>0</v>
      </c>
      <c r="J128" s="618"/>
      <c r="K128" s="576"/>
    </row>
    <row r="129" spans="1:11" ht="20">
      <c r="A129" s="372">
        <f>+A128+1</f>
        <v>68</v>
      </c>
      <c r="B129" s="372"/>
      <c r="C129" s="445" t="s">
        <v>81</v>
      </c>
      <c r="D129" s="392"/>
      <c r="E129" s="399"/>
      <c r="F129" s="298" t="str">
        <f>"(Lines "&amp;A124&amp;" - "&amp;A125&amp;" - "&amp;A126&amp;" - "&amp;A127&amp;" - "&amp;A128&amp;")"</f>
        <v>(Lines 63 - 64 - 65 - 66 - 67)</v>
      </c>
      <c r="G129" s="392"/>
      <c r="H129" s="302">
        <f>+H124-SUM(H125:H128)</f>
        <v>39636886</v>
      </c>
      <c r="J129" s="576"/>
      <c r="K129" s="576"/>
    </row>
    <row r="130" spans="1:11" ht="20">
      <c r="A130" s="372">
        <f>+A129+1</f>
        <v>69</v>
      </c>
      <c r="B130" s="372"/>
      <c r="C130" s="422" t="s">
        <v>29</v>
      </c>
      <c r="D130" s="331"/>
      <c r="E130" s="390"/>
      <c r="F130" s="396" t="str">
        <f>"(Line "&amp;A$16&amp;")"</f>
        <v>(Line 5)</v>
      </c>
      <c r="G130" s="314"/>
      <c r="H130" s="723">
        <f>H16</f>
        <v>0.09138981159089922</v>
      </c>
      <c r="J130" s="576"/>
      <c r="K130" s="576"/>
    </row>
    <row r="131" spans="1:11" ht="20">
      <c r="A131" s="372">
        <f>+A130+1</f>
        <v>70</v>
      </c>
      <c r="B131" s="372"/>
      <c r="C131" s="445" t="s">
        <v>82</v>
      </c>
      <c r="D131" s="392"/>
      <c r="E131" s="399"/>
      <c r="F131" s="298" t="str">
        <f>"(Line "&amp;A129&amp;" * Line "&amp;A130&amp;")"</f>
        <v>(Line 68 * Line 69)</v>
      </c>
      <c r="G131" s="392"/>
      <c r="H131" s="315">
        <f>H129*H130</f>
        <v>3622407.543589951</v>
      </c>
      <c r="J131" s="576"/>
      <c r="K131" s="576"/>
    </row>
    <row r="132" spans="1:11" ht="20">
      <c r="A132" s="372"/>
      <c r="B132" s="372"/>
      <c r="C132" s="413"/>
      <c r="D132" s="356"/>
      <c r="E132" s="400"/>
      <c r="F132" s="356"/>
      <c r="G132" s="356"/>
      <c r="H132" s="298"/>
      <c r="J132" s="576"/>
      <c r="K132" s="576"/>
    </row>
    <row r="133" spans="1:11" ht="20">
      <c r="A133" s="372"/>
      <c r="B133" s="358" t="s">
        <v>83</v>
      </c>
      <c r="C133" s="287"/>
      <c r="D133" s="356"/>
      <c r="E133" s="400"/>
      <c r="F133" s="356"/>
      <c r="G133" s="356"/>
      <c r="H133" s="298"/>
      <c r="J133" s="576"/>
      <c r="K133" s="576"/>
    </row>
    <row r="134" spans="1:11" ht="20">
      <c r="A134" s="372">
        <f>+A131+1</f>
        <v>71</v>
      </c>
      <c r="B134" s="420"/>
      <c r="C134" s="397" t="s">
        <v>844</v>
      </c>
      <c r="D134" s="446"/>
      <c r="E134" s="361" t="str">
        <f>"(Note "&amp;B$300&amp;")"</f>
        <v>(Note E)</v>
      </c>
      <c r="F134" s="293" t="str">
        <f>"(Attachment 4, Line "&amp;'4 - Cost Support'!A93&amp;")"</f>
        <v>(Attachment 4, Line 35)</v>
      </c>
      <c r="G134" s="287"/>
      <c r="H134" s="293">
        <f>+'4 - Cost Support'!S93</f>
        <v>150000</v>
      </c>
      <c r="J134" s="576"/>
      <c r="K134" s="576"/>
    </row>
    <row r="135" spans="1:11" ht="20">
      <c r="A135" s="372">
        <f>+A134+1</f>
        <v>72</v>
      </c>
      <c r="B135" s="420"/>
      <c r="C135" s="395" t="s">
        <v>84</v>
      </c>
      <c r="D135" s="447"/>
      <c r="E135" s="375" t="str">
        <f>"(Note "&amp;B310&amp;")"</f>
        <v>(Note O)</v>
      </c>
      <c r="F135" s="297" t="str">
        <f>"(Attachment 4, Line "&amp;'4 - Cost Support'!A84&amp;")"</f>
        <v>(Attachment 4, Line 32)</v>
      </c>
      <c r="G135" s="373"/>
      <c r="H135" s="297">
        <f>+'4 - Cost Support'!S84</f>
        <v>3355000</v>
      </c>
      <c r="J135" s="576"/>
      <c r="K135" s="576"/>
    </row>
    <row r="136" spans="1:11" ht="20">
      <c r="A136" s="372">
        <f>+A135+1</f>
        <v>73</v>
      </c>
      <c r="B136" s="420"/>
      <c r="C136" s="397" t="s">
        <v>85</v>
      </c>
      <c r="D136" s="335"/>
      <c r="E136" s="421"/>
      <c r="F136" s="298" t="str">
        <f>"(Line "&amp;A134&amp;" + Line "&amp;A135&amp;")"</f>
        <v>(Line 71 + Line 72)</v>
      </c>
      <c r="G136" s="287"/>
      <c r="H136" s="306">
        <f>SUM(H134:H135)</f>
        <v>3505000</v>
      </c>
      <c r="J136" s="576"/>
      <c r="K136" s="576"/>
    </row>
    <row r="137" spans="1:11" ht="20">
      <c r="A137" s="372"/>
      <c r="B137" s="420"/>
      <c r="C137" s="397"/>
      <c r="D137" s="335"/>
      <c r="E137" s="421"/>
      <c r="F137" s="397"/>
      <c r="G137" s="287"/>
      <c r="H137" s="314"/>
      <c r="J137" s="576"/>
      <c r="K137" s="576"/>
    </row>
    <row r="138" spans="1:11" ht="20">
      <c r="A138" s="372">
        <f>+A136+1</f>
        <v>74</v>
      </c>
      <c r="B138" s="420"/>
      <c r="C138" s="397" t="s">
        <v>86</v>
      </c>
      <c r="D138" s="335"/>
      <c r="E138" s="361"/>
      <c r="F138" s="397" t="str">
        <f>"(Line "&amp;A125&amp;")"</f>
        <v>(Line 64)</v>
      </c>
      <c r="G138" s="287"/>
      <c r="H138" s="306">
        <f>H125</f>
        <v>3917387</v>
      </c>
      <c r="J138" s="576"/>
      <c r="K138" s="576"/>
    </row>
    <row r="139" spans="1:11" ht="20">
      <c r="A139" s="372">
        <f>+A138+1</f>
        <v>75</v>
      </c>
      <c r="B139" s="372"/>
      <c r="C139" s="419" t="s">
        <v>21</v>
      </c>
      <c r="D139" s="331"/>
      <c r="E139" s="372"/>
      <c r="F139" s="297" t="str">
        <f>"(Line "&amp;A$27&amp;")"</f>
        <v>(Line 12)</v>
      </c>
      <c r="G139" s="314"/>
      <c r="H139" s="723">
        <f>H27</f>
        <v>0.16002770040064465</v>
      </c>
      <c r="J139" s="576"/>
      <c r="K139" s="576"/>
    </row>
    <row r="140" spans="1:11" ht="20">
      <c r="A140" s="372">
        <f>+A139+1</f>
        <v>76</v>
      </c>
      <c r="B140" s="372"/>
      <c r="C140" s="445" t="s">
        <v>63</v>
      </c>
      <c r="D140" s="392"/>
      <c r="E140" s="399"/>
      <c r="F140" s="298" t="str">
        <f>"(Line "&amp;A138&amp;" * Line "&amp;A139&amp;")"</f>
        <v>(Line 74 * Line 75)</v>
      </c>
      <c r="G140" s="302"/>
      <c r="H140" s="315">
        <f>+H138*H139</f>
        <v>626890.4331893801</v>
      </c>
      <c r="J140" s="576"/>
      <c r="K140" s="576"/>
    </row>
    <row r="141" spans="1:11" ht="20">
      <c r="A141" s="372"/>
      <c r="B141" s="372"/>
      <c r="C141" s="413"/>
      <c r="D141" s="356"/>
      <c r="E141" s="400"/>
      <c r="F141" s="298"/>
      <c r="G141" s="298"/>
      <c r="H141" s="625"/>
      <c r="J141" s="576"/>
      <c r="K141" s="576"/>
    </row>
    <row r="142" spans="1:11" ht="20">
      <c r="A142" s="372">
        <f>+A140+1</f>
        <v>77</v>
      </c>
      <c r="B142" s="372"/>
      <c r="C142" s="358" t="s">
        <v>87</v>
      </c>
      <c r="D142" s="335"/>
      <c r="E142" s="371"/>
      <c r="F142" s="298" t="str">
        <f>"(Lines "&amp;A131&amp;" + "&amp;A136&amp;" + "&amp;A140&amp;")"</f>
        <v>(Lines 70 + 73 + 76)</v>
      </c>
      <c r="G142" s="335"/>
      <c r="H142" s="305">
        <f>+H131+H136+H140</f>
        <v>7754297.9767793315</v>
      </c>
      <c r="J142" s="576"/>
      <c r="K142" s="576"/>
    </row>
    <row r="143" spans="1:11" ht="20">
      <c r="A143" s="372"/>
      <c r="B143" s="372"/>
      <c r="C143" s="358"/>
      <c r="D143" s="335"/>
      <c r="E143" s="371"/>
      <c r="F143" s="298"/>
      <c r="G143" s="335"/>
      <c r="H143" s="298"/>
      <c r="J143" s="576"/>
      <c r="K143" s="576"/>
    </row>
    <row r="144" spans="1:11" ht="20.5" thickBot="1">
      <c r="A144" s="372">
        <f>+A142+1</f>
        <v>78</v>
      </c>
      <c r="B144" s="372"/>
      <c r="C144" s="448" t="s">
        <v>88</v>
      </c>
      <c r="D144" s="449"/>
      <c r="E144" s="450"/>
      <c r="F144" s="316" t="str">
        <f>"(Lines "&amp;A121&amp;" + "&amp;A142&amp;")"</f>
        <v>(Lines 62 + 77)</v>
      </c>
      <c r="G144" s="449"/>
      <c r="H144" s="746">
        <f>+H121+H142</f>
        <v>13799110.976779331</v>
      </c>
      <c r="J144" s="618"/>
      <c r="K144" s="576"/>
    </row>
    <row r="145" spans="1:11" ht="20">
      <c r="A145" s="387"/>
      <c r="B145" s="359"/>
      <c r="C145" s="358"/>
      <c r="D145" s="335"/>
      <c r="E145" s="303"/>
      <c r="F145" s="319"/>
      <c r="G145" s="319"/>
      <c r="H145" s="295"/>
      <c r="J145" s="576"/>
      <c r="K145" s="576"/>
    </row>
    <row r="146" spans="1:11" ht="20">
      <c r="A146" s="440" t="s">
        <v>89</v>
      </c>
      <c r="B146" s="441"/>
      <c r="C146" s="442"/>
      <c r="D146" s="443"/>
      <c r="E146" s="444"/>
      <c r="F146" s="304"/>
      <c r="G146" s="304"/>
      <c r="H146" s="290"/>
      <c r="J146" s="576"/>
      <c r="K146" s="576"/>
    </row>
    <row r="147" spans="1:11" ht="20">
      <c r="A147" s="358"/>
      <c r="B147" s="359"/>
      <c r="C147" s="358"/>
      <c r="D147" s="335"/>
      <c r="E147" s="303"/>
      <c r="F147" s="319"/>
      <c r="G147" s="319"/>
      <c r="H147" s="295"/>
      <c r="J147" s="576"/>
      <c r="K147" s="576"/>
    </row>
    <row r="148" spans="1:11" ht="20">
      <c r="A148" s="334"/>
      <c r="B148" s="415" t="s">
        <v>90</v>
      </c>
      <c r="C148" s="287"/>
      <c r="F148" s="409"/>
      <c r="G148" s="451"/>
      <c r="H148" s="317"/>
      <c r="J148" s="576"/>
      <c r="K148" s="576"/>
    </row>
    <row r="149" spans="1:11" ht="20">
      <c r="A149" s="372">
        <f>+A144+1</f>
        <v>79</v>
      </c>
      <c r="B149" s="420"/>
      <c r="C149" s="397" t="s">
        <v>91</v>
      </c>
      <c r="D149" s="335"/>
      <c r="E149" s="361" t="str">
        <f>"(Note "&amp;B$302&amp;")"</f>
        <v>(Note G)</v>
      </c>
      <c r="F149" s="293" t="str">
        <f>"(Attachment 4, Line "&amp;'4 - Cost Support'!A108&amp;")"</f>
        <v>(Attachment 4, Line 38)</v>
      </c>
      <c r="G149" s="287"/>
      <c r="H149" s="305">
        <f>+'4 - Cost Support'!S108</f>
        <v>8926813.7236506306</v>
      </c>
      <c r="J149" s="576"/>
      <c r="K149" s="576"/>
    </row>
    <row r="150" spans="1:11" ht="20">
      <c r="A150" s="372">
        <f>+A149+1</f>
        <v>80</v>
      </c>
      <c r="B150" s="420"/>
      <c r="C150" s="397" t="s">
        <v>92</v>
      </c>
      <c r="D150" s="335"/>
      <c r="E150" s="361" t="str">
        <f>"(Note "&amp;B$308&amp;")"</f>
        <v>(Note M)</v>
      </c>
      <c r="F150" s="293" t="str">
        <f>"(Attachment 4, Line "&amp;'4 - Cost Support'!A192&amp;")"</f>
        <v>(Attachment 4, Line 75)</v>
      </c>
      <c r="G150" s="287"/>
      <c r="H150" s="305">
        <f>+'4 - Cost Support'!H192</f>
        <v>0</v>
      </c>
      <c r="J150" s="576"/>
      <c r="K150" s="576"/>
    </row>
    <row r="151" spans="1:11" ht="20">
      <c r="A151" s="372"/>
      <c r="B151" s="420"/>
      <c r="C151" s="397"/>
      <c r="D151" s="335"/>
      <c r="E151" s="361"/>
      <c r="F151" s="397"/>
      <c r="G151" s="287"/>
      <c r="H151" s="305"/>
      <c r="J151" s="576"/>
      <c r="K151" s="576"/>
    </row>
    <row r="152" spans="1:11" ht="20">
      <c r="A152" s="372">
        <f>+A150+1</f>
        <v>81</v>
      </c>
      <c r="B152" s="420"/>
      <c r="C152" s="419" t="s">
        <v>93</v>
      </c>
      <c r="D152" s="356"/>
      <c r="E152" s="361" t="str">
        <f>"(Note "&amp;B$302&amp;")"</f>
        <v>(Note G)</v>
      </c>
      <c r="F152" s="293" t="str">
        <f>"(Attachment 4, Line "&amp;'4 - Cost Support'!A109&amp;")"</f>
        <v>(Attachment 4, Line 39)</v>
      </c>
      <c r="G152" s="288"/>
      <c r="H152" s="305">
        <f>+'4 - Cost Support'!S109</f>
        <v>1147220.7944876435</v>
      </c>
      <c r="J152" s="576"/>
      <c r="K152" s="576"/>
    </row>
    <row r="153" spans="1:11" ht="20">
      <c r="A153" s="372">
        <f>+A152+1</f>
        <v>82</v>
      </c>
      <c r="B153" s="420"/>
      <c r="C153" s="422" t="s">
        <v>94</v>
      </c>
      <c r="D153" s="396"/>
      <c r="E153" s="375" t="str">
        <f>"(Note "&amp;B296&amp;" &amp; "&amp;B$302&amp;")"</f>
        <v>(Note A &amp; G)</v>
      </c>
      <c r="F153" s="297" t="str">
        <f>"(Attachment 4, Line "&amp;'4 - Cost Support'!A110&amp;")"</f>
        <v>(Attachment 4, Line 40)</v>
      </c>
      <c r="G153" s="373"/>
      <c r="H153" s="297">
        <f>+'4 - Cost Support'!S110</f>
        <v>4244912.512913283</v>
      </c>
      <c r="J153" s="576"/>
      <c r="K153" s="576"/>
    </row>
    <row r="154" spans="1:11" ht="20">
      <c r="A154" s="372">
        <f>+A153+1</f>
        <v>83</v>
      </c>
      <c r="B154" s="420"/>
      <c r="C154" s="419" t="s">
        <v>65</v>
      </c>
      <c r="D154" s="356"/>
      <c r="E154" s="452"/>
      <c r="F154" s="298" t="str">
        <f>"(Line "&amp;A152&amp;" + Line "&amp;A153&amp;")"</f>
        <v>(Line 81 + Line 82)</v>
      </c>
      <c r="G154" s="287"/>
      <c r="H154" s="305">
        <f>+H152+H153</f>
        <v>5392133.3074009269</v>
      </c>
      <c r="J154" s="576"/>
      <c r="K154" s="576"/>
    </row>
    <row r="155" spans="1:11" ht="20">
      <c r="A155" s="372">
        <f>+A154+1</f>
        <v>84</v>
      </c>
      <c r="B155" s="420"/>
      <c r="C155" s="422" t="s">
        <v>29</v>
      </c>
      <c r="D155" s="391"/>
      <c r="E155" s="453"/>
      <c r="F155" s="396" t="str">
        <f>"(Line "&amp;A$16&amp;")"</f>
        <v>(Line 5)</v>
      </c>
      <c r="G155" s="454"/>
      <c r="H155" s="722">
        <f>H16</f>
        <v>0.09138981159089922</v>
      </c>
      <c r="J155" s="576"/>
      <c r="K155" s="576"/>
    </row>
    <row r="156" spans="1:11" ht="20">
      <c r="A156" s="372">
        <f>+A155+1</f>
        <v>85</v>
      </c>
      <c r="B156" s="420"/>
      <c r="C156" s="397" t="s">
        <v>95</v>
      </c>
      <c r="D156" s="335"/>
      <c r="E156" s="372"/>
      <c r="F156" s="298" t="str">
        <f>"(Line "&amp;A154&amp;" * Line "&amp;A155&amp;")"</f>
        <v>(Line 83 * Line 84)</v>
      </c>
      <c r="G156" s="314"/>
      <c r="H156" s="305">
        <f>H154*H155</f>
        <v>492786.04703638295</v>
      </c>
      <c r="J156" s="576"/>
      <c r="K156" s="576"/>
    </row>
    <row r="157" spans="1:11" ht="20">
      <c r="A157" s="455"/>
      <c r="B157" s="456"/>
      <c r="C157" s="397"/>
      <c r="D157" s="335"/>
      <c r="E157" s="372"/>
      <c r="F157" s="397"/>
      <c r="G157" s="417"/>
      <c r="H157" s="318"/>
      <c r="J157" s="576"/>
      <c r="K157" s="576"/>
    </row>
    <row r="158" spans="1:11" s="17" customFormat="1" ht="20.5" thickBot="1">
      <c r="A158" s="359">
        <f>+A156+1</f>
        <v>86</v>
      </c>
      <c r="B158" s="457" t="s">
        <v>96</v>
      </c>
      <c r="C158" s="457"/>
      <c r="D158" s="458"/>
      <c r="E158" s="459"/>
      <c r="F158" s="457" t="str">
        <f>"(Lines "&amp;A149&amp;" + "&amp;A150&amp;" + "&amp;A156&amp;")"</f>
        <v>(Lines 79 + 80 + 85)</v>
      </c>
      <c r="G158" s="457"/>
      <c r="H158" s="746">
        <f>+H149+H150+H156</f>
        <v>9419599.7706870139</v>
      </c>
      <c r="J158" s="576"/>
      <c r="K158" s="576"/>
    </row>
    <row r="159" spans="8:11" ht="20">
      <c r="H159" s="451"/>
      <c r="J159" s="576"/>
      <c r="K159" s="576"/>
    </row>
    <row r="160" spans="1:11" ht="20">
      <c r="A160" s="440" t="s">
        <v>97</v>
      </c>
      <c r="B160" s="441"/>
      <c r="C160" s="442"/>
      <c r="D160" s="443"/>
      <c r="E160" s="460"/>
      <c r="F160" s="304"/>
      <c r="G160" s="304"/>
      <c r="H160" s="747"/>
      <c r="J160" s="576"/>
      <c r="K160" s="576"/>
    </row>
    <row r="161" spans="1:11" ht="20">
      <c r="A161" s="406"/>
      <c r="B161" s="359"/>
      <c r="C161" s="358"/>
      <c r="D161" s="335"/>
      <c r="E161" s="303"/>
      <c r="F161" s="319"/>
      <c r="G161" s="319"/>
      <c r="H161" s="748"/>
      <c r="J161" s="576"/>
      <c r="K161" s="576"/>
    </row>
    <row r="162" spans="1:11" ht="20">
      <c r="A162" s="372">
        <f>+A158+1</f>
        <v>87</v>
      </c>
      <c r="B162" s="397" t="s">
        <v>98</v>
      </c>
      <c r="C162" s="418"/>
      <c r="E162" s="361"/>
      <c r="F162" s="293" t="str">
        <f>"(Attachment 2, Line "&amp;'2 - Other Taxes'!A29&amp;")"</f>
        <v>(Attachment 2, Line 11)</v>
      </c>
      <c r="G162" s="287"/>
      <c r="H162" s="306">
        <f>+'2 - Other Taxes'!G29</f>
        <v>12765214.009564515</v>
      </c>
      <c r="J162" s="576"/>
      <c r="K162" s="576"/>
    </row>
    <row r="163" spans="1:11" ht="20">
      <c r="A163" s="390"/>
      <c r="B163" s="335"/>
      <c r="E163" s="359"/>
      <c r="F163" s="397"/>
      <c r="G163" s="287"/>
      <c r="H163" s="451"/>
      <c r="J163" s="576"/>
      <c r="K163" s="576"/>
    </row>
    <row r="164" spans="1:11" ht="20.5" thickBot="1">
      <c r="A164" s="372">
        <f>+A162+1</f>
        <v>88</v>
      </c>
      <c r="B164" s="448" t="s">
        <v>99</v>
      </c>
      <c r="C164" s="448"/>
      <c r="D164" s="458"/>
      <c r="E164" s="438"/>
      <c r="F164" s="439" t="str">
        <f>"(Line "&amp;A162&amp;")"</f>
        <v>(Line 87)</v>
      </c>
      <c r="G164" s="437"/>
      <c r="H164" s="745">
        <f>H162</f>
        <v>12765214.009564515</v>
      </c>
      <c r="J164" s="576"/>
      <c r="K164" s="576"/>
    </row>
    <row r="165" spans="1:11" ht="20">
      <c r="A165" s="440" t="s">
        <v>100</v>
      </c>
      <c r="B165" s="441"/>
      <c r="C165" s="442"/>
      <c r="D165" s="443"/>
      <c r="E165" s="444"/>
      <c r="F165" s="304"/>
      <c r="G165" s="304"/>
      <c r="H165" s="290"/>
      <c r="J165" s="576"/>
      <c r="K165" s="576"/>
    </row>
    <row r="166" spans="1:11" ht="20">
      <c r="A166" s="387"/>
      <c r="B166" s="359"/>
      <c r="C166" s="358"/>
      <c r="D166" s="335"/>
      <c r="E166" s="303"/>
      <c r="F166" s="319"/>
      <c r="G166" s="319"/>
      <c r="H166" s="816"/>
      <c r="J166" s="576"/>
      <c r="K166" s="576"/>
    </row>
    <row r="167" spans="1:11" ht="20">
      <c r="A167" s="372">
        <f>+A164+1</f>
        <v>89</v>
      </c>
      <c r="B167" s="461" t="s">
        <v>101</v>
      </c>
      <c r="D167" s="380"/>
      <c r="E167" s="361"/>
      <c r="F167" s="293" t="str">
        <f>"(Attachment 4, Line "&amp;'4 - Cost Support'!A132&amp;")"</f>
        <v>(Attachment 4, Line 50)</v>
      </c>
      <c r="G167" s="300"/>
      <c r="H167" s="293">
        <f>+'4 - Cost Support'!S132</f>
        <v>22802309</v>
      </c>
      <c r="K167" s="576"/>
    </row>
    <row r="168" spans="1:11" ht="20">
      <c r="A168" s="359"/>
      <c r="B168" s="359"/>
      <c r="C168" s="292"/>
      <c r="E168" s="381"/>
      <c r="F168" s="335"/>
      <c r="G168" s="292"/>
      <c r="H168" s="293"/>
      <c r="J168" s="576"/>
      <c r="K168" s="576"/>
    </row>
    <row r="169" spans="1:11" ht="20">
      <c r="A169" s="359">
        <f>+A167+1</f>
        <v>90</v>
      </c>
      <c r="B169" s="462" t="s">
        <v>102</v>
      </c>
      <c r="E169" s="361"/>
      <c r="F169" s="293" t="str">
        <f>"(Attachment 4, Line "&amp;'4 - Cost Support'!A133&amp;")"</f>
        <v>(Attachment 4, Line 51)</v>
      </c>
      <c r="G169" s="292"/>
      <c r="H169" s="293">
        <f>+'4 - Cost Support'!S133</f>
        <v>0</v>
      </c>
      <c r="J169" s="576"/>
      <c r="K169" s="576"/>
    </row>
    <row r="170" spans="1:11" ht="20">
      <c r="A170" s="359"/>
      <c r="B170" s="464" t="s">
        <v>103</v>
      </c>
      <c r="C170" s="365"/>
      <c r="E170" s="463"/>
      <c r="F170" s="293"/>
      <c r="G170" s="292"/>
      <c r="H170" s="292"/>
      <c r="J170" s="576"/>
      <c r="K170" s="576"/>
    </row>
    <row r="171" spans="1:11" ht="20">
      <c r="A171" s="359"/>
      <c r="B171" s="464" t="s">
        <v>104</v>
      </c>
      <c r="E171" s="463"/>
      <c r="F171" s="293"/>
      <c r="G171" s="292"/>
      <c r="H171" s="292"/>
      <c r="J171" s="576"/>
      <c r="K171" s="576"/>
    </row>
    <row r="172" spans="1:11" ht="20">
      <c r="A172" s="359">
        <f>+A169+1</f>
        <v>91</v>
      </c>
      <c r="B172" s="359"/>
      <c r="C172" s="292" t="s">
        <v>105</v>
      </c>
      <c r="D172" s="292"/>
      <c r="E172" s="361" t="str">
        <f>"(Note "&amp;B$306&amp;")"</f>
        <v>(Note K)</v>
      </c>
      <c r="F172" s="293" t="str">
        <f>"(Attachment 4, Line "&amp;'4 - Cost Support'!A134&amp;")"</f>
        <v>(Attachment 4, Line 52)</v>
      </c>
      <c r="G172" s="292"/>
      <c r="H172" s="293">
        <f>+'4 - Cost Support'!T134</f>
        <v>-500642598</v>
      </c>
      <c r="J172" s="576"/>
      <c r="K172" s="576"/>
    </row>
    <row r="173" spans="1:11" ht="20">
      <c r="A173" s="372">
        <f>A172+1</f>
        <v>92</v>
      </c>
      <c r="B173" s="372"/>
      <c r="C173" s="293" t="s">
        <v>106</v>
      </c>
      <c r="D173" s="293"/>
      <c r="E173" s="361" t="str">
        <f>"(Note "&amp;B$306&amp;" )"</f>
        <v>(Note K )</v>
      </c>
      <c r="F173" s="293" t="str">
        <f>"(Attachment 4, Line "&amp;'4 - Cost Support'!A135&amp;")"</f>
        <v>(Attachment 4, Line 53)</v>
      </c>
      <c r="G173" s="292"/>
      <c r="H173" s="293">
        <f>+'4 - Cost Support'!T135</f>
        <v>36940167</v>
      </c>
      <c r="J173" s="576"/>
      <c r="K173" s="576"/>
    </row>
    <row r="174" spans="1:11" ht="20">
      <c r="A174" s="372">
        <f>A173+1</f>
        <v>93</v>
      </c>
      <c r="B174" s="372"/>
      <c r="C174" s="293" t="s">
        <v>107</v>
      </c>
      <c r="D174" s="293"/>
      <c r="E174" s="361" t="str">
        <f>"(Note "&amp;B$306&amp;" )"</f>
        <v>(Note K )</v>
      </c>
      <c r="F174" s="293" t="str">
        <f>"(Attachment 4, Line "&amp;'4 - Cost Support'!A146&amp;")"</f>
        <v>(Attachment 4, Line 64)</v>
      </c>
      <c r="G174" s="292"/>
      <c r="H174" s="293">
        <f>+'4 - Cost Support'!T146</f>
        <v>0</v>
      </c>
      <c r="J174" s="576"/>
      <c r="K174" s="576"/>
    </row>
    <row r="175" spans="1:11" ht="20">
      <c r="A175" s="372">
        <f>+A174+1</f>
        <v>94</v>
      </c>
      <c r="B175" s="372"/>
      <c r="C175" s="297" t="s">
        <v>108</v>
      </c>
      <c r="D175" s="297"/>
      <c r="E175" s="375" t="str">
        <f>"(Note "&amp;B$306&amp;")"</f>
        <v>(Note K)</v>
      </c>
      <c r="F175" s="297" t="str">
        <f>"(Attachment 4, Line "&amp;'4 - Cost Support'!A136&amp;")"</f>
        <v>(Attachment 4, Line 54)</v>
      </c>
      <c r="G175" s="465"/>
      <c r="H175" s="297">
        <f>+'4 - Cost Support'!T136</f>
        <v>0</v>
      </c>
      <c r="J175" s="618"/>
      <c r="K175" s="576"/>
    </row>
    <row r="176" spans="1:11" ht="20">
      <c r="A176" s="372">
        <f>+A175+1</f>
        <v>95</v>
      </c>
      <c r="B176" s="372"/>
      <c r="C176" s="466" t="s">
        <v>104</v>
      </c>
      <c r="D176" s="298"/>
      <c r="E176" s="1016"/>
      <c r="F176" s="335" t="str">
        <f>"(Line "&amp;A172&amp;" - "&amp;A173&amp;" - "&amp;A174&amp;" - "&amp;A175&amp;")"</f>
        <v>(Line 91 - 92 - 93 - 94)</v>
      </c>
      <c r="G176" s="467"/>
      <c r="H176" s="292">
        <f>H172-H173-H174-H175</f>
        <v>-537582765</v>
      </c>
      <c r="J176" s="576"/>
      <c r="K176" s="576"/>
    </row>
    <row r="177" spans="1:11" ht="20">
      <c r="A177" s="372"/>
      <c r="B177" s="372"/>
      <c r="C177" s="386"/>
      <c r="D177" s="335"/>
      <c r="E177" s="400"/>
      <c r="F177" s="293"/>
      <c r="G177" s="319"/>
      <c r="H177" s="292"/>
      <c r="J177" s="576"/>
      <c r="K177" s="576"/>
    </row>
    <row r="178" spans="1:11" ht="20">
      <c r="A178" s="359">
        <f>+A176+1</f>
        <v>96</v>
      </c>
      <c r="B178" s="359"/>
      <c r="C178" s="464" t="s">
        <v>109</v>
      </c>
      <c r="E178" s="361" t="str">
        <f>"(Note "&amp;B$306&amp;")"</f>
        <v>(Note K)</v>
      </c>
      <c r="F178" s="293" t="str">
        <f>"(Attachment 4, Line "&amp;'4 - Cost Support'!A137&amp;")"</f>
        <v>(Attachment 4, Line 55)</v>
      </c>
      <c r="G178" s="319"/>
      <c r="H178" s="293">
        <f>+'4 - Cost Support'!T137</f>
        <v>-582435772</v>
      </c>
      <c r="J178" s="576"/>
      <c r="K178" s="576"/>
    </row>
    <row r="179" spans="1:11" ht="20">
      <c r="A179" s="359"/>
      <c r="B179" s="359"/>
      <c r="C179" s="365" t="s">
        <v>851</v>
      </c>
      <c r="E179" s="361" t="str">
        <f>"(Note "&amp;B$306&amp;")"</f>
        <v>(Note K)</v>
      </c>
      <c r="F179" s="293" t="str">
        <f>"(Attachment 4, Line "&amp;'4 - Cost Support'!A138&amp;")"</f>
        <v>(Attachment 4, Line 56)</v>
      </c>
      <c r="G179" s="319"/>
      <c r="H179" s="293">
        <f>+'4 - Cost Support'!T138</f>
        <v>5496427</v>
      </c>
      <c r="J179" s="576"/>
      <c r="K179" s="576"/>
    </row>
    <row r="180" spans="1:11" ht="20">
      <c r="A180" s="372">
        <f>+A178+1</f>
        <v>97</v>
      </c>
      <c r="B180" s="359"/>
      <c r="C180" s="365" t="s">
        <v>110</v>
      </c>
      <c r="E180" s="361" t="str">
        <f>"(Note "&amp;B$306&amp;")"</f>
        <v>(Note K)</v>
      </c>
      <c r="F180" s="293" t="str">
        <f>"(Attachment 4, Line "&amp;'4 - Cost Support'!A139&amp;")"</f>
        <v>(Attachment 4, Line 57)</v>
      </c>
      <c r="G180" s="319"/>
      <c r="H180" s="293">
        <f>+'4 - Cost Support'!T139</f>
        <v>9461621</v>
      </c>
      <c r="J180" s="576"/>
      <c r="K180" s="576"/>
    </row>
    <row r="181" spans="1:11" ht="20">
      <c r="A181" s="372">
        <f t="shared" si="1" ref="A181:A192">+A180+1</f>
        <v>98</v>
      </c>
      <c r="B181" s="359"/>
      <c r="C181" s="365" t="s">
        <v>111</v>
      </c>
      <c r="E181" s="361" t="str">
        <f t="shared" si="2" ref="E181:E182">"(Note "&amp;B$306&amp;")"</f>
        <v>(Note K)</v>
      </c>
      <c r="F181" s="293" t="str">
        <f>"(Attachment 4, Line "&amp;'4 - Cost Support'!A140&amp;")"</f>
        <v>(Attachment 4, Line 58)</v>
      </c>
      <c r="G181" s="319"/>
      <c r="H181" s="293">
        <f>+'4 - Cost Support'!T140</f>
        <v>2534397.50</v>
      </c>
      <c r="J181" s="576"/>
      <c r="K181" s="576"/>
    </row>
    <row r="182" spans="1:11" ht="20">
      <c r="A182" s="372">
        <f>+A181+1</f>
        <v>99</v>
      </c>
      <c r="B182" s="359"/>
      <c r="C182" s="365" t="s">
        <v>846</v>
      </c>
      <c r="E182" s="361" t="str">
        <f>"(Note "&amp;B$306&amp;")"</f>
        <v>(Note K)</v>
      </c>
      <c r="F182" s="293" t="str">
        <f>"(Attachment 4, Line "&amp;'4 - Cost Support'!A141&amp;")"</f>
        <v>(Attachment 4, Line 59)</v>
      </c>
      <c r="G182" s="319"/>
      <c r="H182" s="293">
        <f>+'4 - Cost Support'!T141</f>
        <v>0</v>
      </c>
      <c r="J182" s="576"/>
      <c r="K182" s="576"/>
    </row>
    <row r="183" spans="1:11" ht="20">
      <c r="A183" s="372">
        <f>+A182+1</f>
        <v>100</v>
      </c>
      <c r="B183" s="359"/>
      <c r="C183" s="365" t="s">
        <v>112</v>
      </c>
      <c r="E183" s="361" t="str">
        <f>"(Note "&amp;B$306&amp;")"</f>
        <v>(Note K)</v>
      </c>
      <c r="F183" s="293" t="str">
        <f>"(Attachment 4, Line "&amp;'4 - Cost Support'!A142&amp;")"</f>
        <v>(Attachment 4, Line 60)</v>
      </c>
      <c r="G183" s="319"/>
      <c r="H183" s="293">
        <f>+'4 - Cost Support'!T142</f>
        <v>0</v>
      </c>
      <c r="J183" s="576"/>
      <c r="K183" s="576"/>
    </row>
    <row r="184" spans="1:11" ht="20">
      <c r="A184" s="372">
        <f>+A183+1</f>
        <v>101</v>
      </c>
      <c r="B184" s="372"/>
      <c r="C184" s="394" t="s">
        <v>847</v>
      </c>
      <c r="D184" s="516"/>
      <c r="E184" s="361" t="str">
        <f>"(Note "&amp;B$306&amp;")"</f>
        <v>(Note K)</v>
      </c>
      <c r="F184" s="293" t="str">
        <f>"(Attachment 4, Line "&amp;'4 - Cost Support'!A143&amp;")"</f>
        <v>(Attachment 4, Line 61)</v>
      </c>
      <c r="G184" s="356"/>
      <c r="H184" s="298">
        <f>+'4 - Cost Support'!T143</f>
        <v>-2244320</v>
      </c>
      <c r="J184" s="576"/>
      <c r="K184" s="576"/>
    </row>
    <row r="185" spans="1:11" ht="20">
      <c r="A185" s="372">
        <f>+A184+1</f>
        <v>102</v>
      </c>
      <c r="B185" s="372"/>
      <c r="C185" s="394" t="s">
        <v>113</v>
      </c>
      <c r="D185" s="516"/>
      <c r="E185" s="361" t="str">
        <f t="shared" si="3" ref="E185:E186">"(Note "&amp;B$306&amp;")"</f>
        <v>(Note K)</v>
      </c>
      <c r="F185" s="293" t="str">
        <f>"(Attachment 4, Line "&amp;'4 - Cost Support'!A144&amp;")"</f>
        <v>(Attachment 4, Line 62)</v>
      </c>
      <c r="G185" s="356"/>
      <c r="H185" s="298">
        <f>+'4 - Cost Support'!T144</f>
        <v>0</v>
      </c>
      <c r="J185" s="576"/>
      <c r="K185" s="576"/>
    </row>
    <row r="186" spans="1:11" ht="20">
      <c r="A186" s="372">
        <f>+A185+1</f>
        <v>103</v>
      </c>
      <c r="B186" s="372"/>
      <c r="C186" s="395" t="s">
        <v>114</v>
      </c>
      <c r="D186" s="739"/>
      <c r="E186" s="375" t="str">
        <f>"(Note "&amp;B$306&amp;")"</f>
        <v>(Note K)</v>
      </c>
      <c r="F186" s="297" t="str">
        <f>"(Attachment 4, Line "&amp;'4 - Cost Support'!A145&amp;")"</f>
        <v>(Attachment 4, Line 63)</v>
      </c>
      <c r="G186" s="396"/>
      <c r="H186" s="297">
        <f>+'4 - Cost Support'!T145</f>
        <v>0</v>
      </c>
      <c r="J186" s="576"/>
      <c r="K186" s="576"/>
    </row>
    <row r="187" spans="1:11" ht="40">
      <c r="A187" s="372">
        <f>+A186+1</f>
        <v>104</v>
      </c>
      <c r="B187" s="372"/>
      <c r="C187" s="413" t="s">
        <v>802</v>
      </c>
      <c r="D187" s="356"/>
      <c r="E187" s="1016"/>
      <c r="F187" s="759" t="str">
        <f>"(Line "&amp;A178&amp;" + "&amp;A180&amp;" + "&amp;A181&amp;" + "&amp;A182&amp;" + "&amp;A183&amp;" + "&amp;A184&amp;" + "&amp;A185&amp;" + "&amp;A186&amp;")"</f>
        <v>(Line 96 + 97 + 98 + 99 + 100 + 101 + 102 + 103)</v>
      </c>
      <c r="G187" s="356"/>
      <c r="H187" s="298">
        <f>+SUM(H178:H186)</f>
        <v>-567187646.5</v>
      </c>
      <c r="I187" s="930"/>
      <c r="J187" s="576"/>
      <c r="K187" s="576"/>
    </row>
    <row r="188" spans="1:11" ht="20">
      <c r="A188" s="372"/>
      <c r="B188" s="372"/>
      <c r="C188" s="413" t="s">
        <v>857</v>
      </c>
      <c r="D188" s="356"/>
      <c r="E188" s="1068"/>
      <c r="F188" s="759"/>
      <c r="G188" s="356"/>
      <c r="H188" s="298"/>
      <c r="I188" s="930"/>
      <c r="J188" s="576"/>
      <c r="K188" s="576"/>
    </row>
    <row r="189" spans="1:11" ht="20">
      <c r="A189" s="372">
        <f>+A187+1</f>
        <v>105</v>
      </c>
      <c r="B189" s="372"/>
      <c r="C189" s="413" t="s">
        <v>858</v>
      </c>
      <c r="D189" s="356"/>
      <c r="E189" s="1045"/>
      <c r="F189" s="298" t="str">
        <f>+"(Line "&amp;A178&amp;")"</f>
        <v>(Line 96)</v>
      </c>
      <c r="G189" s="356"/>
      <c r="H189" s="298">
        <f>+H178</f>
        <v>-582435772</v>
      </c>
      <c r="I189" s="930"/>
      <c r="J189" s="576"/>
      <c r="K189" s="576"/>
    </row>
    <row r="190" spans="1:11" ht="20">
      <c r="A190" s="372">
        <f t="shared" si="4" ref="A190">+A189+1</f>
        <v>106</v>
      </c>
      <c r="B190" s="359"/>
      <c r="C190" s="464" t="s">
        <v>115</v>
      </c>
      <c r="E190" s="361"/>
      <c r="F190" s="298" t="str">
        <f>+"(Line "&amp;A174&amp;")"</f>
        <v>(Line 93)</v>
      </c>
      <c r="G190" s="319"/>
      <c r="H190" s="293">
        <f>+'4 - Cost Support'!T146</f>
        <v>0</v>
      </c>
      <c r="I190" s="930"/>
      <c r="J190" s="576"/>
      <c r="K190" s="576"/>
    </row>
    <row r="191" spans="1:11" ht="20">
      <c r="A191" s="372">
        <f>+A190+1</f>
        <v>107</v>
      </c>
      <c r="B191" s="359"/>
      <c r="C191" s="464" t="s">
        <v>104</v>
      </c>
      <c r="E191" s="361"/>
      <c r="F191" s="297" t="str">
        <f>+"(Line "&amp;A176&amp;")"</f>
        <v>(Line 95)</v>
      </c>
      <c r="G191" s="319"/>
      <c r="H191" s="300">
        <f>H176</f>
        <v>-537582765</v>
      </c>
      <c r="I191" s="930"/>
      <c r="J191" s="117"/>
      <c r="K191" s="576"/>
    </row>
    <row r="192" spans="1:11" ht="20">
      <c r="A192" s="372">
        <f>+A191+1</f>
        <v>108</v>
      </c>
      <c r="B192" s="359"/>
      <c r="C192" s="445" t="s">
        <v>116</v>
      </c>
      <c r="D192" s="364"/>
      <c r="E192" s="378"/>
      <c r="F192" s="298" t="str">
        <f>"(Line "&amp;A189&amp;" + Line"&amp;A190&amp;" + Line "&amp;A191&amp;")"</f>
        <v>(Line 105 + Line106 + Line 107)</v>
      </c>
      <c r="G192" s="294"/>
      <c r="H192" s="294">
        <f>+H189+H190+H191</f>
        <v>-1120018537</v>
      </c>
      <c r="I192" s="931"/>
      <c r="J192" s="117"/>
      <c r="K192" s="576"/>
    </row>
    <row r="193" spans="1:11" ht="20">
      <c r="A193" s="359"/>
      <c r="B193" s="359"/>
      <c r="C193" s="365"/>
      <c r="F193" s="287"/>
      <c r="G193" s="292"/>
      <c r="H193" s="303"/>
      <c r="J193" s="576"/>
      <c r="K193" s="576"/>
    </row>
    <row r="194" spans="1:11" ht="20">
      <c r="A194" s="372">
        <f>+A192+1</f>
        <v>109</v>
      </c>
      <c r="B194" s="359"/>
      <c r="C194" s="468" t="s">
        <v>117</v>
      </c>
      <c r="D194" s="394" t="s">
        <v>118</v>
      </c>
      <c r="E194" s="361"/>
      <c r="F194" s="298" t="str">
        <f>"(Line "&amp;A189&amp;" / Line "&amp;A192&amp;")"</f>
        <v>(Line 105 / Line 108)</v>
      </c>
      <c r="G194" s="292"/>
      <c r="H194" s="749">
        <f>+H189/H192</f>
        <v>0.52002333243525589</v>
      </c>
      <c r="J194" s="576"/>
      <c r="K194" s="576"/>
    </row>
    <row r="195" spans="1:11" ht="20">
      <c r="A195" s="372">
        <f>+A194+1</f>
        <v>110</v>
      </c>
      <c r="B195" s="359"/>
      <c r="C195" s="468" t="s">
        <v>119</v>
      </c>
      <c r="D195" s="365" t="s">
        <v>115</v>
      </c>
      <c r="E195" s="361"/>
      <c r="F195" s="298" t="str">
        <f>"(Line "&amp;A190&amp;" / Line "&amp;A192&amp;")"</f>
        <v>(Line 106 / Line 108)</v>
      </c>
      <c r="G195" s="292"/>
      <c r="H195" s="750">
        <f>+H190/H192</f>
        <v>0</v>
      </c>
      <c r="J195" s="576"/>
      <c r="K195" s="576"/>
    </row>
    <row r="196" spans="1:11" ht="20">
      <c r="A196" s="372">
        <f>+A195+1</f>
        <v>111</v>
      </c>
      <c r="B196" s="359"/>
      <c r="C196" s="468" t="s">
        <v>120</v>
      </c>
      <c r="D196" s="365" t="s">
        <v>104</v>
      </c>
      <c r="E196" s="361"/>
      <c r="F196" s="298" t="str">
        <f>"(Line "&amp;A191&amp;" / Line "&amp;A192&amp;")"</f>
        <v>(Line 107 / Line 108)</v>
      </c>
      <c r="G196" s="292"/>
      <c r="H196" s="749">
        <f>+H191/H192</f>
        <v>0.47997666756474405</v>
      </c>
      <c r="J196" s="576"/>
      <c r="K196" s="576"/>
    </row>
    <row r="197" spans="1:11" ht="20">
      <c r="A197" s="372"/>
      <c r="B197" s="359"/>
      <c r="C197" s="469"/>
      <c r="F197" s="293"/>
      <c r="G197" s="292"/>
      <c r="H197" s="741"/>
      <c r="J197" s="576"/>
      <c r="K197" s="576"/>
    </row>
    <row r="198" spans="1:11" ht="20">
      <c r="A198" s="372">
        <f>+A196+1</f>
        <v>112</v>
      </c>
      <c r="B198" s="359"/>
      <c r="C198" s="469" t="s">
        <v>121</v>
      </c>
      <c r="D198" s="394" t="s">
        <v>118</v>
      </c>
      <c r="F198" s="298" t="str">
        <f>"(Line "&amp;A167&amp;" / Line "&amp;A187&amp;")"</f>
        <v>(Line 89 / Line 104)</v>
      </c>
      <c r="G198" s="292"/>
      <c r="H198" s="749">
        <f>+H167/H187*-1</f>
        <v>0.040202407687664615</v>
      </c>
      <c r="J198" s="576"/>
      <c r="K198" s="576"/>
    </row>
    <row r="199" spans="1:11" ht="20">
      <c r="A199" s="372">
        <f>+A198+1</f>
        <v>113</v>
      </c>
      <c r="B199" s="359"/>
      <c r="C199" s="469" t="s">
        <v>122</v>
      </c>
      <c r="D199" s="365" t="s">
        <v>115</v>
      </c>
      <c r="F199" s="298" t="str">
        <f>"(Line "&amp;A169&amp;" / Line "&amp;A190&amp;")"</f>
        <v>(Line 90 / Line 106)</v>
      </c>
      <c r="G199" s="292"/>
      <c r="H199" s="749">
        <f>+IF(H190=0,0,H169/H190)</f>
        <v>0</v>
      </c>
      <c r="J199" s="576"/>
      <c r="K199" s="576"/>
    </row>
    <row r="200" spans="1:11" ht="20">
      <c r="A200" s="372">
        <f>+A199+1</f>
        <v>114</v>
      </c>
      <c r="B200" s="359"/>
      <c r="C200" s="469" t="s">
        <v>123</v>
      </c>
      <c r="D200" s="365" t="s">
        <v>104</v>
      </c>
      <c r="E200" s="361" t="str">
        <f>"(Note "&amp;B$302&amp;")"</f>
        <v>(Note G)</v>
      </c>
      <c r="F200" s="293" t="s">
        <v>124</v>
      </c>
      <c r="G200" s="292"/>
      <c r="H200" s="934">
        <v>0.098500000000000004</v>
      </c>
      <c r="J200" s="576"/>
      <c r="K200" s="576"/>
    </row>
    <row r="201" spans="1:11" ht="20">
      <c r="A201" s="372"/>
      <c r="B201" s="359"/>
      <c r="C201" s="469"/>
      <c r="F201" s="293"/>
      <c r="G201" s="292"/>
      <c r="H201" s="451"/>
      <c r="J201" s="576"/>
      <c r="K201" s="576"/>
    </row>
    <row r="202" spans="1:11" ht="20">
      <c r="A202" s="372">
        <f>+A200+1</f>
        <v>115</v>
      </c>
      <c r="B202" s="359"/>
      <c r="C202" s="468" t="s">
        <v>125</v>
      </c>
      <c r="D202" s="394" t="s">
        <v>126</v>
      </c>
      <c r="F202" s="298" t="str">
        <f>"(Line "&amp;A194&amp;" * Line "&amp;A198&amp;")"</f>
        <v>(Line 109 * Line 112)</v>
      </c>
      <c r="G202" s="470"/>
      <c r="H202" s="750">
        <f>H194*H198</f>
        <v>0.020906190017660104</v>
      </c>
      <c r="J202" s="576"/>
      <c r="K202" s="576"/>
    </row>
    <row r="203" spans="1:11" ht="20">
      <c r="A203" s="372">
        <f>+A202+1</f>
        <v>116</v>
      </c>
      <c r="B203" s="359"/>
      <c r="C203" s="468" t="s">
        <v>127</v>
      </c>
      <c r="D203" s="365" t="s">
        <v>115</v>
      </c>
      <c r="F203" s="298" t="str">
        <f>"(Line "&amp;A195&amp;" * Line "&amp;A199&amp;")"</f>
        <v>(Line 110 * Line 113)</v>
      </c>
      <c r="G203" s="451"/>
      <c r="H203" s="750">
        <f>H195*H199</f>
        <v>0</v>
      </c>
      <c r="J203" s="576"/>
      <c r="K203" s="576"/>
    </row>
    <row r="204" spans="1:11" ht="20">
      <c r="A204" s="372">
        <f>+A203+1</f>
        <v>117</v>
      </c>
      <c r="B204" s="471"/>
      <c r="C204" s="472" t="s">
        <v>128</v>
      </c>
      <c r="D204" s="473" t="s">
        <v>104</v>
      </c>
      <c r="E204" s="474"/>
      <c r="F204" s="297" t="str">
        <f>"(Line "&amp;A196&amp;" * Line "&amp;A200&amp;")"</f>
        <v>(Line 111 * Line 114)</v>
      </c>
      <c r="G204" s="475"/>
      <c r="H204" s="751">
        <f>H196*H200</f>
        <v>0.047277701755127292</v>
      </c>
      <c r="J204" s="576"/>
      <c r="K204" s="576"/>
    </row>
    <row r="205" spans="1:11" s="17" customFormat="1" ht="20">
      <c r="A205" s="359">
        <f>+A204+1</f>
        <v>118</v>
      </c>
      <c r="B205" s="476" t="s">
        <v>129</v>
      </c>
      <c r="C205" s="476"/>
      <c r="D205" s="477"/>
      <c r="E205" s="432"/>
      <c r="F205" s="298" t="str">
        <f>"(Lines "&amp;A202&amp;" + "&amp;A203&amp;" + "&amp;A204&amp;")"</f>
        <v>(Lines 115 + 116 + 117)</v>
      </c>
      <c r="G205" s="478"/>
      <c r="H205" s="752">
        <f>SUM(H202:H204)</f>
        <v>0.0681838917727874</v>
      </c>
      <c r="J205" s="576"/>
      <c r="K205" s="576"/>
    </row>
    <row r="206" spans="1:11" s="17" customFormat="1" ht="20">
      <c r="A206" s="479"/>
      <c r="B206" s="479"/>
      <c r="C206" s="476"/>
      <c r="D206" s="477"/>
      <c r="E206" s="432"/>
      <c r="F206" s="466"/>
      <c r="G206" s="478"/>
      <c r="H206" s="753"/>
      <c r="J206" s="576"/>
      <c r="K206" s="576"/>
    </row>
    <row r="207" spans="1:11" ht="20.5" thickBot="1">
      <c r="A207" s="359">
        <f>+A205+1</f>
        <v>119</v>
      </c>
      <c r="B207" s="480" t="s">
        <v>130</v>
      </c>
      <c r="C207" s="481"/>
      <c r="D207" s="458"/>
      <c r="E207" s="482"/>
      <c r="F207" s="316" t="str">
        <f>"(Line "&amp;A114&amp;" * Line "&amp;A205&amp;")"</f>
        <v>(Line 59 * Line 118)</v>
      </c>
      <c r="G207" s="483"/>
      <c r="H207" s="745">
        <f>H114*H205</f>
        <v>10935917.069464561</v>
      </c>
      <c r="J207" s="576"/>
      <c r="K207" s="576"/>
    </row>
    <row r="208" spans="1:11" ht="20">
      <c r="A208" s="440" t="s">
        <v>131</v>
      </c>
      <c r="B208" s="441"/>
      <c r="C208" s="442"/>
      <c r="D208" s="443"/>
      <c r="E208" s="460"/>
      <c r="F208" s="304"/>
      <c r="G208" s="304"/>
      <c r="H208" s="290"/>
      <c r="J208" s="576"/>
      <c r="K208" s="576"/>
    </row>
    <row r="209" spans="1:11" ht="20">
      <c r="A209" s="359" t="s">
        <v>132</v>
      </c>
      <c r="B209" s="484" t="s">
        <v>133</v>
      </c>
      <c r="E209" s="303"/>
      <c r="F209" s="292"/>
      <c r="G209" s="485"/>
      <c r="H209" s="319"/>
      <c r="J209" s="576"/>
      <c r="K209" s="576"/>
    </row>
    <row r="210" spans="1:11" ht="20">
      <c r="A210" s="359">
        <f>+A207+1</f>
        <v>120</v>
      </c>
      <c r="B210" s="359"/>
      <c r="C210" s="319" t="s">
        <v>134</v>
      </c>
      <c r="E210" s="361"/>
      <c r="F210" s="319"/>
      <c r="G210" s="486"/>
      <c r="H210" s="321">
        <v>0.21</v>
      </c>
      <c r="J210" s="576"/>
      <c r="K210" s="576"/>
    </row>
    <row r="211" spans="1:11" ht="20">
      <c r="A211" s="359">
        <f>+A210+1</f>
        <v>121</v>
      </c>
      <c r="B211" s="359"/>
      <c r="C211" s="486" t="s">
        <v>135</v>
      </c>
      <c r="D211" s="487"/>
      <c r="F211" s="293" t="str">
        <f>"(Attachment 4, Line "&amp;'4 - Cost Support'!A153&amp;")"</f>
        <v>(Attachment 4, Line 65)</v>
      </c>
      <c r="G211" s="486"/>
      <c r="H211" s="323">
        <f>+'4 - Cost Support'!S153</f>
        <v>0</v>
      </c>
      <c r="J211" s="576"/>
      <c r="K211" s="576"/>
    </row>
    <row r="212" spans="1:11" ht="20">
      <c r="A212" s="359">
        <f>+A211+1</f>
        <v>122</v>
      </c>
      <c r="B212" s="359"/>
      <c r="C212" s="486" t="s">
        <v>136</v>
      </c>
      <c r="D212" s="487"/>
      <c r="F212" s="293" t="str">
        <f>"(Attachment 4, Line "&amp;'4 - Cost Support'!A154&amp;")"</f>
        <v>(Attachment 4, Line 66)</v>
      </c>
      <c r="G212" s="486"/>
      <c r="H212" s="586">
        <f>+'4 - Cost Support'!S154</f>
        <v>0.016899999999999998</v>
      </c>
      <c r="J212" s="576"/>
      <c r="K212" s="576"/>
    </row>
    <row r="213" spans="1:11" ht="20">
      <c r="A213" s="359">
        <f>+A212+1</f>
        <v>123</v>
      </c>
      <c r="B213" s="359"/>
      <c r="C213" s="486" t="s">
        <v>137</v>
      </c>
      <c r="D213" s="486" t="s">
        <v>138</v>
      </c>
      <c r="F213" s="319" t="s">
        <v>139</v>
      </c>
      <c r="G213" s="486"/>
      <c r="H213" s="321">
        <v>0</v>
      </c>
      <c r="J213" s="576"/>
      <c r="K213" s="576"/>
    </row>
    <row r="214" spans="1:11" ht="20">
      <c r="A214" s="372">
        <f>+A213+1</f>
        <v>124</v>
      </c>
      <c r="B214" s="372"/>
      <c r="C214" s="486" t="s">
        <v>140</v>
      </c>
      <c r="D214" s="488" t="s">
        <v>141</v>
      </c>
      <c r="E214" s="390"/>
      <c r="F214" s="335"/>
      <c r="G214" s="486"/>
      <c r="H214" s="322">
        <f>+H210+H211+H212-(H211+H212)*H210-(H210*H213*H211)</f>
        <v>0.22335099999999999</v>
      </c>
      <c r="J214" s="576"/>
      <c r="K214" s="576"/>
    </row>
    <row r="215" spans="1:11" s="59" customFormat="1" ht="20">
      <c r="A215" s="390">
        <f>A214+1</f>
        <v>125</v>
      </c>
      <c r="B215" s="287"/>
      <c r="C215" s="486" t="s">
        <v>142</v>
      </c>
      <c r="D215" s="287"/>
      <c r="E215" s="287"/>
      <c r="F215" s="287"/>
      <c r="G215" s="287"/>
      <c r="H215" s="323">
        <f>H214/(1-H214)</f>
        <v>0.28758293643589317</v>
      </c>
      <c r="J215" s="576"/>
      <c r="K215" s="576"/>
    </row>
    <row r="216" spans="1:11" s="59" customFormat="1" ht="20">
      <c r="A216" s="390">
        <f>+A215+1</f>
        <v>126</v>
      </c>
      <c r="B216" s="287"/>
      <c r="C216" s="486" t="s">
        <v>143</v>
      </c>
      <c r="D216" s="287"/>
      <c r="E216" s="287"/>
      <c r="F216" s="287"/>
      <c r="G216" s="287"/>
      <c r="H216" s="323">
        <f>1/(1-H214)</f>
        <v>1.2875829364358931</v>
      </c>
      <c r="J216" s="576"/>
      <c r="K216" s="576"/>
    </row>
    <row r="217" spans="1:11" ht="20">
      <c r="A217" s="359"/>
      <c r="B217" s="359"/>
      <c r="E217" s="402"/>
      <c r="F217" s="319"/>
      <c r="G217" s="485"/>
      <c r="H217" s="322"/>
      <c r="J217" s="576"/>
      <c r="K217" s="576"/>
    </row>
    <row r="218" spans="1:11" ht="20">
      <c r="A218" s="359"/>
      <c r="B218" s="484" t="s">
        <v>144</v>
      </c>
      <c r="C218" s="365"/>
      <c r="E218" s="361"/>
      <c r="F218" s="319"/>
      <c r="G218" s="485"/>
      <c r="H218" s="324"/>
      <c r="J218" s="576"/>
      <c r="K218" s="576"/>
    </row>
    <row r="219" spans="1:11" ht="20">
      <c r="A219" s="359">
        <f>+A216+1</f>
        <v>127</v>
      </c>
      <c r="B219" s="359"/>
      <c r="C219" s="386" t="s">
        <v>145</v>
      </c>
      <c r="D219" s="371"/>
      <c r="E219" s="361"/>
      <c r="F219" s="293" t="str">
        <f>"(Attachment 4, Line "&amp;'4 - Cost Support'!A161&amp;")"</f>
        <v>(Attachment 4, Line 68)</v>
      </c>
      <c r="G219" s="485"/>
      <c r="H219" s="293">
        <f>'4 - Cost Support'!S161</f>
        <v>-80311</v>
      </c>
      <c r="J219" s="576"/>
      <c r="K219" s="576"/>
    </row>
    <row r="220" spans="1:11" ht="20">
      <c r="A220" s="359">
        <f t="shared" si="5" ref="A220:A225">+A219+1</f>
        <v>128</v>
      </c>
      <c r="B220" s="359"/>
      <c r="C220" s="386" t="s">
        <v>146</v>
      </c>
      <c r="D220" s="371"/>
      <c r="E220" s="361"/>
      <c r="F220" s="293" t="str">
        <f>"(Attachment 4, Line "&amp;'4 - Cost Support'!A160&amp;")"</f>
        <v>(Attachment 4, Line 67)</v>
      </c>
      <c r="G220" s="485"/>
      <c r="H220" s="293">
        <f>'4 - Cost Support'!S160</f>
        <v>-102595</v>
      </c>
      <c r="J220" s="576"/>
      <c r="K220" s="576"/>
    </row>
    <row r="221" spans="1:11" ht="20">
      <c r="A221" s="359">
        <f>+A220+1</f>
        <v>129</v>
      </c>
      <c r="B221" s="359"/>
      <c r="C221" s="422" t="s">
        <v>29</v>
      </c>
      <c r="D221" s="391"/>
      <c r="E221" s="453"/>
      <c r="F221" s="396" t="str">
        <f>"(Line "&amp;A$16&amp;")"</f>
        <v>(Line 5)</v>
      </c>
      <c r="G221" s="454"/>
      <c r="H221" s="722">
        <f>+H16</f>
        <v>0.09138981159089922</v>
      </c>
      <c r="J221" s="576"/>
      <c r="K221" s="576"/>
    </row>
    <row r="222" spans="1:11" ht="20">
      <c r="A222" s="359">
        <f>+A221+1</f>
        <v>130</v>
      </c>
      <c r="B222" s="359"/>
      <c r="C222" s="386" t="s">
        <v>147</v>
      </c>
      <c r="D222" s="335"/>
      <c r="E222" s="372"/>
      <c r="F222" s="298" t="str">
        <f>"(Line "&amp;A220&amp;" * Line "&amp;A221&amp;")"</f>
        <v>(Line 128 * Line 129)</v>
      </c>
      <c r="G222" s="314"/>
      <c r="H222" s="305">
        <f>+H220*H221</f>
        <v>-9376.1377201683063</v>
      </c>
      <c r="J222" s="576"/>
      <c r="K222" s="576"/>
    </row>
    <row r="223" spans="1:11" ht="20">
      <c r="A223" s="359">
        <f>+A222+1</f>
        <v>131</v>
      </c>
      <c r="B223" s="359"/>
      <c r="C223" s="386" t="s">
        <v>148</v>
      </c>
      <c r="D223" s="335"/>
      <c r="E223" s="372"/>
      <c r="F223" s="298" t="str">
        <f>"(Line "&amp;A219&amp;" + Line "&amp;A222&amp;")"</f>
        <v>(Line 127 + Line 130)</v>
      </c>
      <c r="G223" s="314"/>
      <c r="H223" s="305">
        <f>+H219+H222</f>
        <v>-89687.137720168306</v>
      </c>
      <c r="J223" s="576"/>
      <c r="K223" s="576"/>
    </row>
    <row r="224" spans="1:11" ht="20">
      <c r="A224" s="372">
        <f>+A223+1</f>
        <v>132</v>
      </c>
      <c r="B224" s="372"/>
      <c r="C224" s="395" t="s">
        <v>143</v>
      </c>
      <c r="D224" s="396"/>
      <c r="E224" s="423"/>
      <c r="F224" s="374" t="str">
        <f>"(Line "&amp;A216&amp;")"</f>
        <v>(Line 126)</v>
      </c>
      <c r="G224" s="706"/>
      <c r="H224" s="707">
        <f>+H216</f>
        <v>1.2875829364358931</v>
      </c>
      <c r="J224" s="576"/>
      <c r="K224" s="576"/>
    </row>
    <row r="225" spans="1:11" ht="20">
      <c r="A225" s="359">
        <f>+A224+1</f>
        <v>133</v>
      </c>
      <c r="B225" s="359"/>
      <c r="C225" s="493" t="s">
        <v>149</v>
      </c>
      <c r="D225" s="356"/>
      <c r="E225" s="361"/>
      <c r="F225" s="298" t="str">
        <f>"(Line "&amp;A223&amp;" * Line "&amp;A224&amp;")"</f>
        <v>(Line 131 * Line 132)</v>
      </c>
      <c r="G225" s="491"/>
      <c r="H225" s="311">
        <f>+H223*H224</f>
        <v>-115479.62814626466</v>
      </c>
      <c r="J225" s="576"/>
      <c r="K225" s="576"/>
    </row>
    <row r="226" spans="1:11" ht="20">
      <c r="A226" s="359"/>
      <c r="B226" s="359"/>
      <c r="C226" s="493"/>
      <c r="D226" s="356"/>
      <c r="E226" s="361"/>
      <c r="F226" s="298"/>
      <c r="G226" s="491"/>
      <c r="H226" s="311"/>
      <c r="J226" s="576"/>
      <c r="K226" s="576"/>
    </row>
    <row r="227" spans="1:11" ht="20">
      <c r="A227" s="359"/>
      <c r="B227" s="515" t="s">
        <v>150</v>
      </c>
      <c r="C227" s="493"/>
      <c r="D227" s="356"/>
      <c r="E227" s="361"/>
      <c r="F227" s="298"/>
      <c r="G227" s="491"/>
      <c r="H227" s="311"/>
      <c r="J227" s="576"/>
      <c r="K227" s="576"/>
    </row>
    <row r="228" spans="1:11" ht="20">
      <c r="A228" s="359">
        <f>+A225+1</f>
        <v>134</v>
      </c>
      <c r="B228" s="359"/>
      <c r="C228" s="386" t="s">
        <v>150</v>
      </c>
      <c r="D228" s="371"/>
      <c r="E228" s="361"/>
      <c r="F228" s="293" t="str">
        <f>"(Attachment 4, Line "&amp;'4 - Cost Support'!A162&amp;")"</f>
        <v>(Attachment 4, Line 69)</v>
      </c>
      <c r="G228" s="485"/>
      <c r="H228" s="293">
        <f>+'4 - Cost Support'!S162</f>
        <v>274000</v>
      </c>
      <c r="J228" s="576"/>
      <c r="K228" s="576"/>
    </row>
    <row r="229" spans="1:11" ht="20">
      <c r="A229" s="359">
        <f>+A228+1</f>
        <v>135</v>
      </c>
      <c r="B229" s="359"/>
      <c r="C229" s="963" t="s">
        <v>151</v>
      </c>
      <c r="D229" s="371"/>
      <c r="E229" s="361"/>
      <c r="F229" s="298" t="str">
        <f>"(Line "&amp;A214&amp;" * Line "&amp;A228&amp;")"</f>
        <v>(Line 124 * Line 134)</v>
      </c>
      <c r="G229" s="485"/>
      <c r="H229" s="293">
        <f>+H228*H214</f>
        <v>61198.173999999999</v>
      </c>
      <c r="J229" s="576"/>
      <c r="K229" s="576"/>
    </row>
    <row r="230" spans="1:11" ht="20">
      <c r="A230" s="359">
        <f>+A229+1</f>
        <v>136</v>
      </c>
      <c r="B230" s="359"/>
      <c r="C230" s="386" t="s">
        <v>143</v>
      </c>
      <c r="D230" s="335"/>
      <c r="E230" s="423"/>
      <c r="F230" s="374" t="str">
        <f>"(Line "&amp;A216&amp;")"</f>
        <v>(Line 126)</v>
      </c>
      <c r="G230" s="489"/>
      <c r="H230" s="323">
        <f>+H216</f>
        <v>1.2875829364358931</v>
      </c>
      <c r="J230" s="576"/>
      <c r="K230" s="576"/>
    </row>
    <row r="231" spans="1:11" ht="20">
      <c r="A231" s="359">
        <f>+A230+1</f>
        <v>137</v>
      </c>
      <c r="B231" s="359"/>
      <c r="C231" s="492" t="s">
        <v>152</v>
      </c>
      <c r="D231" s="392"/>
      <c r="E231" s="361"/>
      <c r="F231" s="298" t="str">
        <f>"(Line "&amp;A229&amp;" * Line "&amp;A230&amp;")"</f>
        <v>(Line 135 * Line 136)</v>
      </c>
      <c r="G231" s="426"/>
      <c r="H231" s="325">
        <f>+H229*H230</f>
        <v>78797.724583434727</v>
      </c>
      <c r="J231" s="576"/>
      <c r="K231" s="576"/>
    </row>
    <row r="232" spans="1:11" ht="20">
      <c r="A232" s="359"/>
      <c r="B232" s="359"/>
      <c r="C232" s="493"/>
      <c r="D232" s="356"/>
      <c r="E232" s="361"/>
      <c r="F232" s="298"/>
      <c r="G232" s="491"/>
      <c r="H232" s="311"/>
      <c r="J232" s="576"/>
      <c r="K232" s="576"/>
    </row>
    <row r="233" spans="1:11" ht="20">
      <c r="A233" s="359"/>
      <c r="B233" s="515" t="s">
        <v>153</v>
      </c>
      <c r="C233" s="493"/>
      <c r="D233" s="356"/>
      <c r="E233" s="361"/>
      <c r="F233" s="298"/>
      <c r="G233" s="491"/>
      <c r="H233" s="311"/>
      <c r="J233" s="576"/>
      <c r="K233" s="576"/>
    </row>
    <row r="234" spans="1:11" ht="20">
      <c r="A234" s="359">
        <f>+A231+1</f>
        <v>138</v>
      </c>
      <c r="B234" s="359"/>
      <c r="C234" s="468" t="s">
        <v>154</v>
      </c>
      <c r="D234" s="356"/>
      <c r="E234" s="361" t="str">
        <f>"(Note "&amp;B309&amp;")"</f>
        <v>(Note N)</v>
      </c>
      <c r="F234" s="293" t="str">
        <f>"(Attachment 4, Line "&amp;'4 - Cost Support'!A203&amp;")"</f>
        <v>(Attachment 4, Line 78)</v>
      </c>
      <c r="G234" s="491"/>
      <c r="H234" s="326">
        <f>+'4 - Cost Support'!R203</f>
        <v>-2893498.0321720005</v>
      </c>
      <c r="J234" s="576"/>
      <c r="K234" s="576"/>
    </row>
    <row r="235" spans="1:11" ht="20">
      <c r="A235" s="359">
        <f>+A234+1</f>
        <v>139</v>
      </c>
      <c r="B235" s="359"/>
      <c r="C235" s="386" t="s">
        <v>143</v>
      </c>
      <c r="D235" s="335"/>
      <c r="E235" s="375"/>
      <c r="F235" s="374" t="str">
        <f>+F224</f>
        <v>(Line 126)</v>
      </c>
      <c r="G235" s="489"/>
      <c r="H235" s="323">
        <f>+H216</f>
        <v>1.2875829364358931</v>
      </c>
      <c r="J235" s="576"/>
      <c r="K235" s="576"/>
    </row>
    <row r="236" spans="1:11" ht="20">
      <c r="A236" s="359">
        <f>+A235+1</f>
        <v>140</v>
      </c>
      <c r="B236" s="359"/>
      <c r="C236" s="492" t="s">
        <v>155</v>
      </c>
      <c r="D236" s="392"/>
      <c r="E236" s="361"/>
      <c r="F236" s="298" t="str">
        <f>"(Line "&amp;A234&amp;" * Line "&amp;A235&amp;")"</f>
        <v>(Line 138 * Line 139)</v>
      </c>
      <c r="G236" s="426"/>
      <c r="H236" s="325">
        <f>+H234*H235</f>
        <v>-3725618.6928355028</v>
      </c>
      <c r="J236" s="576"/>
      <c r="K236" s="576"/>
    </row>
    <row r="237" spans="1:11" ht="142.5" customHeight="1">
      <c r="A237" s="372">
        <f>+A236+1</f>
        <v>141</v>
      </c>
      <c r="B237" s="412" t="s">
        <v>156</v>
      </c>
      <c r="C237" s="287"/>
      <c r="D237" s="761" t="s">
        <v>157</v>
      </c>
      <c r="E237" s="371"/>
      <c r="F237" s="760" t="str">
        <f>"(Line "&amp;A215&amp;" * Line "&amp;A114&amp;" * (Line "&amp;A203&amp;" + Line "&amp;A204&amp;"))"</f>
        <v>(Line 125 * Line 59 * (Line 116 + Line 117))</v>
      </c>
      <c r="G237" s="335"/>
      <c r="H237" s="625">
        <f>+H215*H114*(H203+H204)</f>
        <v>2180684.7807499128</v>
      </c>
      <c r="J237" s="576"/>
      <c r="K237" s="576"/>
    </row>
    <row r="238" spans="1:11" ht="20.5" thickBot="1">
      <c r="A238" s="359">
        <f>+A237+1</f>
        <v>142</v>
      </c>
      <c r="B238" s="494" t="s">
        <v>158</v>
      </c>
      <c r="C238" s="494"/>
      <c r="D238" s="495"/>
      <c r="E238" s="403"/>
      <c r="F238" s="496" t="str">
        <f>"(Line "&amp;A225&amp;" + Line "&amp;A231&amp;" + Line "&amp;A236&amp;" + Line "&amp;A237&amp;")"</f>
        <v>(Line 133 + Line 137 + Line 140 + Line 141)</v>
      </c>
      <c r="G238" s="497"/>
      <c r="H238" s="836">
        <f>H225+H231+H236+H237</f>
        <v>-1581615.8156484198</v>
      </c>
      <c r="J238" s="576"/>
      <c r="K238" s="576"/>
    </row>
    <row r="239" spans="1:11" ht="20.5" thickTop="1">
      <c r="A239" s="359"/>
      <c r="B239" s="359"/>
      <c r="C239" s="498"/>
      <c r="F239" s="306"/>
      <c r="G239" s="499"/>
      <c r="H239" s="320"/>
      <c r="J239" s="576"/>
      <c r="K239" s="576"/>
    </row>
    <row r="240" spans="1:11" ht="20">
      <c r="A240" s="440" t="s">
        <v>159</v>
      </c>
      <c r="B240" s="441"/>
      <c r="C240" s="442"/>
      <c r="D240" s="443"/>
      <c r="E240" s="444"/>
      <c r="F240" s="304"/>
      <c r="G240" s="304"/>
      <c r="H240" s="290"/>
      <c r="J240" s="576"/>
      <c r="K240" s="576"/>
    </row>
    <row r="241" spans="1:11" ht="20">
      <c r="A241" s="334"/>
      <c r="B241" s="296"/>
      <c r="C241" s="296"/>
      <c r="D241" s="296"/>
      <c r="H241" s="816"/>
      <c r="J241" s="576"/>
      <c r="K241" s="576"/>
    </row>
    <row r="242" spans="1:11" ht="20">
      <c r="A242" s="334"/>
      <c r="B242" s="434" t="s">
        <v>160</v>
      </c>
      <c r="C242" s="288"/>
      <c r="D242" s="379"/>
      <c r="J242" s="576"/>
      <c r="K242" s="576"/>
    </row>
    <row r="243" spans="1:11" ht="20">
      <c r="A243" s="334">
        <f>+A238+1</f>
        <v>143</v>
      </c>
      <c r="B243" s="296"/>
      <c r="C243" s="288" t="s">
        <v>161</v>
      </c>
      <c r="D243" s="379"/>
      <c r="F243" s="298" t="str">
        <f>"(Line "&amp;A57&amp;")"</f>
        <v>(Line 29)</v>
      </c>
      <c r="H243" s="741">
        <f>H57</f>
        <v>202362522.09915596</v>
      </c>
      <c r="J243" s="576"/>
      <c r="K243" s="576"/>
    </row>
    <row r="244" spans="1:11" ht="20">
      <c r="A244" s="359">
        <f>+A243+1</f>
        <v>144</v>
      </c>
      <c r="B244" s="296"/>
      <c r="C244" s="288" t="s">
        <v>71</v>
      </c>
      <c r="D244" s="379"/>
      <c r="F244" s="297" t="str">
        <f>"(Line "&amp;A112&amp;")"</f>
        <v>(Line 58)</v>
      </c>
      <c r="H244" s="741">
        <f>H112</f>
        <v>-41973949.591343328</v>
      </c>
      <c r="J244" s="576"/>
      <c r="K244" s="576"/>
    </row>
    <row r="245" spans="1:11" ht="20">
      <c r="A245" s="359">
        <f>+A244+1</f>
        <v>145</v>
      </c>
      <c r="B245" s="359"/>
      <c r="C245" s="430" t="s">
        <v>72</v>
      </c>
      <c r="D245" s="500"/>
      <c r="E245" s="501"/>
      <c r="F245" s="298" t="str">
        <f>"(Line "&amp;A114&amp;")"</f>
        <v>(Line 59)</v>
      </c>
      <c r="G245" s="502"/>
      <c r="H245" s="325">
        <f>SUM(H243:H244)</f>
        <v>160388572.50781262</v>
      </c>
      <c r="J245" s="576"/>
      <c r="K245" s="576"/>
    </row>
    <row r="246" spans="1:11" ht="20">
      <c r="A246" s="359"/>
      <c r="B246" s="359"/>
      <c r="C246" s="394"/>
      <c r="D246" s="356"/>
      <c r="E246" s="303"/>
      <c r="F246" s="335"/>
      <c r="G246" s="319"/>
      <c r="H246" s="741"/>
      <c r="J246" s="576"/>
      <c r="K246" s="576"/>
    </row>
    <row r="247" spans="1:11" ht="20">
      <c r="A247" s="359">
        <f>+A245+1</f>
        <v>146</v>
      </c>
      <c r="C247" s="394" t="s">
        <v>162</v>
      </c>
      <c r="D247" s="380"/>
      <c r="F247" s="298" t="str">
        <f>"(Line "&amp;A144&amp;")"</f>
        <v>(Line 78)</v>
      </c>
      <c r="H247" s="741">
        <f>H144</f>
        <v>13799110.976779331</v>
      </c>
      <c r="J247" s="576"/>
      <c r="K247" s="576"/>
    </row>
    <row r="248" spans="1:11" ht="20">
      <c r="A248" s="359">
        <f>+A247+1</f>
        <v>147</v>
      </c>
      <c r="C248" s="419" t="s">
        <v>96</v>
      </c>
      <c r="D248" s="380"/>
      <c r="F248" s="298" t="str">
        <f>"(Line "&amp;A158&amp;")"</f>
        <v>(Line 86)</v>
      </c>
      <c r="H248" s="741">
        <f>H158</f>
        <v>9419599.7706870139</v>
      </c>
      <c r="J248" s="576"/>
      <c r="K248" s="576"/>
    </row>
    <row r="249" spans="1:11" ht="20">
      <c r="A249" s="359">
        <f>+A248+1</f>
        <v>148</v>
      </c>
      <c r="B249" s="359"/>
      <c r="C249" s="394" t="s">
        <v>163</v>
      </c>
      <c r="D249" s="356"/>
      <c r="E249" s="303"/>
      <c r="F249" s="298" t="str">
        <f>"(Line "&amp;A164&amp;")"</f>
        <v>(Line 88)</v>
      </c>
      <c r="G249" s="319"/>
      <c r="H249" s="741">
        <f>H164</f>
        <v>12765214.009564515</v>
      </c>
      <c r="J249" s="576"/>
      <c r="K249" s="576"/>
    </row>
    <row r="250" spans="1:11" ht="20">
      <c r="A250" s="359">
        <f>+A249+1</f>
        <v>149</v>
      </c>
      <c r="B250" s="359"/>
      <c r="C250" s="503" t="s">
        <v>164</v>
      </c>
      <c r="D250" s="356"/>
      <c r="E250" s="303"/>
      <c r="F250" s="298" t="str">
        <f>"(Line "&amp;A207&amp;")"</f>
        <v>(Line 119)</v>
      </c>
      <c r="G250" s="319"/>
      <c r="H250" s="741">
        <f>H207</f>
        <v>10935917.069464561</v>
      </c>
      <c r="J250" s="576"/>
      <c r="K250" s="576"/>
    </row>
    <row r="251" spans="1:11" ht="20">
      <c r="A251" s="359">
        <f>+A250+1</f>
        <v>150</v>
      </c>
      <c r="B251" s="359"/>
      <c r="C251" s="503" t="s">
        <v>165</v>
      </c>
      <c r="D251" s="356"/>
      <c r="E251" s="303"/>
      <c r="F251" s="298" t="str">
        <f>"(Line "&amp;A238&amp;")"</f>
        <v>(Line 142)</v>
      </c>
      <c r="G251" s="319"/>
      <c r="H251" s="741">
        <f>H238</f>
        <v>-1581615.8156484198</v>
      </c>
      <c r="J251" s="576"/>
      <c r="K251" s="576"/>
    </row>
    <row r="252" spans="1:11" ht="20">
      <c r="A252" s="359"/>
      <c r="B252" s="359"/>
      <c r="C252" s="503"/>
      <c r="D252" s="356"/>
      <c r="E252" s="303"/>
      <c r="F252" s="335"/>
      <c r="G252" s="319"/>
      <c r="H252" s="741"/>
      <c r="J252" s="576"/>
      <c r="K252" s="576"/>
    </row>
    <row r="253" spans="1:11" ht="20">
      <c r="A253" s="504">
        <f>+A251+1</f>
        <v>151</v>
      </c>
      <c r="B253" s="505"/>
      <c r="C253" s="506" t="s">
        <v>166</v>
      </c>
      <c r="D253" s="507"/>
      <c r="E253" s="1073" t="str">
        <f>"(Note "&amp;B316&amp;")"</f>
        <v>(Note U)</v>
      </c>
      <c r="F253" s="508" t="str">
        <f>"(Sum Lines "&amp;A247&amp;" to "&amp;A251&amp;")"</f>
        <v>(Sum Lines 146 to 150)</v>
      </c>
      <c r="G253" s="509"/>
      <c r="H253" s="754">
        <f>SUM(H247:H251)</f>
        <v>45338226.010847002</v>
      </c>
      <c r="J253" s="576"/>
      <c r="K253" s="576"/>
    </row>
    <row r="254" spans="1:11" ht="20">
      <c r="A254" s="510"/>
      <c r="B254" s="490"/>
      <c r="C254" s="413"/>
      <c r="D254" s="349"/>
      <c r="E254" s="511"/>
      <c r="F254" s="461"/>
      <c r="G254" s="380"/>
      <c r="H254" s="311"/>
      <c r="J254" s="576"/>
      <c r="K254" s="576"/>
    </row>
    <row r="255" spans="1:11" ht="20">
      <c r="A255" s="510"/>
      <c r="B255" s="493" t="s">
        <v>167</v>
      </c>
      <c r="C255" s="413"/>
      <c r="D255" s="349"/>
      <c r="E255" s="511"/>
      <c r="F255" s="461"/>
      <c r="G255" s="380"/>
      <c r="H255" s="311"/>
      <c r="J255" s="576"/>
      <c r="K255" s="576"/>
    </row>
    <row r="256" spans="1:11" ht="20">
      <c r="A256" s="452">
        <f>+A253+1</f>
        <v>152</v>
      </c>
      <c r="B256" s="452"/>
      <c r="C256" s="394" t="str">
        <f>+C33</f>
        <v>Transmission Plant In Service</v>
      </c>
      <c r="D256" s="349"/>
      <c r="E256" s="511"/>
      <c r="F256" s="298" t="str">
        <f>"(Line "&amp;A33&amp;")"</f>
        <v>(Line 13)</v>
      </c>
      <c r="G256" s="380"/>
      <c r="H256" s="305">
        <f>H33</f>
        <v>436230368.61538464</v>
      </c>
      <c r="J256" s="576"/>
      <c r="K256" s="576"/>
    </row>
    <row r="257" spans="1:11" ht="20">
      <c r="A257" s="452">
        <f>+A256+1</f>
        <v>153</v>
      </c>
      <c r="B257" s="452"/>
      <c r="C257" s="395" t="s">
        <v>168</v>
      </c>
      <c r="D257" s="512"/>
      <c r="E257" s="375" t="str">
        <f>"(Note "&amp;B$296&amp;" &amp; "&amp;B$304&amp;")"</f>
        <v>(Note A &amp; I)</v>
      </c>
      <c r="F257" s="297" t="str">
        <f>"(Attachment 4, Line "&amp;'4 - Cost Support'!A168&amp;")"</f>
        <v>(Attachment 4, Line 70)</v>
      </c>
      <c r="G257" s="374"/>
      <c r="H257" s="309">
        <f>+'4 - Cost Support'!T168</f>
        <v>2469683.44</v>
      </c>
      <c r="J257" s="576"/>
      <c r="K257" s="576"/>
    </row>
    <row r="258" spans="1:11" ht="20">
      <c r="A258" s="452">
        <f>+A257+1</f>
        <v>154</v>
      </c>
      <c r="B258" s="452"/>
      <c r="C258" s="394" t="s">
        <v>169</v>
      </c>
      <c r="D258" s="349"/>
      <c r="E258" s="513"/>
      <c r="F258" s="298" t="str">
        <f>"(Line "&amp;A256&amp;" - Line "&amp;A257&amp;")"</f>
        <v>(Line 152 - Line 153)</v>
      </c>
      <c r="G258" s="380"/>
      <c r="H258" s="305">
        <f>H256-H257</f>
        <v>433760685.17538464</v>
      </c>
      <c r="J258" s="576"/>
      <c r="K258" s="576"/>
    </row>
    <row r="259" spans="1:11" ht="20">
      <c r="A259" s="452">
        <f>+A258+1</f>
        <v>155</v>
      </c>
      <c r="B259" s="452"/>
      <c r="C259" s="394" t="s">
        <v>170</v>
      </c>
      <c r="D259" s="349"/>
      <c r="E259" s="511"/>
      <c r="F259" s="298" t="str">
        <f>"(Line "&amp;A258&amp;" / Line "&amp;A256&amp;")"</f>
        <v>(Line 154 / Line 152)</v>
      </c>
      <c r="G259" s="380"/>
      <c r="H259" s="744">
        <f>H258/H256</f>
        <v>0.99433857975583206</v>
      </c>
      <c r="J259" s="576"/>
      <c r="K259" s="576"/>
    </row>
    <row r="260" spans="1:11" ht="20">
      <c r="A260" s="452">
        <f>+A259+1</f>
        <v>156</v>
      </c>
      <c r="B260" s="452"/>
      <c r="C260" s="395" t="s">
        <v>171</v>
      </c>
      <c r="D260" s="512"/>
      <c r="E260" s="514"/>
      <c r="F260" s="297" t="str">
        <f>"(Line "&amp;A253&amp;")"</f>
        <v>(Line 151)</v>
      </c>
      <c r="G260" s="374"/>
      <c r="H260" s="309">
        <f>H253</f>
        <v>45338226.010847002</v>
      </c>
      <c r="I260" s="576"/>
      <c r="J260" s="576"/>
      <c r="K260" s="576"/>
    </row>
    <row r="261" spans="1:11" ht="20">
      <c r="A261" s="452">
        <f>+A260+1</f>
        <v>157</v>
      </c>
      <c r="B261" s="452"/>
      <c r="C261" s="413" t="s">
        <v>172</v>
      </c>
      <c r="D261" s="349"/>
      <c r="E261" s="511"/>
      <c r="F261" s="298" t="str">
        <f>"(Line "&amp;A259&amp;" * Line "&amp;A260&amp;")"</f>
        <v>(Line 155 * Line 156)</v>
      </c>
      <c r="G261" s="380"/>
      <c r="H261" s="625">
        <f>H259*H260</f>
        <v>45081547.260274529</v>
      </c>
      <c r="I261" s="932"/>
      <c r="J261" s="576"/>
      <c r="K261" s="576"/>
    </row>
    <row r="262" spans="1:11" ht="20">
      <c r="A262" s="406"/>
      <c r="B262" s="359"/>
      <c r="C262" s="394"/>
      <c r="D262" s="356"/>
      <c r="E262" s="303"/>
      <c r="F262" s="335"/>
      <c r="G262" s="319"/>
      <c r="H262" s="748"/>
      <c r="J262" s="576"/>
      <c r="K262" s="576"/>
    </row>
    <row r="263" spans="1:11" ht="20">
      <c r="A263" s="406"/>
      <c r="B263" s="515" t="s">
        <v>173</v>
      </c>
      <c r="C263" s="394"/>
      <c r="D263" s="356"/>
      <c r="E263" s="303"/>
      <c r="F263" s="335"/>
      <c r="G263" s="319"/>
      <c r="H263" s="748"/>
      <c r="J263" s="576"/>
      <c r="K263" s="576"/>
    </row>
    <row r="264" spans="1:11" ht="20">
      <c r="A264" s="372">
        <f>+A261+1</f>
        <v>158</v>
      </c>
      <c r="B264" s="296"/>
      <c r="C264" s="515" t="s">
        <v>174</v>
      </c>
      <c r="D264" s="516"/>
      <c r="E264" s="361"/>
      <c r="F264" s="293" t="str">
        <f>"(Attachment 3, Line "&amp;'3 - Revenue Credits'!A34&amp;")"</f>
        <v>(Attachment 3, Line 17)</v>
      </c>
      <c r="G264" s="319"/>
      <c r="H264" s="305">
        <f>+'3 - Revenue Credits'!D34</f>
        <v>-1984783</v>
      </c>
      <c r="J264" s="576"/>
      <c r="K264" s="576"/>
    </row>
    <row r="265" spans="1:11" ht="20.5" thickBot="1">
      <c r="A265" s="359"/>
      <c r="B265" s="359"/>
      <c r="C265" s="288"/>
      <c r="D265" s="288"/>
      <c r="F265" s="517"/>
      <c r="G265" s="319"/>
      <c r="H265" s="748"/>
      <c r="J265" s="576"/>
      <c r="K265" s="576"/>
    </row>
    <row r="266" spans="1:11" s="17" customFormat="1" ht="20.5" thickBot="1">
      <c r="A266" s="518">
        <f>+A264+1</f>
        <v>159</v>
      </c>
      <c r="B266" s="519"/>
      <c r="C266" s="520" t="s">
        <v>175</v>
      </c>
      <c r="D266" s="327"/>
      <c r="E266" s="521"/>
      <c r="F266" s="522" t="str">
        <f>"(Line "&amp;A261&amp;" + Line "&amp;A264&amp;")"</f>
        <v>(Line 157 + Line 158)</v>
      </c>
      <c r="G266" s="523"/>
      <c r="H266" s="755">
        <f>H261+H264</f>
        <v>43096764.260274529</v>
      </c>
      <c r="J266" s="576"/>
      <c r="K266" s="576"/>
    </row>
    <row r="267" spans="1:11" s="17" customFormat="1" ht="20">
      <c r="A267" s="510"/>
      <c r="B267" s="433"/>
      <c r="C267" s="493"/>
      <c r="D267" s="782"/>
      <c r="E267" s="432"/>
      <c r="F267" s="461"/>
      <c r="G267" s="477"/>
      <c r="H267" s="625"/>
      <c r="J267" s="576"/>
      <c r="K267" s="576"/>
    </row>
    <row r="268" spans="1:11" s="17" customFormat="1" ht="20">
      <c r="A268" s="440" t="s">
        <v>176</v>
      </c>
      <c r="B268" s="441"/>
      <c r="C268" s="442"/>
      <c r="D268" s="443"/>
      <c r="E268" s="444"/>
      <c r="F268" s="304"/>
      <c r="G268" s="304"/>
      <c r="H268" s="290"/>
      <c r="J268" s="576"/>
      <c r="K268" s="576"/>
    </row>
    <row r="269" spans="1:11" ht="20">
      <c r="A269" s="406"/>
      <c r="B269" s="359"/>
      <c r="C269" s="288"/>
      <c r="D269" s="288"/>
      <c r="F269" s="319"/>
      <c r="G269" s="319"/>
      <c r="H269" s="748"/>
      <c r="J269" s="576"/>
      <c r="K269" s="576"/>
    </row>
    <row r="270" spans="1:11" ht="20">
      <c r="A270" s="372"/>
      <c r="B270" s="347" t="s">
        <v>177</v>
      </c>
      <c r="C270" s="287"/>
      <c r="D270" s="288"/>
      <c r="F270" s="335"/>
      <c r="G270" s="319"/>
      <c r="H270" s="748"/>
      <c r="J270" s="576"/>
      <c r="K270" s="576"/>
    </row>
    <row r="271" spans="1:11" ht="20">
      <c r="A271" s="372">
        <f>+A266+1</f>
        <v>160</v>
      </c>
      <c r="B271" s="372"/>
      <c r="C271" s="288" t="str">
        <f>+C260</f>
        <v>Gross Revenue Requirement</v>
      </c>
      <c r="D271" s="288"/>
      <c r="F271" s="335" t="str">
        <f>"(Line "&amp;A253&amp;")"</f>
        <v>(Line 151)</v>
      </c>
      <c r="G271" s="319"/>
      <c r="H271" s="625">
        <f>+H253</f>
        <v>45338226.010847002</v>
      </c>
      <c r="J271" s="576"/>
      <c r="K271" s="576"/>
    </row>
    <row r="272" spans="1:11" ht="20">
      <c r="A272" s="372">
        <f>+A271+1</f>
        <v>161</v>
      </c>
      <c r="B272" s="372"/>
      <c r="C272" s="288" t="s">
        <v>178</v>
      </c>
      <c r="D272" s="288"/>
      <c r="F272" s="335" t="str">
        <f>"(Line "&amp;A33&amp;" + Line "&amp;A46&amp;" + Line "&amp;A68&amp;")"</f>
        <v>(Line 13 + Line 21 + Line 32)</v>
      </c>
      <c r="G272" s="319"/>
      <c r="H272" s="625">
        <f>+H33+H46+H68</f>
        <v>223255588.42893565</v>
      </c>
      <c r="J272" s="576"/>
      <c r="K272" s="576"/>
    </row>
    <row r="273" spans="1:11" ht="20">
      <c r="A273" s="372">
        <f>+A272+1</f>
        <v>162</v>
      </c>
      <c r="B273" s="372"/>
      <c r="C273" s="288" t="s">
        <v>179</v>
      </c>
      <c r="D273" s="288"/>
      <c r="F273" s="335" t="str">
        <f>"(Line "&amp;A271&amp;" / Line "&amp;A272&amp;")"</f>
        <v>(Line 160 / Line 161)</v>
      </c>
      <c r="G273" s="319"/>
      <c r="H273" s="756">
        <f>H271/H272</f>
        <v>0.20307767581494868</v>
      </c>
      <c r="J273" s="576"/>
      <c r="K273" s="576"/>
    </row>
    <row r="274" spans="1:11" ht="20">
      <c r="A274" s="372">
        <f>+A273+1</f>
        <v>163</v>
      </c>
      <c r="B274" s="372"/>
      <c r="C274" s="288" t="s">
        <v>180</v>
      </c>
      <c r="D274" s="288"/>
      <c r="F274" s="335" t="str">
        <f>"(Line "&amp;A271&amp;" - Line "&amp;A149&amp;") / Line "&amp;A272</f>
        <v>(Line 160 - Line 79) / Line 161</v>
      </c>
      <c r="G274" s="319"/>
      <c r="H274" s="756">
        <f>(H271-H149)/H272</f>
        <v>0.1630929489533762</v>
      </c>
      <c r="J274" s="576"/>
      <c r="K274" s="576"/>
    </row>
    <row r="275" spans="1:11" ht="20">
      <c r="A275" s="372">
        <f>+A274+1</f>
        <v>164</v>
      </c>
      <c r="B275" s="372"/>
      <c r="C275" s="288" t="s">
        <v>181</v>
      </c>
      <c r="D275" s="288"/>
      <c r="E275" s="390"/>
      <c r="F275" s="335" t="str">
        <f>"(Line "&amp;A271&amp;" - Line "&amp;A149&amp;" - Line "&amp;A250&amp;" - Line "&amp;A251&amp;") / Line "&amp;A272</f>
        <v>(Line 160 - Line 79 - Line 149 - Line 150) / Line 161</v>
      </c>
      <c r="G275" s="319"/>
      <c r="H275" s="756">
        <f>(H271-H149-H250-H251)/H272</f>
        <v>0.12119343226202267</v>
      </c>
      <c r="J275" s="576"/>
      <c r="K275" s="576"/>
    </row>
    <row r="276" spans="1:11" ht="20">
      <c r="A276" s="372"/>
      <c r="B276" s="372"/>
      <c r="C276" s="288"/>
      <c r="D276" s="288"/>
      <c r="F276" s="335"/>
      <c r="G276" s="319"/>
      <c r="H276" s="748"/>
      <c r="J276" s="576"/>
      <c r="K276" s="576"/>
    </row>
    <row r="277" spans="1:11" ht="20">
      <c r="A277" s="372">
        <f>+A275+1</f>
        <v>165</v>
      </c>
      <c r="B277" s="372"/>
      <c r="C277" s="347" t="s">
        <v>175</v>
      </c>
      <c r="D277" s="288"/>
      <c r="E277" s="390"/>
      <c r="F277" s="335" t="str">
        <f>"(Line "&amp;A266&amp;")"</f>
        <v>(Line 159)</v>
      </c>
      <c r="G277" s="319"/>
      <c r="H277" s="625">
        <f>H266</f>
        <v>43096764.260274529</v>
      </c>
      <c r="J277" s="576"/>
      <c r="K277" s="576"/>
    </row>
    <row r="278" spans="1:11" ht="20">
      <c r="A278" s="372">
        <f t="shared" si="6" ref="A278:A283">+A277+1</f>
        <v>166</v>
      </c>
      <c r="B278" s="372"/>
      <c r="C278" s="288" t="s">
        <v>182</v>
      </c>
      <c r="D278" s="288"/>
      <c r="E278" s="361" t="str">
        <f>"(Note "&amp;B$311&amp;")"</f>
        <v>(Note P)</v>
      </c>
      <c r="F278" s="293" t="str">
        <f>"(Attachment 6A, Line "&amp;'6A - NITS True-Up '!B41&amp;")"</f>
        <v>(Attachment 6A, Line F)</v>
      </c>
      <c r="G278" s="319"/>
      <c r="H278" s="625">
        <f>'6A - NITS True-Up '!I41</f>
        <v>0</v>
      </c>
      <c r="J278" s="576"/>
      <c r="K278" s="576"/>
    </row>
    <row r="279" spans="1:11" ht="20">
      <c r="A279" s="372">
        <f>+A278+1</f>
        <v>167</v>
      </c>
      <c r="B279" s="372"/>
      <c r="C279" s="288" t="s">
        <v>183</v>
      </c>
      <c r="D279" s="288"/>
      <c r="E279" s="361"/>
      <c r="F279" s="293" t="str">
        <f>"(Attachment 11, Line "&amp;'11 - Corrections'!A29&amp;")"</f>
        <v>(Attachment 11, Line 11)</v>
      </c>
      <c r="G279" s="319"/>
      <c r="H279" s="625">
        <f>+'11 - Corrections'!F29</f>
        <v>0</v>
      </c>
      <c r="J279" s="576"/>
      <c r="K279" s="576"/>
    </row>
    <row r="280" spans="1:11" ht="23.25" customHeight="1">
      <c r="A280" s="372">
        <f>+A279+1</f>
        <v>168</v>
      </c>
      <c r="B280" s="372"/>
      <c r="C280" s="288" t="s">
        <v>184</v>
      </c>
      <c r="D280" s="288"/>
      <c r="E280" s="361" t="str">
        <f>"(Note "&amp;B$312&amp;")"</f>
        <v>(Note Q)</v>
      </c>
      <c r="F280" s="293" t="str">
        <f>"(Attachment 7A, Line "&amp;'7A - Project ROE Adder'!A18&amp;")"</f>
        <v>(Attachment 7A, Line 9)</v>
      </c>
      <c r="G280" s="335"/>
      <c r="H280" s="625">
        <f>+'7A - Project ROE Adder'!E18</f>
        <v>0</v>
      </c>
      <c r="J280" s="576"/>
      <c r="K280" s="576"/>
    </row>
    <row r="281" spans="1:11" ht="20">
      <c r="A281" s="372">
        <f>+A280+1</f>
        <v>169</v>
      </c>
      <c r="B281" s="372"/>
      <c r="C281" s="288" t="s">
        <v>810</v>
      </c>
      <c r="D281" s="288"/>
      <c r="E281" s="361" t="str">
        <f>"(Note "&amp;B$313&amp;")"</f>
        <v>(Note R)</v>
      </c>
      <c r="F281" s="293" t="str">
        <f>"(Attachment 7B, Line "&amp;'7B - Schedule 12 Projects'!A28&amp;")"</f>
        <v>(Attachment 7B, Line 12)</v>
      </c>
      <c r="G281" s="335"/>
      <c r="H281" s="625">
        <f>+'7B - Schedule 12 Projects'!G28*-1</f>
        <v>-132853.43947522558</v>
      </c>
      <c r="J281" s="576"/>
      <c r="K281" s="576"/>
    </row>
    <row r="282" spans="1:11" ht="20">
      <c r="A282" s="372">
        <f>+A281+1</f>
        <v>170</v>
      </c>
      <c r="B282" s="372"/>
      <c r="C282" s="396" t="s">
        <v>185</v>
      </c>
      <c r="D282" s="724"/>
      <c r="E282" s="375" t="str">
        <f>"(Note "&amp;B$314&amp;")"</f>
        <v>(Note S)</v>
      </c>
      <c r="F282" s="297" t="str">
        <f>"(Attachment 4, Line "&amp;'4 - Cost Support'!A175&amp;")"</f>
        <v>(Attachment 4, Line 71)</v>
      </c>
      <c r="G282" s="374"/>
      <c r="H282" s="757">
        <f>+'4 - Cost Support'!S175</f>
        <v>0</v>
      </c>
      <c r="J282" s="576"/>
      <c r="K282" s="576"/>
    </row>
    <row r="283" spans="1:11" ht="20">
      <c r="A283" s="372">
        <f>+A282+1</f>
        <v>171</v>
      </c>
      <c r="B283" s="372"/>
      <c r="C283" s="347" t="s">
        <v>186</v>
      </c>
      <c r="D283" s="288"/>
      <c r="E283" s="390"/>
      <c r="F283" s="335" t="str">
        <f>"(Line "&amp;A277&amp;" + "&amp;A278&amp;" + "&amp;A280&amp;" + "&amp;A281&amp;" + "&amp;A282&amp;")"</f>
        <v>(Line 165 + 166 + 168 + 169 + 170)</v>
      </c>
      <c r="G283" s="319"/>
      <c r="H283" s="625">
        <f>(H277+H278+H280+H281+H282)</f>
        <v>42963910.820799306</v>
      </c>
      <c r="I283" s="1031"/>
      <c r="J283" s="576"/>
      <c r="K283" s="576"/>
    </row>
    <row r="284" spans="1:11" ht="20">
      <c r="A284" s="372"/>
      <c r="B284" s="359"/>
      <c r="C284" s="288"/>
      <c r="D284" s="288"/>
      <c r="F284" s="335"/>
      <c r="G284" s="319"/>
      <c r="H284" s="758"/>
      <c r="J284" s="576"/>
      <c r="K284" s="576"/>
    </row>
    <row r="285" spans="1:11" ht="20">
      <c r="A285" s="372"/>
      <c r="B285" s="515" t="s">
        <v>187</v>
      </c>
      <c r="C285" s="288"/>
      <c r="D285" s="288"/>
      <c r="F285" s="335"/>
      <c r="G285" s="319"/>
      <c r="H285" s="758"/>
      <c r="J285" s="576"/>
      <c r="K285" s="576"/>
    </row>
    <row r="286" spans="1:11" ht="20">
      <c r="A286" s="372">
        <f>+A283+1</f>
        <v>172</v>
      </c>
      <c r="B286" s="359"/>
      <c r="C286" s="335" t="s">
        <v>188</v>
      </c>
      <c r="E286" s="361" t="str">
        <f>"(Note "&amp;B$303&amp;")"</f>
        <v>(Note H)</v>
      </c>
      <c r="F286" s="293" t="str">
        <f>"(Attachment 4, Line "&amp;'4 - Cost Support'!A183&amp;")"</f>
        <v>(Attachment 4, Line 72)</v>
      </c>
      <c r="G286" s="288"/>
      <c r="H286" s="936">
        <f>+'4 - Cost Support'!S183</f>
        <v>3258.60</v>
      </c>
      <c r="J286" s="576"/>
      <c r="K286" s="576"/>
    </row>
    <row r="287" spans="1:11" ht="20">
      <c r="A287" s="372">
        <f>+A286+1</f>
        <v>173</v>
      </c>
      <c r="B287" s="359"/>
      <c r="C287" s="319" t="s">
        <v>189</v>
      </c>
      <c r="D287" s="524"/>
      <c r="E287" s="525"/>
      <c r="F287" s="298" t="str">
        <f>"(Line "&amp;A283&amp;" / "&amp;A286&amp;")"</f>
        <v>(Line 171 / 172)</v>
      </c>
      <c r="G287" s="526"/>
      <c r="H287" s="783">
        <f>H283/H286</f>
        <v>13184.775922420458</v>
      </c>
      <c r="J287" s="576"/>
      <c r="K287" s="576"/>
    </row>
    <row r="288" spans="1:11" ht="20.5" thickBot="1">
      <c r="A288" s="359"/>
      <c r="B288" s="359"/>
      <c r="E288" s="527"/>
      <c r="F288" s="332"/>
      <c r="G288" s="526"/>
      <c r="H288" s="328"/>
      <c r="J288" s="576"/>
      <c r="K288" s="576"/>
    </row>
    <row r="289" spans="1:11" s="15" customFormat="1" ht="20">
      <c r="A289" s="944">
        <f>+A287+1</f>
        <v>174</v>
      </c>
      <c r="B289" s="945"/>
      <c r="C289" s="946" t="s">
        <v>190</v>
      </c>
      <c r="D289" s="945"/>
      <c r="E289" s="945"/>
      <c r="F289" s="947" t="str">
        <f>"(Line "&amp;A287&amp;")"</f>
        <v>(Line 173)</v>
      </c>
      <c r="G289" s="945"/>
      <c r="H289" s="948">
        <f>H287</f>
        <v>13184.775922420458</v>
      </c>
      <c r="J289" s="576"/>
      <c r="K289" s="576"/>
    </row>
    <row r="290" spans="1:11" s="15" customFormat="1" ht="20">
      <c r="A290" s="949">
        <f>+A289+1</f>
        <v>175</v>
      </c>
      <c r="B290" s="510"/>
      <c r="C290" s="493" t="s">
        <v>191</v>
      </c>
      <c r="D290" s="510"/>
      <c r="E290" s="510"/>
      <c r="F290" s="468" t="str">
        <f>"(Line "&amp;A289&amp;" / 12)"</f>
        <v>(Line 174 / 12)</v>
      </c>
      <c r="G290" s="510"/>
      <c r="H290" s="950">
        <f>+H289/12</f>
        <v>1098.7313268683715</v>
      </c>
      <c r="J290" s="576"/>
      <c r="K290" s="576"/>
    </row>
    <row r="291" spans="1:11" s="15" customFormat="1" ht="20">
      <c r="A291" s="949">
        <f t="shared" si="7" ref="A291:A292">+A290+1</f>
        <v>176</v>
      </c>
      <c r="B291" s="510"/>
      <c r="C291" s="493" t="s">
        <v>192</v>
      </c>
      <c r="D291" s="510"/>
      <c r="E291" s="510"/>
      <c r="F291" s="468" t="str">
        <f>"(Line "&amp;A289&amp;" / 52)"</f>
        <v>(Line 174 / 52)</v>
      </c>
      <c r="G291" s="510"/>
      <c r="H291" s="950">
        <f>+H289/52</f>
        <v>253.55338312347035</v>
      </c>
      <c r="J291" s="576"/>
      <c r="K291" s="576"/>
    </row>
    <row r="292" spans="1:11" s="15" customFormat="1" ht="20">
      <c r="A292" s="949">
        <f>+A291+1</f>
        <v>177</v>
      </c>
      <c r="B292" s="510"/>
      <c r="C292" s="493" t="s">
        <v>193</v>
      </c>
      <c r="D292" s="510"/>
      <c r="E292" s="510"/>
      <c r="F292" s="468" t="str">
        <f>"(Line "&amp;A291&amp;" / 5)"</f>
        <v>(Line 176 / 5)</v>
      </c>
      <c r="G292" s="510"/>
      <c r="H292" s="950">
        <f>+H291/5</f>
        <v>50.710676624694074</v>
      </c>
      <c r="J292" s="576"/>
      <c r="K292" s="576"/>
    </row>
    <row r="293" spans="1:11" s="15" customFormat="1" ht="20.5" thickBot="1">
      <c r="A293" s="951">
        <f>+A292+1</f>
        <v>178</v>
      </c>
      <c r="B293" s="952"/>
      <c r="C293" s="953" t="s">
        <v>194</v>
      </c>
      <c r="D293" s="952"/>
      <c r="E293" s="952"/>
      <c r="F293" s="955" t="str">
        <f>"(Line "&amp;A291&amp;" / 7)"</f>
        <v>(Line 176 / 7)</v>
      </c>
      <c r="G293" s="952"/>
      <c r="H293" s="954">
        <f>+H291/7</f>
        <v>36.221911874781476</v>
      </c>
      <c r="J293" s="576"/>
      <c r="K293" s="576"/>
    </row>
    <row r="294" spans="1:11" s="15" customFormat="1" ht="20">
      <c r="A294" s="510"/>
      <c r="B294" s="510"/>
      <c r="C294" s="493"/>
      <c r="D294" s="510"/>
      <c r="E294" s="510"/>
      <c r="F294" s="510"/>
      <c r="G294" s="510"/>
      <c r="H294" s="783"/>
      <c r="J294" s="576"/>
      <c r="K294" s="576"/>
    </row>
    <row r="295" spans="1:8" s="15" customFormat="1" ht="20">
      <c r="A295" s="440" t="s">
        <v>4</v>
      </c>
      <c r="B295" s="441"/>
      <c r="C295" s="442"/>
      <c r="D295" s="443"/>
      <c r="E295" s="444"/>
      <c r="F295" s="304"/>
      <c r="G295" s="304"/>
      <c r="H295" s="290"/>
    </row>
    <row r="296" spans="1:8" s="14" customFormat="1" ht="46.5" customHeight="1">
      <c r="A296" s="330"/>
      <c r="B296" s="452" t="s">
        <v>195</v>
      </c>
      <c r="C296" s="356" t="s">
        <v>196</v>
      </c>
      <c r="D296" s="356"/>
      <c r="E296" s="525"/>
      <c r="F296" s="332"/>
      <c r="G296" s="332"/>
      <c r="H296" s="816"/>
    </row>
    <row r="297" spans="1:8" s="14" customFormat="1" ht="38.25" customHeight="1">
      <c r="A297" s="330"/>
      <c r="B297" s="1074" t="s">
        <v>197</v>
      </c>
      <c r="C297" s="1141" t="s">
        <v>840</v>
      </c>
      <c r="D297" s="1141"/>
      <c r="E297" s="1141"/>
      <c r="F297" s="1141"/>
      <c r="G297" s="1141"/>
      <c r="H297" s="1141"/>
    </row>
    <row r="298" spans="1:8" s="14" customFormat="1" ht="28.15" customHeight="1">
      <c r="A298" s="330"/>
      <c r="B298" s="1074" t="s">
        <v>198</v>
      </c>
      <c r="C298" s="486" t="s">
        <v>836</v>
      </c>
      <c r="D298" s="356"/>
      <c r="E298" s="525"/>
      <c r="F298" s="332"/>
      <c r="G298" s="332"/>
      <c r="H298" s="329"/>
    </row>
    <row r="299" spans="1:8" s="14" customFormat="1" ht="28.15" customHeight="1">
      <c r="A299" s="330"/>
      <c r="B299" s="1074" t="s">
        <v>199</v>
      </c>
      <c r="C299" s="335" t="s">
        <v>200</v>
      </c>
      <c r="D299" s="356"/>
      <c r="E299" s="525"/>
      <c r="F299" s="332"/>
      <c r="G299" s="332"/>
      <c r="H299" s="329"/>
    </row>
    <row r="300" spans="1:8" s="14" customFormat="1" ht="38.25" customHeight="1">
      <c r="A300" s="330"/>
      <c r="B300" s="1074" t="s">
        <v>201</v>
      </c>
      <c r="C300" s="1144" t="s">
        <v>202</v>
      </c>
      <c r="D300" s="1144"/>
      <c r="E300" s="1144"/>
      <c r="F300" s="1144"/>
      <c r="G300" s="1144"/>
      <c r="H300" s="1144"/>
    </row>
    <row r="301" spans="1:9" s="14" customFormat="1" ht="28.15" customHeight="1">
      <c r="A301" s="330"/>
      <c r="B301" s="1074" t="s">
        <v>203</v>
      </c>
      <c r="C301" s="486" t="s">
        <v>204</v>
      </c>
      <c r="D301" s="356"/>
      <c r="E301" s="525"/>
      <c r="F301" s="332"/>
      <c r="G301" s="332"/>
      <c r="H301" s="332"/>
      <c r="I301" s="329"/>
    </row>
    <row r="302" spans="1:8" s="14" customFormat="1" ht="192.75" customHeight="1">
      <c r="A302" s="330"/>
      <c r="B302" s="1074" t="s">
        <v>205</v>
      </c>
      <c r="C302" s="1142" t="s">
        <v>1017</v>
      </c>
      <c r="D302" s="1142"/>
      <c r="E302" s="1142"/>
      <c r="F302" s="1142"/>
      <c r="G302" s="1142"/>
      <c r="H302" s="1142"/>
    </row>
    <row r="303" spans="1:8" s="14" customFormat="1" ht="65.25" customHeight="1">
      <c r="A303" s="330"/>
      <c r="B303" s="1074" t="s">
        <v>206</v>
      </c>
      <c r="C303" s="1142" t="s">
        <v>845</v>
      </c>
      <c r="D303" s="1142"/>
      <c r="E303" s="1142"/>
      <c r="F303" s="1142"/>
      <c r="G303" s="1142"/>
      <c r="H303" s="1142"/>
    </row>
    <row r="304" spans="1:8" s="13" customFormat="1" ht="28.15" customHeight="1">
      <c r="A304" s="372"/>
      <c r="B304" s="1076" t="s">
        <v>207</v>
      </c>
      <c r="C304" s="335" t="s">
        <v>831</v>
      </c>
      <c r="D304" s="335"/>
      <c r="E304" s="525"/>
      <c r="F304" s="332"/>
      <c r="G304" s="332"/>
      <c r="H304" s="329"/>
    </row>
    <row r="305" spans="1:10" s="14" customFormat="1" ht="150.75" customHeight="1">
      <c r="A305" s="529"/>
      <c r="B305" s="1074" t="s">
        <v>208</v>
      </c>
      <c r="C305" s="1142" t="s">
        <v>833</v>
      </c>
      <c r="D305" s="1142"/>
      <c r="E305" s="1142"/>
      <c r="F305" s="1142"/>
      <c r="G305" s="1142"/>
      <c r="H305" s="1142"/>
      <c r="I305" s="759"/>
      <c r="J305" s="759"/>
    </row>
    <row r="306" spans="1:8" s="13" customFormat="1" ht="47.25" customHeight="1">
      <c r="A306" s="331"/>
      <c r="B306" s="1077" t="s">
        <v>209</v>
      </c>
      <c r="C306" s="1141" t="s">
        <v>210</v>
      </c>
      <c r="D306" s="1141"/>
      <c r="E306" s="1141"/>
      <c r="F306" s="1141"/>
      <c r="G306" s="1141"/>
      <c r="H306" s="1141"/>
    </row>
    <row r="307" spans="1:8" s="14" customFormat="1" ht="28.15" customHeight="1">
      <c r="A307" s="330"/>
      <c r="B307" s="1074" t="s">
        <v>211</v>
      </c>
      <c r="C307" s="356" t="s">
        <v>212</v>
      </c>
      <c r="D307" s="356"/>
      <c r="E307" s="525"/>
      <c r="F307" s="332"/>
      <c r="G307" s="332"/>
      <c r="H307" s="329"/>
    </row>
    <row r="308" spans="2:8" s="13" customFormat="1" ht="28.15" customHeight="1">
      <c r="B308" s="1074" t="s">
        <v>213</v>
      </c>
      <c r="C308" s="356" t="s">
        <v>214</v>
      </c>
      <c r="D308" s="356"/>
      <c r="E308" s="525"/>
      <c r="F308" s="332"/>
      <c r="G308" s="332"/>
      <c r="H308" s="332"/>
    </row>
    <row r="309" spans="2:8" s="13" customFormat="1" ht="72.75" customHeight="1">
      <c r="B309" s="1077" t="s">
        <v>215</v>
      </c>
      <c r="C309" s="1141" t="s">
        <v>841</v>
      </c>
      <c r="D309" s="1141"/>
      <c r="E309" s="1141"/>
      <c r="F309" s="1141"/>
      <c r="G309" s="1141"/>
      <c r="H309" s="1141"/>
    </row>
    <row r="310" spans="2:8" s="13" customFormat="1" ht="113.25" customHeight="1">
      <c r="B310" s="1075" t="s">
        <v>216</v>
      </c>
      <c r="C310" s="1141" t="s">
        <v>976</v>
      </c>
      <c r="D310" s="1141"/>
      <c r="E310" s="1141"/>
      <c r="F310" s="1141"/>
      <c r="G310" s="1141"/>
      <c r="H310" s="1141"/>
    </row>
    <row r="311" spans="2:8" s="13" customFormat="1" ht="52.5" customHeight="1">
      <c r="B311" s="1075" t="s">
        <v>217</v>
      </c>
      <c r="C311" s="1141" t="s">
        <v>1018</v>
      </c>
      <c r="D311" s="1141"/>
      <c r="E311" s="1141"/>
      <c r="F311" s="1141"/>
      <c r="G311" s="1141"/>
      <c r="H311" s="1141"/>
    </row>
    <row r="312" spans="1:6" ht="30.65" customHeight="1">
      <c r="A312" s="12"/>
      <c r="B312" s="1075" t="s">
        <v>218</v>
      </c>
      <c r="C312" s="335" t="s">
        <v>832</v>
      </c>
      <c r="D312" s="335"/>
      <c r="E312" s="390"/>
      <c r="F312" s="287"/>
    </row>
    <row r="313" spans="2:8" ht="63.75" customHeight="1">
      <c r="B313" s="1075" t="s">
        <v>219</v>
      </c>
      <c r="C313" s="1141" t="s">
        <v>842</v>
      </c>
      <c r="D313" s="1141"/>
      <c r="E313" s="1141"/>
      <c r="F313" s="1141"/>
      <c r="G313" s="1141"/>
      <c r="H313" s="1141"/>
    </row>
    <row r="314" spans="2:6" ht="23.25" customHeight="1">
      <c r="B314" s="1075" t="s">
        <v>220</v>
      </c>
      <c r="C314" s="335" t="s">
        <v>221</v>
      </c>
      <c r="D314" s="335"/>
      <c r="E314" s="390"/>
      <c r="F314" s="287"/>
    </row>
    <row r="315" spans="2:8" ht="44.25" customHeight="1">
      <c r="B315" s="1075" t="s">
        <v>223</v>
      </c>
      <c r="C315" s="1145" t="s">
        <v>977</v>
      </c>
      <c r="D315" s="1145"/>
      <c r="E315" s="1145"/>
      <c r="F315" s="1145"/>
      <c r="G315" s="1145"/>
      <c r="H315" s="1145"/>
    </row>
    <row r="316" spans="1:8" ht="29.25" customHeight="1">
      <c r="A316" s="331"/>
      <c r="B316" s="1075" t="s">
        <v>834</v>
      </c>
      <c r="C316" s="59" t="s">
        <v>835</v>
      </c>
      <c r="D316" s="335"/>
      <c r="E316" s="390"/>
      <c r="F316" s="287"/>
      <c r="G316" s="12"/>
      <c r="H316" s="12"/>
    </row>
    <row r="317" spans="1:8" ht="35.25" customHeight="1">
      <c r="A317" s="331"/>
      <c r="B317" s="1075" t="s">
        <v>837</v>
      </c>
      <c r="C317" s="59" t="s">
        <v>859</v>
      </c>
      <c r="D317" s="335"/>
      <c r="E317" s="390"/>
      <c r="F317" s="287"/>
      <c r="G317" s="12"/>
      <c r="H317" s="12"/>
    </row>
    <row r="318" spans="1:8" ht="48.75" customHeight="1">
      <c r="A318" s="330" t="s">
        <v>222</v>
      </c>
      <c r="B318" s="1075" t="s">
        <v>838</v>
      </c>
      <c r="C318" s="1143" t="s">
        <v>839</v>
      </c>
      <c r="D318" s="1143"/>
      <c r="E318" s="1143"/>
      <c r="F318" s="1143"/>
      <c r="G318" s="1143"/>
      <c r="H318" s="1143"/>
    </row>
    <row r="319" spans="1:8" ht="20">
      <c r="A319" s="331"/>
      <c r="B319" s="1075"/>
      <c r="C319" s="335"/>
      <c r="D319" s="335"/>
      <c r="E319" s="390"/>
      <c r="F319" s="287"/>
      <c r="G319" s="12"/>
      <c r="H319" s="12"/>
    </row>
    <row r="320" spans="1:8" ht="20">
      <c r="A320" s="331"/>
      <c r="B320" s="335"/>
      <c r="C320" s="335"/>
      <c r="D320" s="335"/>
      <c r="E320" s="390"/>
      <c r="F320" s="287"/>
      <c r="G320" s="12"/>
      <c r="H320" s="12"/>
    </row>
    <row r="321" spans="1:8" ht="20">
      <c r="A321" s="331"/>
      <c r="B321" s="335"/>
      <c r="C321" s="335"/>
      <c r="D321" s="335"/>
      <c r="E321" s="390"/>
      <c r="F321" s="287"/>
      <c r="G321" s="12"/>
      <c r="H321" s="12"/>
    </row>
    <row r="322" spans="1:8" ht="20">
      <c r="A322" s="331"/>
      <c r="B322" s="335"/>
      <c r="C322" s="335"/>
      <c r="D322" s="335"/>
      <c r="E322" s="390"/>
      <c r="F322" s="287"/>
      <c r="G322" s="12"/>
      <c r="H322" s="12"/>
    </row>
    <row r="323" spans="1:8" ht="20">
      <c r="A323" s="331"/>
      <c r="B323" s="335"/>
      <c r="C323" s="335"/>
      <c r="D323" s="335"/>
      <c r="E323" s="390"/>
      <c r="F323" s="287"/>
      <c r="G323" s="12"/>
      <c r="H323" s="12"/>
    </row>
    <row r="324" spans="1:8" ht="20">
      <c r="A324" s="331"/>
      <c r="B324" s="335"/>
      <c r="C324" s="335"/>
      <c r="D324" s="335"/>
      <c r="E324" s="390"/>
      <c r="F324" s="287"/>
      <c r="G324" s="12"/>
      <c r="H324" s="12"/>
    </row>
    <row r="325" spans="1:8" ht="20">
      <c r="A325" s="331"/>
      <c r="B325" s="335"/>
      <c r="C325" s="335"/>
      <c r="D325" s="335"/>
      <c r="E325" s="390"/>
      <c r="F325" s="287"/>
      <c r="G325" s="12"/>
      <c r="H325" s="12"/>
    </row>
    <row r="326" spans="1:8" ht="20">
      <c r="A326" s="331"/>
      <c r="B326" s="335"/>
      <c r="C326" s="335"/>
      <c r="D326" s="335"/>
      <c r="E326" s="390"/>
      <c r="F326" s="287"/>
      <c r="G326" s="12"/>
      <c r="H326" s="12"/>
    </row>
    <row r="327" spans="1:8" ht="20">
      <c r="A327" s="331"/>
      <c r="B327" s="335"/>
      <c r="C327" s="335"/>
      <c r="D327" s="335"/>
      <c r="E327" s="390"/>
      <c r="F327" s="287"/>
      <c r="G327" s="12"/>
      <c r="H327" s="12"/>
    </row>
    <row r="328" spans="1:8" ht="20">
      <c r="A328" s="331"/>
      <c r="B328" s="335"/>
      <c r="C328" s="335"/>
      <c r="D328" s="335"/>
      <c r="E328" s="390"/>
      <c r="F328" s="287"/>
      <c r="G328" s="12"/>
      <c r="H328" s="12"/>
    </row>
    <row r="329" spans="1:8" ht="20">
      <c r="A329" s="331"/>
      <c r="B329" s="335"/>
      <c r="C329" s="335"/>
      <c r="D329" s="335"/>
      <c r="E329" s="390"/>
      <c r="F329" s="287"/>
      <c r="G329" s="12"/>
      <c r="H329" s="12"/>
    </row>
    <row r="330" spans="1:8" ht="20">
      <c r="A330" s="331"/>
      <c r="B330" s="335"/>
      <c r="C330" s="335"/>
      <c r="D330" s="335"/>
      <c r="E330" s="390"/>
      <c r="F330" s="287"/>
      <c r="G330" s="12"/>
      <c r="H330" s="12"/>
    </row>
    <row r="331" spans="1:8" ht="20">
      <c r="A331" s="331"/>
      <c r="B331" s="335"/>
      <c r="C331" s="335"/>
      <c r="D331" s="335"/>
      <c r="E331" s="390"/>
      <c r="F331" s="287"/>
      <c r="G331" s="12"/>
      <c r="H331" s="12"/>
    </row>
    <row r="332" spans="1:8" ht="20">
      <c r="A332" s="331"/>
      <c r="B332" s="335"/>
      <c r="C332" s="335"/>
      <c r="D332" s="335"/>
      <c r="E332" s="390"/>
      <c r="F332" s="287"/>
      <c r="G332" s="12"/>
      <c r="H332" s="12"/>
    </row>
    <row r="333" spans="1:8" ht="20">
      <c r="A333" s="331"/>
      <c r="B333" s="335"/>
      <c r="C333" s="335"/>
      <c r="D333" s="335"/>
      <c r="E333" s="390"/>
      <c r="F333" s="287"/>
      <c r="G333" s="12"/>
      <c r="H333" s="12"/>
    </row>
    <row r="334" spans="1:8" ht="20">
      <c r="A334" s="331"/>
      <c r="B334" s="335"/>
      <c r="C334" s="335"/>
      <c r="D334" s="335"/>
      <c r="E334" s="390"/>
      <c r="F334" s="287"/>
      <c r="G334" s="12"/>
      <c r="H334" s="12"/>
    </row>
    <row r="335" spans="1:8" ht="20">
      <c r="A335" s="331"/>
      <c r="B335" s="335"/>
      <c r="C335" s="335"/>
      <c r="D335" s="335"/>
      <c r="E335" s="390"/>
      <c r="F335" s="287"/>
      <c r="G335" s="12"/>
      <c r="H335" s="12"/>
    </row>
    <row r="336" spans="1:8" ht="20">
      <c r="A336" s="331"/>
      <c r="B336" s="335"/>
      <c r="C336" s="335"/>
      <c r="D336" s="335"/>
      <c r="E336" s="390"/>
      <c r="F336" s="287"/>
      <c r="G336" s="12"/>
      <c r="H336" s="12"/>
    </row>
    <row r="337" spans="1:8" ht="20">
      <c r="A337" s="331"/>
      <c r="B337" s="335"/>
      <c r="C337" s="335"/>
      <c r="D337" s="335"/>
      <c r="E337" s="390"/>
      <c r="F337" s="287"/>
      <c r="G337" s="12"/>
      <c r="H337" s="12"/>
    </row>
    <row r="338" spans="1:8" ht="20">
      <c r="A338" s="331"/>
      <c r="B338" s="335"/>
      <c r="C338" s="335"/>
      <c r="D338" s="335"/>
      <c r="E338" s="390"/>
      <c r="F338" s="287"/>
      <c r="G338" s="12"/>
      <c r="H338" s="12"/>
    </row>
    <row r="339" spans="1:8" ht="20">
      <c r="A339" s="331"/>
      <c r="B339" s="335"/>
      <c r="C339" s="335"/>
      <c r="D339" s="335"/>
      <c r="E339" s="390"/>
      <c r="F339" s="287"/>
      <c r="G339" s="12"/>
      <c r="H339" s="12"/>
    </row>
    <row r="340" spans="1:8" ht="20">
      <c r="A340" s="331"/>
      <c r="B340" s="335"/>
      <c r="C340" s="335"/>
      <c r="D340" s="335"/>
      <c r="E340" s="390"/>
      <c r="F340" s="287"/>
      <c r="G340" s="12"/>
      <c r="H340" s="12"/>
    </row>
    <row r="341" spans="1:8" ht="20">
      <c r="A341" s="331"/>
      <c r="B341" s="335"/>
      <c r="C341" s="335"/>
      <c r="D341" s="335"/>
      <c r="E341" s="390"/>
      <c r="F341" s="287"/>
      <c r="G341" s="12"/>
      <c r="H341" s="12"/>
    </row>
    <row r="342" spans="1:8" ht="20">
      <c r="A342" s="331"/>
      <c r="B342" s="335"/>
      <c r="C342" s="335"/>
      <c r="D342" s="335"/>
      <c r="E342" s="390"/>
      <c r="F342" s="287"/>
      <c r="G342" s="12"/>
      <c r="H342" s="12"/>
    </row>
    <row r="343" spans="1:8" ht="20">
      <c r="A343" s="331"/>
      <c r="B343" s="335"/>
      <c r="C343" s="335"/>
      <c r="D343" s="335"/>
      <c r="E343" s="390"/>
      <c r="F343" s="287"/>
      <c r="G343" s="12"/>
      <c r="H343" s="12"/>
    </row>
    <row r="344" spans="1:8" ht="20">
      <c r="A344" s="331"/>
      <c r="B344" s="335"/>
      <c r="C344" s="335"/>
      <c r="D344" s="335"/>
      <c r="E344" s="390"/>
      <c r="F344" s="287"/>
      <c r="G344" s="12"/>
      <c r="H344" s="12"/>
    </row>
    <row r="345" spans="1:8" ht="20">
      <c r="A345" s="331"/>
      <c r="B345" s="335"/>
      <c r="C345" s="335"/>
      <c r="D345" s="335"/>
      <c r="E345" s="390"/>
      <c r="F345" s="287"/>
      <c r="G345" s="12"/>
      <c r="H345" s="12"/>
    </row>
    <row r="346" spans="1:8" ht="20">
      <c r="A346" s="331"/>
      <c r="B346" s="335"/>
      <c r="C346" s="335"/>
      <c r="D346" s="335"/>
      <c r="E346" s="390"/>
      <c r="F346" s="287"/>
      <c r="G346" s="12"/>
      <c r="H346" s="12"/>
    </row>
    <row r="347" spans="1:8" ht="20">
      <c r="A347" s="331"/>
      <c r="B347" s="335"/>
      <c r="C347" s="335"/>
      <c r="D347" s="335"/>
      <c r="E347" s="390"/>
      <c r="F347" s="287"/>
      <c r="G347" s="12"/>
      <c r="H347" s="12"/>
    </row>
    <row r="348" spans="1:8" ht="20">
      <c r="A348" s="331"/>
      <c r="B348" s="335"/>
      <c r="C348" s="335"/>
      <c r="D348" s="335"/>
      <c r="E348" s="390"/>
      <c r="F348" s="287"/>
      <c r="G348" s="12"/>
      <c r="H348" s="12"/>
    </row>
    <row r="349" spans="1:8" ht="20">
      <c r="A349" s="331"/>
      <c r="B349" s="335"/>
      <c r="C349" s="335"/>
      <c r="D349" s="335"/>
      <c r="E349" s="390"/>
      <c r="F349" s="287"/>
      <c r="G349" s="12"/>
      <c r="H349" s="12"/>
    </row>
    <row r="350" spans="1:8" ht="20">
      <c r="A350" s="331"/>
      <c r="B350" s="335"/>
      <c r="C350" s="335"/>
      <c r="D350" s="335"/>
      <c r="E350" s="390"/>
      <c r="F350" s="287"/>
      <c r="G350" s="12"/>
      <c r="H350" s="12"/>
    </row>
    <row r="351" spans="1:8" ht="20">
      <c r="A351" s="331"/>
      <c r="B351" s="335"/>
      <c r="C351" s="335"/>
      <c r="D351" s="335"/>
      <c r="E351" s="390"/>
      <c r="F351" s="287"/>
      <c r="G351" s="12"/>
      <c r="H351" s="12"/>
    </row>
    <row r="352" spans="1:8" ht="20">
      <c r="A352" s="331"/>
      <c r="B352" s="335"/>
      <c r="C352" s="335"/>
      <c r="D352" s="335"/>
      <c r="E352" s="390"/>
      <c r="F352" s="287"/>
      <c r="G352" s="12"/>
      <c r="H352" s="12"/>
    </row>
    <row r="353" spans="1:8" ht="20">
      <c r="A353" s="331"/>
      <c r="B353" s="335"/>
      <c r="C353" s="335"/>
      <c r="D353" s="335"/>
      <c r="E353" s="390"/>
      <c r="F353" s="287"/>
      <c r="G353" s="12"/>
      <c r="H353" s="12"/>
    </row>
    <row r="354" spans="1:8" ht="20">
      <c r="A354" s="331"/>
      <c r="B354" s="335"/>
      <c r="C354" s="335"/>
      <c r="D354" s="335"/>
      <c r="E354" s="390"/>
      <c r="F354" s="287"/>
      <c r="G354" s="12"/>
      <c r="H354" s="12"/>
    </row>
    <row r="355" spans="1:8" ht="20">
      <c r="A355" s="331"/>
      <c r="B355" s="335"/>
      <c r="C355" s="335"/>
      <c r="D355" s="335"/>
      <c r="E355" s="390"/>
      <c r="F355" s="287"/>
      <c r="G355" s="12"/>
      <c r="H355" s="12"/>
    </row>
    <row r="356" spans="1:8" ht="20">
      <c r="A356" s="331"/>
      <c r="B356" s="335"/>
      <c r="C356" s="335"/>
      <c r="D356" s="335"/>
      <c r="E356" s="390"/>
      <c r="F356" s="287"/>
      <c r="G356" s="12"/>
      <c r="H356" s="12"/>
    </row>
    <row r="357" spans="1:8" ht="20">
      <c r="A357" s="331"/>
      <c r="B357" s="335"/>
      <c r="C357" s="335"/>
      <c r="D357" s="335"/>
      <c r="E357" s="390"/>
      <c r="F357" s="287"/>
      <c r="G357" s="12"/>
      <c r="H357" s="12"/>
    </row>
    <row r="358" spans="1:8" ht="20">
      <c r="A358" s="331"/>
      <c r="B358" s="335"/>
      <c r="C358" s="335"/>
      <c r="D358" s="335"/>
      <c r="E358" s="390"/>
      <c r="F358" s="287"/>
      <c r="G358" s="12"/>
      <c r="H358" s="12"/>
    </row>
    <row r="359" spans="1:8" ht="20">
      <c r="A359" s="331"/>
      <c r="B359" s="335"/>
      <c r="C359" s="335"/>
      <c r="D359" s="335"/>
      <c r="E359" s="390"/>
      <c r="F359" s="287"/>
      <c r="G359" s="12"/>
      <c r="H359" s="12"/>
    </row>
    <row r="360" spans="1:8" ht="20">
      <c r="A360" s="331"/>
      <c r="B360" s="335"/>
      <c r="C360" s="335"/>
      <c r="D360" s="335"/>
      <c r="E360" s="390"/>
      <c r="F360" s="287"/>
      <c r="G360" s="12"/>
      <c r="H360" s="12"/>
    </row>
    <row r="361" spans="1:8" ht="20">
      <c r="A361" s="331"/>
      <c r="B361" s="335"/>
      <c r="C361" s="335"/>
      <c r="D361" s="335"/>
      <c r="E361" s="390"/>
      <c r="F361" s="287"/>
      <c r="G361" s="12"/>
      <c r="H361" s="12"/>
    </row>
    <row r="362" spans="1:8" ht="20">
      <c r="A362" s="331"/>
      <c r="B362" s="335"/>
      <c r="C362" s="335"/>
      <c r="D362" s="335"/>
      <c r="E362" s="390"/>
      <c r="F362" s="287"/>
      <c r="G362" s="12"/>
      <c r="H362" s="12"/>
    </row>
    <row r="363" spans="1:8" ht="20">
      <c r="A363" s="331"/>
      <c r="B363" s="335"/>
      <c r="C363" s="335"/>
      <c r="D363" s="335"/>
      <c r="E363" s="390"/>
      <c r="F363" s="287"/>
      <c r="G363" s="12"/>
      <c r="H363" s="12"/>
    </row>
    <row r="364" spans="1:8" ht="20">
      <c r="A364" s="331"/>
      <c r="B364" s="335"/>
      <c r="C364" s="335"/>
      <c r="D364" s="335"/>
      <c r="E364" s="390"/>
      <c r="F364" s="287"/>
      <c r="G364" s="12"/>
      <c r="H364" s="12"/>
    </row>
    <row r="365" spans="1:8" ht="20">
      <c r="A365" s="331"/>
      <c r="B365" s="335"/>
      <c r="C365" s="335"/>
      <c r="D365" s="335"/>
      <c r="E365" s="390"/>
      <c r="F365" s="287"/>
      <c r="G365" s="12"/>
      <c r="H365" s="12"/>
    </row>
    <row r="366" spans="1:8" ht="20">
      <c r="A366" s="331"/>
      <c r="B366" s="335"/>
      <c r="C366" s="335"/>
      <c r="D366" s="335"/>
      <c r="E366" s="390"/>
      <c r="F366" s="287"/>
      <c r="G366" s="12"/>
      <c r="H366" s="12"/>
    </row>
    <row r="367" spans="1:8" ht="20">
      <c r="A367" s="331"/>
      <c r="B367" s="335"/>
      <c r="C367" s="335"/>
      <c r="D367" s="335"/>
      <c r="E367" s="390"/>
      <c r="F367" s="287"/>
      <c r="G367" s="12"/>
      <c r="H367" s="12"/>
    </row>
    <row r="368" spans="1:8" ht="20">
      <c r="A368" s="331"/>
      <c r="B368" s="335"/>
      <c r="C368" s="335"/>
      <c r="D368" s="335"/>
      <c r="E368" s="390"/>
      <c r="F368" s="287"/>
      <c r="G368" s="12"/>
      <c r="H368" s="12"/>
    </row>
    <row r="369" spans="1:8" ht="20">
      <c r="A369" s="331"/>
      <c r="B369" s="335"/>
      <c r="C369" s="335"/>
      <c r="D369" s="335"/>
      <c r="E369" s="390"/>
      <c r="F369" s="287"/>
      <c r="G369" s="12"/>
      <c r="H369" s="12"/>
    </row>
    <row r="370" spans="1:8" ht="20">
      <c r="A370" s="331"/>
      <c r="B370" s="335"/>
      <c r="C370" s="335"/>
      <c r="D370" s="335"/>
      <c r="E370" s="390"/>
      <c r="F370" s="287"/>
      <c r="G370" s="12"/>
      <c r="H370" s="12"/>
    </row>
    <row r="371" spans="1:8" ht="20">
      <c r="A371" s="331"/>
      <c r="B371" s="335"/>
      <c r="C371" s="335"/>
      <c r="D371" s="335"/>
      <c r="E371" s="390"/>
      <c r="F371" s="287"/>
      <c r="G371" s="12"/>
      <c r="H371" s="12"/>
    </row>
    <row r="372" spans="1:8" ht="20">
      <c r="A372" s="331"/>
      <c r="B372" s="335"/>
      <c r="C372" s="335"/>
      <c r="D372" s="335"/>
      <c r="E372" s="390"/>
      <c r="F372" s="287"/>
      <c r="G372" s="12"/>
      <c r="H372" s="12"/>
    </row>
    <row r="373" spans="1:8" ht="20">
      <c r="A373" s="331"/>
      <c r="B373" s="335"/>
      <c r="C373" s="335"/>
      <c r="D373" s="335"/>
      <c r="E373" s="390"/>
      <c r="F373" s="287"/>
      <c r="G373" s="12"/>
      <c r="H373" s="12"/>
    </row>
    <row r="374" spans="1:8" ht="20">
      <c r="A374" s="331"/>
      <c r="B374" s="335"/>
      <c r="C374" s="335"/>
      <c r="D374" s="335"/>
      <c r="E374" s="390"/>
      <c r="F374" s="287"/>
      <c r="G374" s="12"/>
      <c r="H374" s="12"/>
    </row>
    <row r="375" spans="1:8" ht="20">
      <c r="A375" s="331"/>
      <c r="B375" s="335"/>
      <c r="C375" s="335"/>
      <c r="D375" s="335"/>
      <c r="E375" s="390"/>
      <c r="F375" s="287"/>
      <c r="G375" s="12"/>
      <c r="H375" s="12"/>
    </row>
    <row r="376" spans="1:8" ht="20">
      <c r="A376" s="331"/>
      <c r="B376" s="335"/>
      <c r="C376" s="335"/>
      <c r="D376" s="335"/>
      <c r="E376" s="390"/>
      <c r="F376" s="287"/>
      <c r="G376" s="12"/>
      <c r="H376" s="12"/>
    </row>
    <row r="377" spans="1:8" ht="20">
      <c r="A377" s="331"/>
      <c r="B377" s="335"/>
      <c r="C377" s="335"/>
      <c r="D377" s="335"/>
      <c r="E377" s="390"/>
      <c r="F377" s="287"/>
      <c r="G377" s="12"/>
      <c r="H377" s="12"/>
    </row>
    <row r="378" spans="1:8" ht="20">
      <c r="A378" s="331"/>
      <c r="B378" s="335"/>
      <c r="C378" s="335"/>
      <c r="D378" s="335"/>
      <c r="E378" s="390"/>
      <c r="F378" s="287"/>
      <c r="G378" s="12"/>
      <c r="H378" s="12"/>
    </row>
    <row r="379" spans="1:8" ht="20">
      <c r="A379" s="331"/>
      <c r="B379" s="335"/>
      <c r="C379" s="335"/>
      <c r="D379" s="335"/>
      <c r="E379" s="390"/>
      <c r="F379" s="287"/>
      <c r="G379" s="12"/>
      <c r="H379" s="12"/>
    </row>
    <row r="380" spans="1:8" ht="20">
      <c r="A380" s="331"/>
      <c r="B380" s="335"/>
      <c r="C380" s="335"/>
      <c r="D380" s="335"/>
      <c r="E380" s="390"/>
      <c r="F380" s="287"/>
      <c r="G380" s="12"/>
      <c r="H380" s="12"/>
    </row>
    <row r="381" spans="1:8" ht="20">
      <c r="A381" s="331"/>
      <c r="B381" s="335"/>
      <c r="C381" s="335"/>
      <c r="D381" s="335"/>
      <c r="E381" s="390"/>
      <c r="F381" s="287"/>
      <c r="G381" s="12"/>
      <c r="H381" s="12"/>
    </row>
    <row r="382" spans="1:8" ht="20">
      <c r="A382" s="331"/>
      <c r="B382" s="335"/>
      <c r="C382" s="335"/>
      <c r="D382" s="335"/>
      <c r="E382" s="390"/>
      <c r="F382" s="287"/>
      <c r="G382" s="12"/>
      <c r="H382" s="12"/>
    </row>
    <row r="383" spans="1:8" ht="20">
      <c r="A383" s="331"/>
      <c r="B383" s="335"/>
      <c r="C383" s="335"/>
      <c r="D383" s="335"/>
      <c r="E383" s="390"/>
      <c r="F383" s="287"/>
      <c r="G383" s="12"/>
      <c r="H383" s="12"/>
    </row>
    <row r="384" spans="1:8" ht="20">
      <c r="A384" s="331"/>
      <c r="B384" s="335"/>
      <c r="C384" s="335"/>
      <c r="D384" s="335"/>
      <c r="E384" s="390"/>
      <c r="F384" s="287"/>
      <c r="G384" s="12"/>
      <c r="H384" s="12"/>
    </row>
    <row r="385" spans="1:8" ht="20">
      <c r="A385" s="331"/>
      <c r="B385" s="335"/>
      <c r="C385" s="335"/>
      <c r="D385" s="335"/>
      <c r="E385" s="390"/>
      <c r="F385" s="287"/>
      <c r="G385" s="12"/>
      <c r="H385" s="12"/>
    </row>
    <row r="386" spans="1:8" ht="20">
      <c r="A386" s="331"/>
      <c r="B386" s="335"/>
      <c r="C386" s="335"/>
      <c r="D386" s="335"/>
      <c r="E386" s="390"/>
      <c r="F386" s="287"/>
      <c r="G386" s="12"/>
      <c r="H386" s="12"/>
    </row>
    <row r="387" spans="1:8" ht="20">
      <c r="A387" s="331"/>
      <c r="B387" s="335"/>
      <c r="C387" s="335"/>
      <c r="D387" s="335"/>
      <c r="E387" s="390"/>
      <c r="F387" s="287"/>
      <c r="G387" s="12"/>
      <c r="H387" s="12"/>
    </row>
    <row r="388" spans="1:8" ht="20">
      <c r="A388" s="331"/>
      <c r="B388" s="335"/>
      <c r="C388" s="335"/>
      <c r="D388" s="335"/>
      <c r="E388" s="390"/>
      <c r="F388" s="287"/>
      <c r="G388" s="12"/>
      <c r="H388" s="12"/>
    </row>
    <row r="389" spans="1:8" ht="20">
      <c r="A389" s="331"/>
      <c r="B389" s="335"/>
      <c r="C389" s="335"/>
      <c r="D389" s="335"/>
      <c r="E389" s="390"/>
      <c r="F389" s="287"/>
      <c r="G389" s="12"/>
      <c r="H389" s="12"/>
    </row>
    <row r="390" spans="1:8" ht="20">
      <c r="A390" s="331"/>
      <c r="B390" s="335"/>
      <c r="C390" s="335"/>
      <c r="D390" s="335"/>
      <c r="E390" s="390"/>
      <c r="F390" s="287"/>
      <c r="G390" s="12"/>
      <c r="H390" s="12"/>
    </row>
    <row r="391" spans="1:8" ht="20">
      <c r="A391" s="331"/>
      <c r="B391" s="335"/>
      <c r="C391" s="335"/>
      <c r="D391" s="335"/>
      <c r="E391" s="390"/>
      <c r="F391" s="287"/>
      <c r="G391" s="12"/>
      <c r="H391" s="12"/>
    </row>
    <row r="392" spans="1:8" ht="20">
      <c r="A392" s="331"/>
      <c r="B392" s="335"/>
      <c r="C392" s="335"/>
      <c r="D392" s="335"/>
      <c r="E392" s="390"/>
      <c r="F392" s="287"/>
      <c r="G392" s="12"/>
      <c r="H392" s="12"/>
    </row>
    <row r="393" spans="1:8" ht="20">
      <c r="A393" s="331"/>
      <c r="B393" s="335"/>
      <c r="C393" s="335"/>
      <c r="D393" s="335"/>
      <c r="E393" s="390"/>
      <c r="F393" s="287"/>
      <c r="G393" s="12"/>
      <c r="H393" s="12"/>
    </row>
    <row r="394" spans="1:8" ht="20">
      <c r="A394" s="331"/>
      <c r="B394" s="335"/>
      <c r="C394" s="335"/>
      <c r="D394" s="335"/>
      <c r="E394" s="390"/>
      <c r="F394" s="287"/>
      <c r="G394" s="12"/>
      <c r="H394" s="12"/>
    </row>
    <row r="395" spans="1:8" ht="20">
      <c r="A395" s="331"/>
      <c r="B395" s="335"/>
      <c r="C395" s="335"/>
      <c r="D395" s="335"/>
      <c r="E395" s="390"/>
      <c r="F395" s="287"/>
      <c r="G395" s="12"/>
      <c r="H395" s="12"/>
    </row>
    <row r="396" spans="1:8" ht="20">
      <c r="A396" s="331"/>
      <c r="B396" s="335"/>
      <c r="C396" s="335"/>
      <c r="D396" s="335"/>
      <c r="E396" s="390"/>
      <c r="F396" s="287"/>
      <c r="G396" s="12"/>
      <c r="H396" s="12"/>
    </row>
    <row r="397" spans="1:8" ht="20">
      <c r="A397" s="331"/>
      <c r="B397" s="335"/>
      <c r="C397" s="335"/>
      <c r="D397" s="335"/>
      <c r="E397" s="390"/>
      <c r="F397" s="287"/>
      <c r="G397" s="12"/>
      <c r="H397" s="12"/>
    </row>
    <row r="398" spans="1:8" ht="20">
      <c r="A398" s="331"/>
      <c r="B398" s="335"/>
      <c r="C398" s="335"/>
      <c r="D398" s="335"/>
      <c r="E398" s="390"/>
      <c r="F398" s="287"/>
      <c r="G398" s="12"/>
      <c r="H398" s="12"/>
    </row>
    <row r="399" spans="1:8" ht="20">
      <c r="A399" s="331"/>
      <c r="B399" s="335"/>
      <c r="C399" s="335"/>
      <c r="D399" s="335"/>
      <c r="E399" s="390"/>
      <c r="F399" s="287"/>
      <c r="G399" s="12"/>
      <c r="H399" s="12"/>
    </row>
    <row r="400" spans="1:8" ht="20">
      <c r="A400" s="331"/>
      <c r="B400" s="335"/>
      <c r="C400" s="335"/>
      <c r="D400" s="335"/>
      <c r="E400" s="390"/>
      <c r="F400" s="287"/>
      <c r="G400" s="12"/>
      <c r="H400" s="12"/>
    </row>
    <row r="401" spans="1:8" ht="20">
      <c r="A401" s="331"/>
      <c r="B401" s="335"/>
      <c r="C401" s="335"/>
      <c r="D401" s="335"/>
      <c r="E401" s="390"/>
      <c r="F401" s="287"/>
      <c r="G401" s="12"/>
      <c r="H401" s="12"/>
    </row>
    <row r="402" spans="1:8" ht="20">
      <c r="A402" s="331"/>
      <c r="B402" s="335"/>
      <c r="C402" s="335"/>
      <c r="D402" s="335"/>
      <c r="E402" s="390"/>
      <c r="F402" s="287"/>
      <c r="G402" s="12"/>
      <c r="H402" s="12"/>
    </row>
    <row r="403" spans="1:8" ht="20">
      <c r="A403" s="331"/>
      <c r="B403" s="335"/>
      <c r="C403" s="335"/>
      <c r="D403" s="335"/>
      <c r="E403" s="390"/>
      <c r="F403" s="287"/>
      <c r="G403" s="12"/>
      <c r="H403" s="12"/>
    </row>
    <row r="404" spans="1:8" ht="20">
      <c r="A404" s="331"/>
      <c r="B404" s="335"/>
      <c r="C404" s="335"/>
      <c r="D404" s="335"/>
      <c r="E404" s="390"/>
      <c r="F404" s="287"/>
      <c r="G404" s="12"/>
      <c r="H404" s="12"/>
    </row>
    <row r="405" spans="1:8" ht="20">
      <c r="A405" s="331"/>
      <c r="B405" s="335"/>
      <c r="C405" s="335"/>
      <c r="D405" s="335"/>
      <c r="E405" s="390"/>
      <c r="F405" s="287"/>
      <c r="G405" s="12"/>
      <c r="H405" s="12"/>
    </row>
    <row r="406" spans="1:8" ht="20">
      <c r="A406" s="331"/>
      <c r="B406" s="335"/>
      <c r="C406" s="335"/>
      <c r="D406" s="335"/>
      <c r="E406" s="390"/>
      <c r="F406" s="287"/>
      <c r="G406" s="12"/>
      <c r="H406" s="12"/>
    </row>
    <row r="407" spans="1:8" ht="20">
      <c r="A407" s="331"/>
      <c r="B407" s="335"/>
      <c r="C407" s="335"/>
      <c r="D407" s="335"/>
      <c r="E407" s="390"/>
      <c r="F407" s="287"/>
      <c r="G407" s="12"/>
      <c r="H407" s="12"/>
    </row>
    <row r="408" spans="1:8" ht="20">
      <c r="A408" s="331"/>
      <c r="B408" s="335"/>
      <c r="C408" s="335"/>
      <c r="D408" s="335"/>
      <c r="E408" s="390"/>
      <c r="F408" s="287"/>
      <c r="G408" s="12"/>
      <c r="H408" s="12"/>
    </row>
    <row r="409" spans="1:8" ht="20">
      <c r="A409" s="331"/>
      <c r="B409" s="335"/>
      <c r="C409" s="335"/>
      <c r="D409" s="335"/>
      <c r="E409" s="390"/>
      <c r="F409" s="287"/>
      <c r="G409" s="12"/>
      <c r="H409" s="12"/>
    </row>
    <row r="410" spans="1:8" ht="20">
      <c r="A410" s="331"/>
      <c r="B410" s="335"/>
      <c r="C410" s="335"/>
      <c r="D410" s="335"/>
      <c r="E410" s="390"/>
      <c r="F410" s="287"/>
      <c r="G410" s="12"/>
      <c r="H410" s="12"/>
    </row>
    <row r="411" spans="1:8" ht="20">
      <c r="A411" s="331"/>
      <c r="B411" s="335"/>
      <c r="C411" s="335"/>
      <c r="D411" s="335"/>
      <c r="E411" s="390"/>
      <c r="F411" s="287"/>
      <c r="G411" s="12"/>
      <c r="H411" s="12"/>
    </row>
    <row r="412" spans="1:8" ht="20">
      <c r="A412" s="331"/>
      <c r="B412" s="335"/>
      <c r="C412" s="335"/>
      <c r="D412" s="335"/>
      <c r="E412" s="390"/>
      <c r="F412" s="287"/>
      <c r="G412" s="12"/>
      <c r="H412" s="12"/>
    </row>
    <row r="413" spans="1:8" ht="20">
      <c r="A413" s="331"/>
      <c r="B413" s="335"/>
      <c r="C413" s="335"/>
      <c r="D413" s="335"/>
      <c r="E413" s="390"/>
      <c r="F413" s="287"/>
      <c r="G413" s="12"/>
      <c r="H413" s="12"/>
    </row>
    <row r="414" spans="1:8" ht="20">
      <c r="A414" s="331"/>
      <c r="B414" s="335"/>
      <c r="C414" s="335"/>
      <c r="D414" s="335"/>
      <c r="E414" s="390"/>
      <c r="F414" s="287"/>
      <c r="G414" s="12"/>
      <c r="H414" s="12"/>
    </row>
    <row r="415" spans="1:8" ht="20">
      <c r="A415" s="331"/>
      <c r="B415" s="335"/>
      <c r="C415" s="335"/>
      <c r="D415" s="335"/>
      <c r="E415" s="390"/>
      <c r="F415" s="287"/>
      <c r="G415" s="12"/>
      <c r="H415" s="12"/>
    </row>
    <row r="416" spans="1:8" ht="20">
      <c r="A416" s="331"/>
      <c r="B416" s="335"/>
      <c r="C416" s="335"/>
      <c r="D416" s="335"/>
      <c r="E416" s="390"/>
      <c r="F416" s="287"/>
      <c r="G416" s="12"/>
      <c r="H416" s="12"/>
    </row>
    <row r="417" spans="1:8" ht="20">
      <c r="A417" s="331"/>
      <c r="B417" s="335"/>
      <c r="C417" s="335"/>
      <c r="D417" s="335"/>
      <c r="E417" s="390"/>
      <c r="F417" s="287"/>
      <c r="G417" s="12"/>
      <c r="H417" s="12"/>
    </row>
    <row r="418" spans="1:8" ht="20">
      <c r="A418" s="331"/>
      <c r="B418" s="335"/>
      <c r="C418" s="335"/>
      <c r="D418" s="335"/>
      <c r="E418" s="390"/>
      <c r="F418" s="287"/>
      <c r="G418" s="12"/>
      <c r="H418" s="12"/>
    </row>
    <row r="419" spans="1:8" ht="20">
      <c r="A419" s="331"/>
      <c r="B419" s="335"/>
      <c r="C419" s="335"/>
      <c r="D419" s="335"/>
      <c r="E419" s="390"/>
      <c r="F419" s="287"/>
      <c r="G419" s="12"/>
      <c r="H419" s="12"/>
    </row>
    <row r="420" spans="1:8" ht="20">
      <c r="A420" s="331"/>
      <c r="B420" s="335"/>
      <c r="C420" s="335"/>
      <c r="D420" s="335"/>
      <c r="E420" s="390"/>
      <c r="F420" s="287"/>
      <c r="G420" s="12"/>
      <c r="H420" s="12"/>
    </row>
    <row r="421" spans="1:8" ht="20">
      <c r="A421" s="331"/>
      <c r="B421" s="335"/>
      <c r="C421" s="335"/>
      <c r="D421" s="335"/>
      <c r="E421" s="390"/>
      <c r="F421" s="287"/>
      <c r="G421" s="12"/>
      <c r="H421" s="12"/>
    </row>
    <row r="422" spans="1:8" ht="20">
      <c r="A422" s="331"/>
      <c r="B422" s="335"/>
      <c r="C422" s="335"/>
      <c r="D422" s="335"/>
      <c r="E422" s="390"/>
      <c r="F422" s="287"/>
      <c r="G422" s="12"/>
      <c r="H422" s="12"/>
    </row>
    <row r="423" spans="1:8" ht="20">
      <c r="A423" s="331"/>
      <c r="B423" s="335"/>
      <c r="C423" s="335"/>
      <c r="D423" s="335"/>
      <c r="E423" s="390"/>
      <c r="F423" s="287"/>
      <c r="G423" s="12"/>
      <c r="H423" s="12"/>
    </row>
    <row r="424" spans="1:8" ht="20">
      <c r="A424" s="331"/>
      <c r="B424" s="335"/>
      <c r="C424" s="335"/>
      <c r="D424" s="335"/>
      <c r="E424" s="390"/>
      <c r="F424" s="287"/>
      <c r="G424" s="12"/>
      <c r="H424" s="12"/>
    </row>
    <row r="425" spans="1:8" ht="20">
      <c r="A425" s="331"/>
      <c r="B425" s="335"/>
      <c r="C425" s="335"/>
      <c r="D425" s="335"/>
      <c r="E425" s="390"/>
      <c r="F425" s="287"/>
      <c r="G425" s="12"/>
      <c r="H425" s="12"/>
    </row>
    <row r="426" spans="1:8" ht="20">
      <c r="A426" s="331"/>
      <c r="B426" s="335"/>
      <c r="C426" s="335"/>
      <c r="D426" s="335"/>
      <c r="E426" s="390"/>
      <c r="F426" s="287"/>
      <c r="G426" s="12"/>
      <c r="H426" s="12"/>
    </row>
    <row r="427" spans="1:8" ht="20">
      <c r="A427" s="331"/>
      <c r="B427" s="335"/>
      <c r="C427" s="335"/>
      <c r="D427" s="335"/>
      <c r="E427" s="390"/>
      <c r="F427" s="287"/>
      <c r="G427" s="12"/>
      <c r="H427" s="12"/>
    </row>
    <row r="428" spans="1:8" ht="20">
      <c r="A428" s="331"/>
      <c r="B428" s="335"/>
      <c r="C428" s="335"/>
      <c r="D428" s="335"/>
      <c r="E428" s="390"/>
      <c r="F428" s="287"/>
      <c r="G428" s="12"/>
      <c r="H428" s="12"/>
    </row>
    <row r="429" spans="1:8" ht="20">
      <c r="A429" s="331"/>
      <c r="B429" s="335"/>
      <c r="C429" s="335"/>
      <c r="D429" s="335"/>
      <c r="E429" s="390"/>
      <c r="F429" s="287"/>
      <c r="G429" s="12"/>
      <c r="H429" s="12"/>
    </row>
    <row r="430" spans="1:8" ht="20">
      <c r="A430" s="331"/>
      <c r="B430" s="335"/>
      <c r="C430" s="335"/>
      <c r="D430" s="335"/>
      <c r="E430" s="390"/>
      <c r="F430" s="287"/>
      <c r="G430" s="12"/>
      <c r="H430" s="12"/>
    </row>
    <row r="431" spans="1:8" ht="20">
      <c r="A431" s="331"/>
      <c r="B431" s="335"/>
      <c r="C431" s="335"/>
      <c r="D431" s="335"/>
      <c r="E431" s="390"/>
      <c r="F431" s="287"/>
      <c r="G431" s="12"/>
      <c r="H431" s="12"/>
    </row>
    <row r="432" spans="1:8" ht="20">
      <c r="A432" s="331"/>
      <c r="B432" s="335"/>
      <c r="C432" s="335"/>
      <c r="D432" s="335"/>
      <c r="E432" s="390"/>
      <c r="F432" s="287"/>
      <c r="G432" s="12"/>
      <c r="H432" s="12"/>
    </row>
    <row r="433" spans="1:8" ht="20">
      <c r="A433" s="331"/>
      <c r="B433" s="335"/>
      <c r="C433" s="335"/>
      <c r="D433" s="335"/>
      <c r="E433" s="390"/>
      <c r="F433" s="287"/>
      <c r="G433" s="12"/>
      <c r="H433" s="12"/>
    </row>
    <row r="434" spans="1:8" ht="20">
      <c r="A434" s="331"/>
      <c r="B434" s="335"/>
      <c r="C434" s="335"/>
      <c r="D434" s="335"/>
      <c r="E434" s="390"/>
      <c r="F434" s="287"/>
      <c r="G434" s="12"/>
      <c r="H434" s="12"/>
    </row>
    <row r="435" spans="1:8" ht="20">
      <c r="A435" s="331"/>
      <c r="B435" s="335"/>
      <c r="C435" s="335"/>
      <c r="D435" s="335"/>
      <c r="E435" s="390"/>
      <c r="F435" s="287"/>
      <c r="G435" s="12"/>
      <c r="H435" s="12"/>
    </row>
    <row r="436" spans="1:8" ht="20">
      <c r="A436" s="331"/>
      <c r="B436" s="335"/>
      <c r="C436" s="335"/>
      <c r="D436" s="335"/>
      <c r="E436" s="390"/>
      <c r="F436" s="287"/>
      <c r="G436" s="12"/>
      <c r="H436" s="12"/>
    </row>
    <row r="437" spans="1:8" ht="20">
      <c r="A437" s="331"/>
      <c r="B437" s="335"/>
      <c r="C437" s="335"/>
      <c r="D437" s="335"/>
      <c r="E437" s="390"/>
      <c r="F437" s="287"/>
      <c r="G437" s="12"/>
      <c r="H437" s="12"/>
    </row>
    <row r="438" spans="1:8" ht="20">
      <c r="A438" s="331"/>
      <c r="B438" s="335"/>
      <c r="C438" s="335"/>
      <c r="D438" s="335"/>
      <c r="E438" s="390"/>
      <c r="F438" s="287"/>
      <c r="G438" s="12"/>
      <c r="H438" s="12"/>
    </row>
    <row r="439" spans="1:8" ht="20">
      <c r="A439" s="331"/>
      <c r="B439" s="335"/>
      <c r="C439" s="335"/>
      <c r="D439" s="335"/>
      <c r="E439" s="390"/>
      <c r="F439" s="287"/>
      <c r="G439" s="12"/>
      <c r="H439" s="12"/>
    </row>
    <row r="440" spans="1:8" ht="20">
      <c r="A440" s="331"/>
      <c r="B440" s="335"/>
      <c r="C440" s="335"/>
      <c r="D440" s="335"/>
      <c r="E440" s="390"/>
      <c r="F440" s="287"/>
      <c r="G440" s="12"/>
      <c r="H440" s="12"/>
    </row>
    <row r="441" spans="1:8" ht="20">
      <c r="A441" s="331"/>
      <c r="B441" s="335"/>
      <c r="C441" s="335"/>
      <c r="D441" s="335"/>
      <c r="E441" s="390"/>
      <c r="F441" s="287"/>
      <c r="G441" s="12"/>
      <c r="H441" s="12"/>
    </row>
    <row r="442" spans="1:8" ht="20">
      <c r="A442" s="331"/>
      <c r="B442" s="335"/>
      <c r="C442" s="335"/>
      <c r="D442" s="335"/>
      <c r="E442" s="390"/>
      <c r="F442" s="287"/>
      <c r="G442" s="12"/>
      <c r="H442" s="12"/>
    </row>
    <row r="443" spans="1:8" ht="20">
      <c r="A443" s="331"/>
      <c r="B443" s="335"/>
      <c r="C443" s="335"/>
      <c r="D443" s="335"/>
      <c r="E443" s="390"/>
      <c r="F443" s="287"/>
      <c r="G443" s="12"/>
      <c r="H443" s="12"/>
    </row>
    <row r="444" spans="1:8" ht="20">
      <c r="A444" s="331"/>
      <c r="B444" s="335"/>
      <c r="C444" s="335"/>
      <c r="D444" s="335"/>
      <c r="E444" s="390"/>
      <c r="F444" s="287"/>
      <c r="G444" s="12"/>
      <c r="H444" s="12"/>
    </row>
    <row r="445" spans="1:8" ht="20">
      <c r="A445" s="331"/>
      <c r="B445" s="335"/>
      <c r="C445" s="335"/>
      <c r="D445" s="335"/>
      <c r="E445" s="390"/>
      <c r="F445" s="287"/>
      <c r="G445" s="12"/>
      <c r="H445" s="12"/>
    </row>
    <row r="446" spans="1:8" ht="20">
      <c r="A446" s="331"/>
      <c r="B446" s="335"/>
      <c r="C446" s="335"/>
      <c r="D446" s="335"/>
      <c r="E446" s="390"/>
      <c r="F446" s="287"/>
      <c r="G446" s="12"/>
      <c r="H446" s="12"/>
    </row>
    <row r="447" spans="1:8" ht="20">
      <c r="A447" s="331"/>
      <c r="B447" s="335"/>
      <c r="C447" s="335"/>
      <c r="D447" s="335"/>
      <c r="E447" s="390"/>
      <c r="F447" s="287"/>
      <c r="G447" s="12"/>
      <c r="H447" s="12"/>
    </row>
    <row r="448" spans="1:8" ht="20">
      <c r="A448" s="331"/>
      <c r="B448" s="335"/>
      <c r="C448" s="335"/>
      <c r="D448" s="335"/>
      <c r="E448" s="390"/>
      <c r="F448" s="287"/>
      <c r="G448" s="12"/>
      <c r="H448" s="12"/>
    </row>
    <row r="449" spans="1:8" ht="20">
      <c r="A449" s="331"/>
      <c r="B449" s="335"/>
      <c r="C449" s="335"/>
      <c r="D449" s="335"/>
      <c r="E449" s="390"/>
      <c r="F449" s="287"/>
      <c r="G449" s="12"/>
      <c r="H449" s="12"/>
    </row>
    <row r="450" spans="1:8" ht="20">
      <c r="A450" s="331"/>
      <c r="B450" s="335"/>
      <c r="C450" s="335"/>
      <c r="D450" s="335"/>
      <c r="E450" s="390"/>
      <c r="F450" s="287"/>
      <c r="G450" s="12"/>
      <c r="H450" s="12"/>
    </row>
    <row r="451" spans="1:8" ht="20">
      <c r="A451" s="331"/>
      <c r="B451" s="335"/>
      <c r="C451" s="335"/>
      <c r="D451" s="335"/>
      <c r="E451" s="390"/>
      <c r="F451" s="287"/>
      <c r="G451" s="12"/>
      <c r="H451" s="12"/>
    </row>
    <row r="452" spans="1:8" ht="20">
      <c r="A452" s="331"/>
      <c r="B452" s="335"/>
      <c r="C452" s="335"/>
      <c r="D452" s="335"/>
      <c r="E452" s="390"/>
      <c r="F452" s="287"/>
      <c r="G452" s="12"/>
      <c r="H452" s="12"/>
    </row>
    <row r="453" spans="1:8" ht="20">
      <c r="A453" s="331"/>
      <c r="B453" s="335"/>
      <c r="C453" s="335"/>
      <c r="D453" s="335"/>
      <c r="E453" s="390"/>
      <c r="F453" s="287"/>
      <c r="G453" s="12"/>
      <c r="H453" s="12"/>
    </row>
    <row r="454" spans="1:8" ht="20">
      <c r="A454" s="331"/>
      <c r="B454" s="335"/>
      <c r="C454" s="335"/>
      <c r="D454" s="335"/>
      <c r="E454" s="390"/>
      <c r="F454" s="287"/>
      <c r="G454" s="12"/>
      <c r="H454" s="12"/>
    </row>
    <row r="455" spans="1:8" ht="20">
      <c r="A455" s="331"/>
      <c r="B455" s="335"/>
      <c r="C455" s="335"/>
      <c r="D455" s="335"/>
      <c r="E455" s="390"/>
      <c r="F455" s="287"/>
      <c r="G455" s="12"/>
      <c r="H455" s="12"/>
    </row>
    <row r="456" spans="1:8" ht="20">
      <c r="A456" s="331"/>
      <c r="B456" s="335"/>
      <c r="C456" s="335"/>
      <c r="D456" s="335"/>
      <c r="E456" s="390"/>
      <c r="F456" s="287"/>
      <c r="G456" s="12"/>
      <c r="H456" s="12"/>
    </row>
    <row r="457" spans="1:8" ht="20">
      <c r="A457" s="331"/>
      <c r="B457" s="335"/>
      <c r="C457" s="335"/>
      <c r="D457" s="335"/>
      <c r="E457" s="390"/>
      <c r="F457" s="287"/>
      <c r="G457" s="12"/>
      <c r="H457" s="12"/>
    </row>
    <row r="458" spans="1:8" ht="20">
      <c r="A458" s="331"/>
      <c r="B458" s="335"/>
      <c r="C458" s="335"/>
      <c r="D458" s="335"/>
      <c r="E458" s="390"/>
      <c r="F458" s="287"/>
      <c r="G458" s="12"/>
      <c r="H458" s="12"/>
    </row>
    <row r="459" spans="1:8" ht="20">
      <c r="A459" s="331"/>
      <c r="B459" s="335"/>
      <c r="C459" s="335"/>
      <c r="D459" s="335"/>
      <c r="E459" s="390"/>
      <c r="F459" s="287"/>
      <c r="G459" s="12"/>
      <c r="H459" s="12"/>
    </row>
    <row r="460" spans="1:8" ht="20">
      <c r="A460" s="331"/>
      <c r="B460" s="335"/>
      <c r="C460" s="335"/>
      <c r="D460" s="335"/>
      <c r="E460" s="390"/>
      <c r="F460" s="287"/>
      <c r="G460" s="12"/>
      <c r="H460" s="12"/>
    </row>
    <row r="461" spans="1:8" ht="20">
      <c r="A461" s="331"/>
      <c r="B461" s="335"/>
      <c r="C461" s="335"/>
      <c r="D461" s="335"/>
      <c r="E461" s="390"/>
      <c r="F461" s="287"/>
      <c r="G461" s="12"/>
      <c r="H461" s="12"/>
    </row>
    <row r="462" spans="1:8" ht="20">
      <c r="A462" s="331"/>
      <c r="B462" s="335"/>
      <c r="C462" s="335"/>
      <c r="D462" s="335"/>
      <c r="E462" s="390"/>
      <c r="F462" s="287"/>
      <c r="G462" s="12"/>
      <c r="H462" s="12"/>
    </row>
    <row r="463" spans="1:8" ht="20">
      <c r="A463" s="331"/>
      <c r="B463" s="335"/>
      <c r="C463" s="335"/>
      <c r="D463" s="335"/>
      <c r="E463" s="390"/>
      <c r="F463" s="287"/>
      <c r="G463" s="12"/>
      <c r="H463" s="12"/>
    </row>
    <row r="464" spans="1:8" ht="20">
      <c r="A464" s="331"/>
      <c r="B464" s="335"/>
      <c r="C464" s="335"/>
      <c r="D464" s="335"/>
      <c r="E464" s="390"/>
      <c r="F464" s="287"/>
      <c r="G464" s="12"/>
      <c r="H464" s="12"/>
    </row>
    <row r="465" spans="1:8" ht="20">
      <c r="A465" s="331"/>
      <c r="B465" s="335"/>
      <c r="C465" s="335"/>
      <c r="D465" s="335"/>
      <c r="E465" s="390"/>
      <c r="F465" s="287"/>
      <c r="G465" s="12"/>
      <c r="H465" s="12"/>
    </row>
    <row r="466" spans="1:8" ht="20">
      <c r="A466" s="331"/>
      <c r="B466" s="335"/>
      <c r="C466" s="335"/>
      <c r="D466" s="335"/>
      <c r="E466" s="390"/>
      <c r="F466" s="287"/>
      <c r="G466" s="12"/>
      <c r="H466" s="12"/>
    </row>
    <row r="467" spans="1:8" ht="20">
      <c r="A467" s="331"/>
      <c r="B467" s="335"/>
      <c r="C467" s="335"/>
      <c r="D467" s="335"/>
      <c r="E467" s="390"/>
      <c r="F467" s="287"/>
      <c r="G467" s="12"/>
      <c r="H467" s="12"/>
    </row>
    <row r="468" spans="1:8" ht="20">
      <c r="A468" s="331"/>
      <c r="B468" s="335"/>
      <c r="C468" s="335"/>
      <c r="D468" s="335"/>
      <c r="E468" s="390"/>
      <c r="F468" s="287"/>
      <c r="G468" s="12"/>
      <c r="H468" s="12"/>
    </row>
    <row r="469" spans="1:8" ht="20">
      <c r="A469" s="331"/>
      <c r="B469" s="335"/>
      <c r="C469" s="335"/>
      <c r="D469" s="335"/>
      <c r="E469" s="390"/>
      <c r="F469" s="287"/>
      <c r="G469" s="12"/>
      <c r="H469" s="12"/>
    </row>
    <row r="470" spans="1:8" ht="20">
      <c r="A470" s="331"/>
      <c r="B470" s="335"/>
      <c r="C470" s="335"/>
      <c r="D470" s="335"/>
      <c r="E470" s="390"/>
      <c r="F470" s="287"/>
      <c r="G470" s="12"/>
      <c r="H470" s="12"/>
    </row>
    <row r="471" spans="1:8" ht="20">
      <c r="A471" s="331"/>
      <c r="B471" s="335"/>
      <c r="C471" s="335"/>
      <c r="D471" s="335"/>
      <c r="E471" s="390"/>
      <c r="F471" s="287"/>
      <c r="G471" s="12"/>
      <c r="H471" s="12"/>
    </row>
    <row r="472" spans="1:8" ht="20">
      <c r="A472" s="331"/>
      <c r="B472" s="335"/>
      <c r="C472" s="335"/>
      <c r="D472" s="335"/>
      <c r="E472" s="390"/>
      <c r="F472" s="287"/>
      <c r="G472" s="12"/>
      <c r="H472" s="12"/>
    </row>
    <row r="473" spans="1:8" ht="20">
      <c r="A473" s="331"/>
      <c r="B473" s="335"/>
      <c r="C473" s="335"/>
      <c r="D473" s="335"/>
      <c r="E473" s="390"/>
      <c r="F473" s="287"/>
      <c r="G473" s="12"/>
      <c r="H473" s="12"/>
    </row>
    <row r="474" spans="1:8" ht="20">
      <c r="A474" s="331"/>
      <c r="B474" s="335"/>
      <c r="C474" s="335"/>
      <c r="D474" s="335"/>
      <c r="E474" s="390"/>
      <c r="F474" s="287"/>
      <c r="G474" s="12"/>
      <c r="H474" s="12"/>
    </row>
    <row r="475" spans="1:8" ht="20">
      <c r="A475" s="331"/>
      <c r="B475" s="335"/>
      <c r="C475" s="335"/>
      <c r="D475" s="335"/>
      <c r="E475" s="390"/>
      <c r="F475" s="287"/>
      <c r="G475" s="12"/>
      <c r="H475" s="12"/>
    </row>
    <row r="476" spans="1:8" ht="20">
      <c r="A476" s="331"/>
      <c r="B476" s="335"/>
      <c r="C476" s="335"/>
      <c r="D476" s="335"/>
      <c r="E476" s="390"/>
      <c r="F476" s="287"/>
      <c r="G476" s="12"/>
      <c r="H476" s="12"/>
    </row>
    <row r="477" spans="1:8" ht="20">
      <c r="A477" s="331"/>
      <c r="B477" s="335"/>
      <c r="C477" s="335"/>
      <c r="D477" s="335"/>
      <c r="E477" s="390"/>
      <c r="F477" s="287"/>
      <c r="G477" s="12"/>
      <c r="H477" s="12"/>
    </row>
    <row r="478" spans="1:8" ht="20">
      <c r="A478" s="331"/>
      <c r="B478" s="335"/>
      <c r="C478" s="335"/>
      <c r="D478" s="335"/>
      <c r="E478" s="390"/>
      <c r="F478" s="287"/>
      <c r="G478" s="12"/>
      <c r="H478" s="12"/>
    </row>
    <row r="479" spans="1:8" ht="20">
      <c r="A479" s="331"/>
      <c r="B479" s="335"/>
      <c r="C479" s="335"/>
      <c r="D479" s="335"/>
      <c r="E479" s="390"/>
      <c r="F479" s="287"/>
      <c r="G479" s="12"/>
      <c r="H479" s="12"/>
    </row>
    <row r="480" spans="1:8" ht="20">
      <c r="A480" s="331"/>
      <c r="B480" s="335"/>
      <c r="C480" s="335"/>
      <c r="D480" s="335"/>
      <c r="E480" s="390"/>
      <c r="F480" s="287"/>
      <c r="G480" s="12"/>
      <c r="H480" s="12"/>
    </row>
    <row r="481" spans="1:8" ht="20">
      <c r="A481" s="331"/>
      <c r="B481" s="335"/>
      <c r="C481" s="335"/>
      <c r="D481" s="335"/>
      <c r="E481" s="390"/>
      <c r="F481" s="287"/>
      <c r="G481" s="12"/>
      <c r="H481" s="12"/>
    </row>
    <row r="482" spans="1:8" ht="20">
      <c r="A482" s="331"/>
      <c r="B482" s="335"/>
      <c r="C482" s="335"/>
      <c r="D482" s="335"/>
      <c r="E482" s="390"/>
      <c r="F482" s="287"/>
      <c r="G482" s="12"/>
      <c r="H482" s="12"/>
    </row>
    <row r="483" spans="1:8" ht="20">
      <c r="A483" s="331"/>
      <c r="B483" s="335"/>
      <c r="C483" s="335"/>
      <c r="D483" s="335"/>
      <c r="E483" s="390"/>
      <c r="F483" s="287"/>
      <c r="G483" s="12"/>
      <c r="H483" s="12"/>
    </row>
    <row r="484" spans="1:8" ht="20">
      <c r="A484" s="331"/>
      <c r="B484" s="335"/>
      <c r="C484" s="335"/>
      <c r="D484" s="335"/>
      <c r="E484" s="390"/>
      <c r="F484" s="287"/>
      <c r="G484" s="12"/>
      <c r="H484" s="12"/>
    </row>
    <row r="485" spans="1:8" ht="20">
      <c r="A485" s="331"/>
      <c r="B485" s="335"/>
      <c r="C485" s="335"/>
      <c r="D485" s="335"/>
      <c r="E485" s="390"/>
      <c r="F485" s="287"/>
      <c r="G485" s="12"/>
      <c r="H485" s="12"/>
    </row>
    <row r="486" spans="1:8" ht="20">
      <c r="A486" s="331"/>
      <c r="B486" s="335"/>
      <c r="C486" s="335"/>
      <c r="D486" s="335"/>
      <c r="E486" s="390"/>
      <c r="F486" s="287"/>
      <c r="G486" s="12"/>
      <c r="H486" s="12"/>
    </row>
    <row r="487" spans="1:8" ht="20">
      <c r="A487" s="331"/>
      <c r="B487" s="335"/>
      <c r="C487" s="335"/>
      <c r="D487" s="335"/>
      <c r="E487" s="390"/>
      <c r="F487" s="287"/>
      <c r="G487" s="12"/>
      <c r="H487" s="12"/>
    </row>
    <row r="488" spans="1:8" ht="20">
      <c r="A488" s="331"/>
      <c r="B488" s="335"/>
      <c r="C488" s="335"/>
      <c r="D488" s="335"/>
      <c r="E488" s="390"/>
      <c r="F488" s="287"/>
      <c r="G488" s="12"/>
      <c r="H488" s="12"/>
    </row>
    <row r="489" spans="1:8" ht="20">
      <c r="A489" s="331"/>
      <c r="B489" s="335"/>
      <c r="C489" s="335"/>
      <c r="D489" s="335"/>
      <c r="E489" s="390"/>
      <c r="F489" s="287"/>
      <c r="G489" s="12"/>
      <c r="H489" s="12"/>
    </row>
    <row r="490" spans="1:8" ht="20">
      <c r="A490" s="331"/>
      <c r="B490" s="335"/>
      <c r="C490" s="335"/>
      <c r="D490" s="335"/>
      <c r="E490" s="390"/>
      <c r="F490" s="287"/>
      <c r="G490" s="12"/>
      <c r="H490" s="12"/>
    </row>
    <row r="491" spans="1:8" ht="20">
      <c r="A491" s="331"/>
      <c r="B491" s="335"/>
      <c r="C491" s="335"/>
      <c r="D491" s="335"/>
      <c r="E491" s="390"/>
      <c r="F491" s="287"/>
      <c r="G491" s="12"/>
      <c r="H491" s="12"/>
    </row>
    <row r="492" spans="1:8" ht="20">
      <c r="A492" s="331"/>
      <c r="B492" s="335"/>
      <c r="C492" s="335"/>
      <c r="D492" s="335"/>
      <c r="E492" s="390"/>
      <c r="F492" s="287"/>
      <c r="G492" s="12"/>
      <c r="H492" s="12"/>
    </row>
    <row r="493" spans="1:8" ht="20">
      <c r="A493" s="331"/>
      <c r="B493" s="335"/>
      <c r="C493" s="335"/>
      <c r="D493" s="335"/>
      <c r="E493" s="390"/>
      <c r="F493" s="287"/>
      <c r="G493" s="12"/>
      <c r="H493" s="12"/>
    </row>
    <row r="494" spans="1:8" ht="20">
      <c r="A494" s="331"/>
      <c r="B494" s="335"/>
      <c r="C494" s="335"/>
      <c r="D494" s="335"/>
      <c r="E494" s="390"/>
      <c r="F494" s="287"/>
      <c r="G494" s="12"/>
      <c r="H494" s="12"/>
    </row>
    <row r="495" spans="1:8" ht="20">
      <c r="A495" s="331"/>
      <c r="B495" s="335"/>
      <c r="C495" s="335"/>
      <c r="D495" s="335"/>
      <c r="E495" s="390"/>
      <c r="F495" s="287"/>
      <c r="G495" s="12"/>
      <c r="H495" s="12"/>
    </row>
    <row r="496" spans="1:8" ht="20">
      <c r="A496" s="331"/>
      <c r="B496" s="335"/>
      <c r="C496" s="335"/>
      <c r="D496" s="335"/>
      <c r="E496" s="390"/>
      <c r="F496" s="287"/>
      <c r="G496" s="12"/>
      <c r="H496" s="12"/>
    </row>
    <row r="497" spans="1:8" ht="20">
      <c r="A497" s="331"/>
      <c r="B497" s="335"/>
      <c r="C497" s="335"/>
      <c r="D497" s="335"/>
      <c r="E497" s="390"/>
      <c r="F497" s="287"/>
      <c r="G497" s="12"/>
      <c r="H497" s="12"/>
    </row>
    <row r="498" spans="1:8" ht="20">
      <c r="A498" s="331"/>
      <c r="B498" s="335"/>
      <c r="C498" s="335"/>
      <c r="D498" s="335"/>
      <c r="E498" s="390"/>
      <c r="F498" s="287"/>
      <c r="G498" s="12"/>
      <c r="H498" s="12"/>
    </row>
    <row r="499" spans="1:8" ht="20">
      <c r="A499" s="331"/>
      <c r="B499" s="335"/>
      <c r="C499" s="335"/>
      <c r="D499" s="335"/>
      <c r="E499" s="390"/>
      <c r="F499" s="287"/>
      <c r="G499" s="12"/>
      <c r="H499" s="12"/>
    </row>
    <row r="500" spans="1:8" ht="20">
      <c r="A500" s="331"/>
      <c r="B500" s="335"/>
      <c r="C500" s="335"/>
      <c r="D500" s="335"/>
      <c r="E500" s="390"/>
      <c r="F500" s="287"/>
      <c r="G500" s="12"/>
      <c r="H500" s="12"/>
    </row>
    <row r="501" spans="1:8" ht="20">
      <c r="A501" s="331"/>
      <c r="B501" s="335"/>
      <c r="C501" s="335"/>
      <c r="D501" s="335"/>
      <c r="E501" s="390"/>
      <c r="F501" s="287"/>
      <c r="G501" s="12"/>
      <c r="H501" s="12"/>
    </row>
    <row r="502" spans="1:8" ht="20">
      <c r="A502" s="331"/>
      <c r="B502" s="335"/>
      <c r="C502" s="335"/>
      <c r="D502" s="335"/>
      <c r="E502" s="390"/>
      <c r="F502" s="287"/>
      <c r="G502" s="12"/>
      <c r="H502" s="12"/>
    </row>
    <row r="503" spans="1:8" ht="20">
      <c r="A503" s="331"/>
      <c r="B503" s="335"/>
      <c r="C503" s="335"/>
      <c r="D503" s="335"/>
      <c r="E503" s="390"/>
      <c r="F503" s="287"/>
      <c r="G503" s="12"/>
      <c r="H503" s="12"/>
    </row>
    <row r="504" spans="1:8" ht="20">
      <c r="A504" s="331"/>
      <c r="B504" s="335"/>
      <c r="C504" s="335"/>
      <c r="D504" s="335"/>
      <c r="E504" s="390"/>
      <c r="F504" s="287"/>
      <c r="G504" s="12"/>
      <c r="H504" s="12"/>
    </row>
    <row r="505" spans="1:8" ht="20">
      <c r="A505" s="331"/>
      <c r="B505" s="335"/>
      <c r="C505" s="335"/>
      <c r="D505" s="335"/>
      <c r="E505" s="390"/>
      <c r="F505" s="287"/>
      <c r="G505" s="12"/>
      <c r="H505" s="12"/>
    </row>
    <row r="506" spans="1:8" ht="20">
      <c r="A506" s="331"/>
      <c r="B506" s="335"/>
      <c r="C506" s="335"/>
      <c r="D506" s="335"/>
      <c r="E506" s="390"/>
      <c r="F506" s="287"/>
      <c r="G506" s="12"/>
      <c r="H506" s="12"/>
    </row>
    <row r="507" spans="1:8" ht="20">
      <c r="A507" s="331"/>
      <c r="B507" s="335"/>
      <c r="C507" s="335"/>
      <c r="D507" s="335"/>
      <c r="E507" s="390"/>
      <c r="F507" s="287"/>
      <c r="G507" s="12"/>
      <c r="H507" s="12"/>
    </row>
    <row r="508" spans="1:8" ht="20">
      <c r="A508" s="331"/>
      <c r="B508" s="335"/>
      <c r="C508" s="335"/>
      <c r="D508" s="335"/>
      <c r="E508" s="390"/>
      <c r="F508" s="287"/>
      <c r="G508" s="12"/>
      <c r="H508" s="12"/>
    </row>
    <row r="509" spans="1:8" ht="20">
      <c r="A509" s="331"/>
      <c r="B509" s="335"/>
      <c r="C509" s="335"/>
      <c r="D509" s="335"/>
      <c r="E509" s="390"/>
      <c r="F509" s="287"/>
      <c r="G509" s="12"/>
      <c r="H509" s="12"/>
    </row>
    <row r="510" spans="1:8" ht="20">
      <c r="A510" s="331"/>
      <c r="B510" s="335"/>
      <c r="C510" s="335"/>
      <c r="D510" s="335"/>
      <c r="E510" s="390"/>
      <c r="F510" s="287"/>
      <c r="G510" s="12"/>
      <c r="H510" s="12"/>
    </row>
    <row r="511" spans="1:8" ht="20">
      <c r="A511" s="331"/>
      <c r="B511" s="335"/>
      <c r="C511" s="335"/>
      <c r="D511" s="335"/>
      <c r="E511" s="390"/>
      <c r="F511" s="287"/>
      <c r="G511" s="12"/>
      <c r="H511" s="12"/>
    </row>
    <row r="512" spans="1:8" ht="20">
      <c r="A512" s="331"/>
      <c r="B512" s="335"/>
      <c r="C512" s="335"/>
      <c r="D512" s="335"/>
      <c r="E512" s="390"/>
      <c r="F512" s="287"/>
      <c r="G512" s="12"/>
      <c r="H512" s="12"/>
    </row>
    <row r="513" spans="1:8" ht="20">
      <c r="A513" s="331"/>
      <c r="B513" s="335"/>
      <c r="C513" s="335"/>
      <c r="D513" s="335"/>
      <c r="E513" s="390"/>
      <c r="F513" s="287"/>
      <c r="G513" s="12"/>
      <c r="H513" s="12"/>
    </row>
    <row r="514" spans="1:8" ht="20">
      <c r="A514" s="331"/>
      <c r="B514" s="335"/>
      <c r="C514" s="335"/>
      <c r="D514" s="335"/>
      <c r="E514" s="390"/>
      <c r="F514" s="287"/>
      <c r="G514" s="12"/>
      <c r="H514" s="12"/>
    </row>
    <row r="515" spans="1:8" ht="20">
      <c r="A515" s="331"/>
      <c r="B515" s="335"/>
      <c r="C515" s="335"/>
      <c r="D515" s="335"/>
      <c r="E515" s="390"/>
      <c r="F515" s="287"/>
      <c r="G515" s="12"/>
      <c r="H515" s="12"/>
    </row>
    <row r="516" spans="1:8" ht="20">
      <c r="A516" s="331"/>
      <c r="B516" s="335"/>
      <c r="C516" s="335"/>
      <c r="D516" s="335"/>
      <c r="E516" s="390"/>
      <c r="F516" s="287"/>
      <c r="G516" s="12"/>
      <c r="H516" s="12"/>
    </row>
    <row r="517" spans="1:8" ht="20">
      <c r="A517" s="331"/>
      <c r="B517" s="335"/>
      <c r="C517" s="335"/>
      <c r="D517" s="335"/>
      <c r="E517" s="390"/>
      <c r="F517" s="287"/>
      <c r="G517" s="12"/>
      <c r="H517" s="12"/>
    </row>
    <row r="518" spans="1:8" ht="20">
      <c r="A518" s="331"/>
      <c r="B518" s="335"/>
      <c r="C518" s="335"/>
      <c r="D518" s="335"/>
      <c r="E518" s="390"/>
      <c r="F518" s="287"/>
      <c r="G518" s="12"/>
      <c r="H518" s="12"/>
    </row>
    <row r="519" spans="1:8" ht="20">
      <c r="A519" s="331"/>
      <c r="B519" s="335"/>
      <c r="C519" s="335"/>
      <c r="D519" s="335"/>
      <c r="E519" s="390"/>
      <c r="F519" s="287"/>
      <c r="G519" s="12"/>
      <c r="H519" s="12"/>
    </row>
    <row r="520" spans="1:8" ht="20">
      <c r="A520" s="331"/>
      <c r="B520" s="335"/>
      <c r="C520" s="335"/>
      <c r="D520" s="335"/>
      <c r="E520" s="390"/>
      <c r="F520" s="287"/>
      <c r="G520" s="12"/>
      <c r="H520" s="12"/>
    </row>
    <row r="521" spans="1:8" ht="20">
      <c r="A521" s="331"/>
      <c r="B521" s="335"/>
      <c r="C521" s="335"/>
      <c r="D521" s="335"/>
      <c r="E521" s="390"/>
      <c r="F521" s="287"/>
      <c r="G521" s="12"/>
      <c r="H521" s="12"/>
    </row>
    <row r="522" spans="1:8" ht="20">
      <c r="A522" s="331"/>
      <c r="B522" s="335"/>
      <c r="C522" s="335"/>
      <c r="D522" s="335"/>
      <c r="E522" s="390"/>
      <c r="F522" s="287"/>
      <c r="G522" s="12"/>
      <c r="H522" s="12"/>
    </row>
    <row r="523" spans="1:8" ht="20">
      <c r="A523" s="331"/>
      <c r="B523" s="335"/>
      <c r="C523" s="335"/>
      <c r="D523" s="335"/>
      <c r="E523" s="390"/>
      <c r="F523" s="287"/>
      <c r="G523" s="12"/>
      <c r="H523" s="12"/>
    </row>
    <row r="524" spans="1:8" ht="20">
      <c r="A524" s="331"/>
      <c r="B524" s="335"/>
      <c r="C524" s="335"/>
      <c r="D524" s="335"/>
      <c r="E524" s="390"/>
      <c r="F524" s="287"/>
      <c r="G524" s="12"/>
      <c r="H524" s="12"/>
    </row>
    <row r="525" spans="1:8" ht="20">
      <c r="A525" s="331"/>
      <c r="B525" s="335"/>
      <c r="C525" s="335"/>
      <c r="D525" s="335"/>
      <c r="E525" s="390"/>
      <c r="F525" s="287"/>
      <c r="G525" s="12"/>
      <c r="H525" s="12"/>
    </row>
    <row r="526" spans="1:8" ht="20">
      <c r="A526" s="331"/>
      <c r="B526" s="335"/>
      <c r="C526" s="335"/>
      <c r="D526" s="335"/>
      <c r="E526" s="390"/>
      <c r="F526" s="287"/>
      <c r="G526" s="12"/>
      <c r="H526" s="12"/>
    </row>
    <row r="527" spans="1:8" ht="20">
      <c r="A527" s="331"/>
      <c r="B527" s="335"/>
      <c r="C527" s="335"/>
      <c r="D527" s="335"/>
      <c r="E527" s="390"/>
      <c r="F527" s="287"/>
      <c r="G527" s="12"/>
      <c r="H527" s="12"/>
    </row>
    <row r="528" spans="1:8" ht="20">
      <c r="A528" s="331"/>
      <c r="B528" s="335"/>
      <c r="C528" s="335"/>
      <c r="D528" s="335"/>
      <c r="E528" s="390"/>
      <c r="F528" s="287"/>
      <c r="G528" s="12"/>
      <c r="H528" s="12"/>
    </row>
    <row r="529" spans="1:8" ht="20">
      <c r="A529" s="331"/>
      <c r="B529" s="335"/>
      <c r="C529" s="335"/>
      <c r="D529" s="335"/>
      <c r="E529" s="390"/>
      <c r="F529" s="287"/>
      <c r="G529" s="12"/>
      <c r="H529" s="12"/>
    </row>
    <row r="530" spans="1:8" ht="20">
      <c r="A530" s="331"/>
      <c r="B530" s="335"/>
      <c r="C530" s="335"/>
      <c r="D530" s="335"/>
      <c r="E530" s="390"/>
      <c r="F530" s="287"/>
      <c r="G530" s="12"/>
      <c r="H530" s="12"/>
    </row>
    <row r="531" spans="1:8" ht="20">
      <c r="A531" s="331"/>
      <c r="B531" s="335"/>
      <c r="C531" s="335"/>
      <c r="D531" s="335"/>
      <c r="E531" s="390"/>
      <c r="F531" s="287"/>
      <c r="G531" s="12"/>
      <c r="H531" s="12"/>
    </row>
    <row r="532" spans="1:8" ht="20">
      <c r="A532" s="331"/>
      <c r="B532" s="335"/>
      <c r="C532" s="335"/>
      <c r="D532" s="335"/>
      <c r="E532" s="390"/>
      <c r="F532" s="287"/>
      <c r="G532" s="12"/>
      <c r="H532" s="12"/>
    </row>
    <row r="533" spans="1:8" ht="20">
      <c r="A533" s="331"/>
      <c r="B533" s="335"/>
      <c r="C533" s="335"/>
      <c r="D533" s="335"/>
      <c r="E533" s="390"/>
      <c r="F533" s="287"/>
      <c r="G533" s="12"/>
      <c r="H533" s="12"/>
    </row>
    <row r="534" spans="1:8" ht="20">
      <c r="A534" s="331"/>
      <c r="B534" s="335"/>
      <c r="C534" s="335"/>
      <c r="D534" s="335"/>
      <c r="E534" s="390"/>
      <c r="F534" s="287"/>
      <c r="G534" s="12"/>
      <c r="H534" s="12"/>
    </row>
    <row r="535" spans="1:8" ht="20">
      <c r="A535" s="331"/>
      <c r="B535" s="335"/>
      <c r="C535" s="335"/>
      <c r="D535" s="335"/>
      <c r="E535" s="390"/>
      <c r="F535" s="287"/>
      <c r="G535" s="12"/>
      <c r="H535" s="12"/>
    </row>
    <row r="536" spans="1:8" ht="20">
      <c r="A536" s="331"/>
      <c r="B536" s="335"/>
      <c r="C536" s="335"/>
      <c r="D536" s="335"/>
      <c r="E536" s="390"/>
      <c r="F536" s="287"/>
      <c r="G536" s="12"/>
      <c r="H536" s="12"/>
    </row>
    <row r="537" spans="1:8" ht="20">
      <c r="A537" s="331"/>
      <c r="B537" s="335"/>
      <c r="C537" s="335"/>
      <c r="D537" s="335"/>
      <c r="E537" s="390"/>
      <c r="F537" s="287"/>
      <c r="G537" s="12"/>
      <c r="H537" s="12"/>
    </row>
    <row r="538" spans="1:8" ht="20">
      <c r="A538" s="331"/>
      <c r="B538" s="335"/>
      <c r="C538" s="335"/>
      <c r="D538" s="335"/>
      <c r="E538" s="390"/>
      <c r="F538" s="287"/>
      <c r="G538" s="12"/>
      <c r="H538" s="12"/>
    </row>
    <row r="539" spans="1:8" ht="20">
      <c r="A539" s="331"/>
      <c r="B539" s="335"/>
      <c r="C539" s="335"/>
      <c r="D539" s="335"/>
      <c r="E539" s="390"/>
      <c r="F539" s="287"/>
      <c r="G539" s="12"/>
      <c r="H539" s="12"/>
    </row>
    <row r="540" spans="1:8" ht="20">
      <c r="A540" s="331"/>
      <c r="B540" s="335"/>
      <c r="C540" s="335"/>
      <c r="D540" s="335"/>
      <c r="E540" s="390"/>
      <c r="F540" s="287"/>
      <c r="G540" s="12"/>
      <c r="H540" s="12"/>
    </row>
    <row r="541" spans="1:8" ht="20">
      <c r="A541" s="331"/>
      <c r="B541" s="335"/>
      <c r="C541" s="335"/>
      <c r="D541" s="335"/>
      <c r="E541" s="390"/>
      <c r="F541" s="287"/>
      <c r="G541" s="12"/>
      <c r="H541" s="12"/>
    </row>
    <row r="542" spans="1:8" ht="20">
      <c r="A542" s="331"/>
      <c r="B542" s="335"/>
      <c r="C542" s="335"/>
      <c r="D542" s="335"/>
      <c r="E542" s="390"/>
      <c r="F542" s="287"/>
      <c r="G542" s="12"/>
      <c r="H542" s="12"/>
    </row>
    <row r="543" spans="1:8" ht="20">
      <c r="A543" s="331"/>
      <c r="B543" s="335"/>
      <c r="C543" s="335"/>
      <c r="D543" s="335"/>
      <c r="E543" s="390"/>
      <c r="F543" s="287"/>
      <c r="G543" s="12"/>
      <c r="H543" s="12"/>
    </row>
    <row r="544" spans="1:8" ht="20">
      <c r="A544" s="331"/>
      <c r="B544" s="335"/>
      <c r="C544" s="335"/>
      <c r="D544" s="335"/>
      <c r="E544" s="390"/>
      <c r="F544" s="287"/>
      <c r="G544" s="12"/>
      <c r="H544" s="12"/>
    </row>
    <row r="545" spans="1:8" ht="20">
      <c r="A545" s="331"/>
      <c r="B545" s="335"/>
      <c r="C545" s="335"/>
      <c r="D545" s="335"/>
      <c r="E545" s="390"/>
      <c r="F545" s="287"/>
      <c r="G545" s="12"/>
      <c r="H545" s="12"/>
    </row>
    <row r="546" spans="1:8" ht="20">
      <c r="A546" s="331"/>
      <c r="B546" s="335"/>
      <c r="C546" s="335"/>
      <c r="D546" s="335"/>
      <c r="E546" s="390"/>
      <c r="F546" s="287"/>
      <c r="G546" s="12"/>
      <c r="H546" s="12"/>
    </row>
    <row r="547" spans="1:8" ht="20">
      <c r="A547" s="331"/>
      <c r="B547" s="335"/>
      <c r="C547" s="335"/>
      <c r="D547" s="335"/>
      <c r="E547" s="390"/>
      <c r="F547" s="287"/>
      <c r="G547" s="12"/>
      <c r="H547" s="12"/>
    </row>
    <row r="548" spans="1:8" ht="20">
      <c r="A548" s="331"/>
      <c r="B548" s="335"/>
      <c r="C548" s="335"/>
      <c r="D548" s="335"/>
      <c r="E548" s="390"/>
      <c r="F548" s="287"/>
      <c r="G548" s="12"/>
      <c r="H548" s="12"/>
    </row>
    <row r="549" spans="1:8" ht="20">
      <c r="A549" s="331"/>
      <c r="B549" s="335"/>
      <c r="C549" s="335"/>
      <c r="D549" s="335"/>
      <c r="E549" s="390"/>
      <c r="F549" s="287"/>
      <c r="G549" s="12"/>
      <c r="H549" s="12"/>
    </row>
    <row r="550" spans="1:8" ht="20">
      <c r="A550" s="331"/>
      <c r="B550" s="335"/>
      <c r="C550" s="335"/>
      <c r="D550" s="335"/>
      <c r="E550" s="390"/>
      <c r="F550" s="287"/>
      <c r="G550" s="12"/>
      <c r="H550" s="12"/>
    </row>
    <row r="551" spans="1:8" ht="20">
      <c r="A551" s="331"/>
      <c r="B551" s="335"/>
      <c r="C551" s="335"/>
      <c r="D551" s="335"/>
      <c r="E551" s="390"/>
      <c r="F551" s="287"/>
      <c r="G551" s="12"/>
      <c r="H551" s="12"/>
    </row>
    <row r="552" spans="1:8" ht="20">
      <c r="A552" s="331"/>
      <c r="B552" s="335"/>
      <c r="C552" s="335"/>
      <c r="D552" s="335"/>
      <c r="E552" s="390"/>
      <c r="F552" s="287"/>
      <c r="G552" s="12"/>
      <c r="H552" s="12"/>
    </row>
    <row r="553" spans="1:8" ht="20">
      <c r="A553" s="331"/>
      <c r="B553" s="335"/>
      <c r="C553" s="335"/>
      <c r="D553" s="335"/>
      <c r="E553" s="390"/>
      <c r="F553" s="287"/>
      <c r="G553" s="12"/>
      <c r="H553" s="12"/>
    </row>
    <row r="554" spans="1:8" ht="20">
      <c r="A554" s="331"/>
      <c r="B554" s="335"/>
      <c r="C554" s="335"/>
      <c r="D554" s="335"/>
      <c r="E554" s="390"/>
      <c r="F554" s="287"/>
      <c r="G554" s="12"/>
      <c r="H554" s="12"/>
    </row>
    <row r="555" spans="1:8" ht="20">
      <c r="A555" s="331"/>
      <c r="B555" s="335"/>
      <c r="C555" s="335"/>
      <c r="D555" s="335"/>
      <c r="E555" s="390"/>
      <c r="F555" s="287"/>
      <c r="G555" s="12"/>
      <c r="H555" s="12"/>
    </row>
    <row r="556" spans="1:8" ht="20">
      <c r="A556" s="331"/>
      <c r="B556" s="335"/>
      <c r="C556" s="335"/>
      <c r="D556" s="335"/>
      <c r="E556" s="390"/>
      <c r="F556" s="287"/>
      <c r="G556" s="12"/>
      <c r="H556" s="12"/>
    </row>
    <row r="557" spans="1:8" ht="20">
      <c r="A557" s="331"/>
      <c r="B557" s="335"/>
      <c r="C557" s="335"/>
      <c r="D557" s="335"/>
      <c r="E557" s="390"/>
      <c r="F557" s="287"/>
      <c r="G557" s="12"/>
      <c r="H557" s="12"/>
    </row>
    <row r="558" spans="1:8" ht="20">
      <c r="A558" s="331"/>
      <c r="B558" s="335"/>
      <c r="C558" s="335"/>
      <c r="D558" s="335"/>
      <c r="E558" s="390"/>
      <c r="F558" s="287"/>
      <c r="G558" s="12"/>
      <c r="H558" s="12"/>
    </row>
    <row r="559" spans="1:8" ht="20">
      <c r="A559" s="331"/>
      <c r="B559" s="335"/>
      <c r="C559" s="335"/>
      <c r="D559" s="335"/>
      <c r="E559" s="390"/>
      <c r="F559" s="287"/>
      <c r="G559" s="12"/>
      <c r="H559" s="12"/>
    </row>
    <row r="560" spans="1:8" ht="20">
      <c r="A560" s="331"/>
      <c r="B560" s="335"/>
      <c r="C560" s="335"/>
      <c r="D560" s="335"/>
      <c r="E560" s="390"/>
      <c r="F560" s="287"/>
      <c r="G560" s="12"/>
      <c r="H560" s="12"/>
    </row>
    <row r="561" spans="1:8" ht="20">
      <c r="A561" s="331"/>
      <c r="B561" s="335"/>
      <c r="C561" s="335"/>
      <c r="D561" s="335"/>
      <c r="E561" s="390"/>
      <c r="F561" s="287"/>
      <c r="G561" s="12"/>
      <c r="H561" s="12"/>
    </row>
    <row r="562" spans="1:8" ht="20">
      <c r="A562" s="331"/>
      <c r="B562" s="335"/>
      <c r="C562" s="335"/>
      <c r="D562" s="335"/>
      <c r="E562" s="390"/>
      <c r="F562" s="287"/>
      <c r="G562" s="12"/>
      <c r="H562" s="12"/>
    </row>
    <row r="563" spans="1:8" ht="20">
      <c r="A563" s="331"/>
      <c r="B563" s="335"/>
      <c r="C563" s="335"/>
      <c r="D563" s="335"/>
      <c r="E563" s="390"/>
      <c r="F563" s="287"/>
      <c r="G563" s="12"/>
      <c r="H563" s="12"/>
    </row>
    <row r="564" spans="1:8" ht="20">
      <c r="A564" s="331"/>
      <c r="B564" s="335"/>
      <c r="C564" s="335"/>
      <c r="D564" s="335"/>
      <c r="E564" s="390"/>
      <c r="F564" s="287"/>
      <c r="G564" s="12"/>
      <c r="H564" s="12"/>
    </row>
    <row r="565" spans="1:8" ht="20">
      <c r="A565" s="331"/>
      <c r="B565" s="335"/>
      <c r="C565" s="335"/>
      <c r="D565" s="335"/>
      <c r="E565" s="390"/>
      <c r="F565" s="287"/>
      <c r="G565" s="12"/>
      <c r="H565" s="12"/>
    </row>
    <row r="566" spans="1:8" ht="20">
      <c r="A566" s="331"/>
      <c r="B566" s="335"/>
      <c r="C566" s="335"/>
      <c r="D566" s="335"/>
      <c r="E566" s="390"/>
      <c r="F566" s="287"/>
      <c r="G566" s="12"/>
      <c r="H566" s="12"/>
    </row>
    <row r="567" spans="1:8" ht="20">
      <c r="A567" s="331"/>
      <c r="B567" s="335"/>
      <c r="C567" s="335"/>
      <c r="D567" s="335"/>
      <c r="E567" s="390"/>
      <c r="F567" s="287"/>
      <c r="G567" s="12"/>
      <c r="H567" s="12"/>
    </row>
    <row r="568" spans="1:8" ht="20">
      <c r="A568" s="331"/>
      <c r="B568" s="335"/>
      <c r="C568" s="335"/>
      <c r="D568" s="335"/>
      <c r="E568" s="390"/>
      <c r="F568" s="287"/>
      <c r="G568" s="12"/>
      <c r="H568" s="12"/>
    </row>
    <row r="569" spans="1:8" ht="20">
      <c r="A569" s="331"/>
      <c r="B569" s="335"/>
      <c r="C569" s="335"/>
      <c r="D569" s="335"/>
      <c r="E569" s="390"/>
      <c r="F569" s="287"/>
      <c r="G569" s="12"/>
      <c r="H569" s="12"/>
    </row>
    <row r="570" spans="1:8" ht="20">
      <c r="A570" s="331"/>
      <c r="B570" s="335"/>
      <c r="C570" s="335"/>
      <c r="D570" s="335"/>
      <c r="E570" s="390"/>
      <c r="F570" s="287"/>
      <c r="G570" s="12"/>
      <c r="H570" s="12"/>
    </row>
    <row r="571" spans="1:8" ht="20">
      <c r="A571" s="331"/>
      <c r="B571" s="335"/>
      <c r="C571" s="335"/>
      <c r="D571" s="335"/>
      <c r="E571" s="390"/>
      <c r="F571" s="287"/>
      <c r="G571" s="12"/>
      <c r="H571" s="12"/>
    </row>
    <row r="572" spans="1:8" ht="20">
      <c r="A572" s="331"/>
      <c r="B572" s="335"/>
      <c r="C572" s="335"/>
      <c r="D572" s="335"/>
      <c r="E572" s="390"/>
      <c r="F572" s="287"/>
      <c r="G572" s="12"/>
      <c r="H572" s="12"/>
    </row>
    <row r="573" spans="1:8" ht="20">
      <c r="A573" s="331"/>
      <c r="B573" s="335"/>
      <c r="C573" s="335"/>
      <c r="D573" s="335"/>
      <c r="E573" s="390"/>
      <c r="F573" s="287"/>
      <c r="G573" s="12"/>
      <c r="H573" s="12"/>
    </row>
    <row r="574" spans="1:8" ht="20">
      <c r="A574" s="331"/>
      <c r="B574" s="335"/>
      <c r="C574" s="335"/>
      <c r="D574" s="335"/>
      <c r="E574" s="390"/>
      <c r="F574" s="287"/>
      <c r="G574" s="12"/>
      <c r="H574" s="12"/>
    </row>
    <row r="575" spans="1:8" ht="20">
      <c r="A575" s="331"/>
      <c r="B575" s="335"/>
      <c r="C575" s="335"/>
      <c r="D575" s="335"/>
      <c r="E575" s="390"/>
      <c r="F575" s="287"/>
      <c r="G575" s="12"/>
      <c r="H575" s="12"/>
    </row>
    <row r="576" spans="1:8" ht="20">
      <c r="A576" s="331"/>
      <c r="B576" s="335"/>
      <c r="C576" s="335"/>
      <c r="D576" s="335"/>
      <c r="E576" s="390"/>
      <c r="F576" s="287"/>
      <c r="G576" s="12"/>
      <c r="H576" s="12"/>
    </row>
    <row r="577" spans="1:8" ht="20">
      <c r="A577" s="331"/>
      <c r="B577" s="335"/>
      <c r="C577" s="335"/>
      <c r="D577" s="335"/>
      <c r="E577" s="390"/>
      <c r="F577" s="287"/>
      <c r="G577" s="12"/>
      <c r="H577" s="12"/>
    </row>
    <row r="578" spans="1:8" ht="20">
      <c r="A578" s="331"/>
      <c r="B578" s="335"/>
      <c r="C578" s="335"/>
      <c r="D578" s="335"/>
      <c r="E578" s="390"/>
      <c r="F578" s="287"/>
      <c r="G578" s="12"/>
      <c r="H578" s="12"/>
    </row>
    <row r="579" spans="1:8" ht="20">
      <c r="A579" s="331"/>
      <c r="B579" s="335"/>
      <c r="C579" s="335"/>
      <c r="D579" s="335"/>
      <c r="E579" s="390"/>
      <c r="F579" s="287"/>
      <c r="G579" s="12"/>
      <c r="H579" s="12"/>
    </row>
    <row r="580" spans="1:8" ht="20">
      <c r="A580" s="331"/>
      <c r="B580" s="335"/>
      <c r="C580" s="335"/>
      <c r="D580" s="335"/>
      <c r="E580" s="390"/>
      <c r="F580" s="287"/>
      <c r="G580" s="12"/>
      <c r="H580" s="12"/>
    </row>
    <row r="581" spans="1:8" ht="20">
      <c r="A581" s="331"/>
      <c r="B581" s="335"/>
      <c r="C581" s="335"/>
      <c r="D581" s="335"/>
      <c r="E581" s="390"/>
      <c r="F581" s="287"/>
      <c r="G581" s="12"/>
      <c r="H581" s="12"/>
    </row>
    <row r="582" spans="1:8" ht="20">
      <c r="A582" s="331"/>
      <c r="B582" s="335"/>
      <c r="C582" s="335"/>
      <c r="D582" s="335"/>
      <c r="E582" s="390"/>
      <c r="F582" s="287"/>
      <c r="G582" s="12"/>
      <c r="H582" s="12"/>
    </row>
    <row r="583" spans="1:8" ht="20">
      <c r="A583" s="331"/>
      <c r="B583" s="335"/>
      <c r="C583" s="335"/>
      <c r="D583" s="335"/>
      <c r="E583" s="390"/>
      <c r="F583" s="287"/>
      <c r="G583" s="12"/>
      <c r="H583" s="12"/>
    </row>
    <row r="584" spans="1:8" ht="20">
      <c r="A584" s="331"/>
      <c r="B584" s="335"/>
      <c r="C584" s="335"/>
      <c r="D584" s="335"/>
      <c r="E584" s="390"/>
      <c r="F584" s="287"/>
      <c r="G584" s="12"/>
      <c r="H584" s="12"/>
    </row>
    <row r="585" spans="1:8" ht="20">
      <c r="A585" s="331"/>
      <c r="B585" s="335"/>
      <c r="C585" s="335"/>
      <c r="D585" s="335"/>
      <c r="E585" s="390"/>
      <c r="F585" s="287"/>
      <c r="G585" s="12"/>
      <c r="H585" s="12"/>
    </row>
    <row r="586" spans="1:8" ht="20">
      <c r="A586" s="331"/>
      <c r="B586" s="335"/>
      <c r="C586" s="335"/>
      <c r="D586" s="335"/>
      <c r="E586" s="390"/>
      <c r="F586" s="287"/>
      <c r="G586" s="12"/>
      <c r="H586" s="12"/>
    </row>
    <row r="587" spans="1:8" ht="20">
      <c r="A587" s="331"/>
      <c r="B587" s="335"/>
      <c r="C587" s="335"/>
      <c r="D587" s="335"/>
      <c r="E587" s="390"/>
      <c r="F587" s="287"/>
      <c r="G587" s="12"/>
      <c r="H587" s="12"/>
    </row>
    <row r="588" spans="1:8" ht="20">
      <c r="A588" s="331"/>
      <c r="B588" s="335"/>
      <c r="C588" s="335"/>
      <c r="D588" s="335"/>
      <c r="E588" s="390"/>
      <c r="F588" s="287"/>
      <c r="G588" s="12"/>
      <c r="H588" s="12"/>
    </row>
    <row r="589" spans="1:8" ht="20">
      <c r="A589" s="331"/>
      <c r="B589" s="335"/>
      <c r="C589" s="335"/>
      <c r="D589" s="335"/>
      <c r="E589" s="390"/>
      <c r="F589" s="287"/>
      <c r="G589" s="12"/>
      <c r="H589" s="12"/>
    </row>
    <row r="590" spans="1:8" ht="20">
      <c r="A590" s="331"/>
      <c r="B590" s="335"/>
      <c r="C590" s="335"/>
      <c r="D590" s="335"/>
      <c r="E590" s="390"/>
      <c r="F590" s="287"/>
      <c r="G590" s="12"/>
      <c r="H590" s="12"/>
    </row>
    <row r="591" spans="1:8" ht="20">
      <c r="A591" s="331"/>
      <c r="B591" s="335"/>
      <c r="C591" s="335"/>
      <c r="D591" s="335"/>
      <c r="E591" s="390"/>
      <c r="F591" s="287"/>
      <c r="G591" s="12"/>
      <c r="H591" s="12"/>
    </row>
    <row r="592" spans="1:8" ht="20">
      <c r="A592" s="331"/>
      <c r="B592" s="335"/>
      <c r="C592" s="335"/>
      <c r="D592" s="335"/>
      <c r="E592" s="390"/>
      <c r="F592" s="287"/>
      <c r="G592" s="12"/>
      <c r="H592" s="12"/>
    </row>
    <row r="593" spans="1:8" ht="20">
      <c r="A593" s="331"/>
      <c r="B593" s="335"/>
      <c r="C593" s="335"/>
      <c r="D593" s="335"/>
      <c r="E593" s="390"/>
      <c r="F593" s="287"/>
      <c r="G593" s="12"/>
      <c r="H593" s="12"/>
    </row>
    <row r="594" spans="1:8" ht="20">
      <c r="A594" s="331"/>
      <c r="B594" s="335"/>
      <c r="C594" s="335"/>
      <c r="D594" s="335"/>
      <c r="E594" s="390"/>
      <c r="F594" s="287"/>
      <c r="G594" s="12"/>
      <c r="H594" s="12"/>
    </row>
    <row r="595" spans="1:8" ht="20">
      <c r="A595" s="331"/>
      <c r="B595" s="335"/>
      <c r="C595" s="335"/>
      <c r="D595" s="335"/>
      <c r="E595" s="390"/>
      <c r="F595" s="287"/>
      <c r="G595" s="12"/>
      <c r="H595" s="12"/>
    </row>
    <row r="596" spans="1:8" ht="20">
      <c r="A596" s="331"/>
      <c r="B596" s="335"/>
      <c r="C596" s="335"/>
      <c r="D596" s="335"/>
      <c r="E596" s="390"/>
      <c r="F596" s="287"/>
      <c r="G596" s="12"/>
      <c r="H596" s="12"/>
    </row>
    <row r="597" spans="1:8" ht="20">
      <c r="A597" s="331"/>
      <c r="B597" s="335"/>
      <c r="C597" s="335"/>
      <c r="D597" s="335"/>
      <c r="E597" s="390"/>
      <c r="F597" s="287"/>
      <c r="G597" s="12"/>
      <c r="H597" s="12"/>
    </row>
    <row r="598" spans="1:8" ht="20">
      <c r="A598" s="331"/>
      <c r="B598" s="335"/>
      <c r="C598" s="335"/>
      <c r="D598" s="335"/>
      <c r="E598" s="390"/>
      <c r="F598" s="287"/>
      <c r="G598" s="12"/>
      <c r="H598" s="12"/>
    </row>
    <row r="599" spans="1:8" ht="20">
      <c r="A599" s="331"/>
      <c r="B599" s="335"/>
      <c r="C599" s="335"/>
      <c r="D599" s="335"/>
      <c r="E599" s="390"/>
      <c r="F599" s="287"/>
      <c r="G599" s="12"/>
      <c r="H599" s="12"/>
    </row>
    <row r="600" spans="1:8" ht="20">
      <c r="A600" s="331"/>
      <c r="B600" s="335"/>
      <c r="C600" s="335"/>
      <c r="D600" s="335"/>
      <c r="E600" s="390"/>
      <c r="F600" s="287"/>
      <c r="G600" s="12"/>
      <c r="H600" s="12"/>
    </row>
    <row r="601" spans="1:8" ht="20">
      <c r="A601" s="331"/>
      <c r="B601" s="335"/>
      <c r="C601" s="335"/>
      <c r="D601" s="335"/>
      <c r="E601" s="390"/>
      <c r="F601" s="287"/>
      <c r="G601" s="12"/>
      <c r="H601" s="12"/>
    </row>
    <row r="602" spans="1:8" ht="20">
      <c r="A602" s="331"/>
      <c r="B602" s="335"/>
      <c r="C602" s="335"/>
      <c r="D602" s="335"/>
      <c r="E602" s="390"/>
      <c r="F602" s="287"/>
      <c r="G602" s="12"/>
      <c r="H602" s="12"/>
    </row>
    <row r="603" spans="1:8" ht="20">
      <c r="A603" s="331"/>
      <c r="B603" s="335"/>
      <c r="C603" s="335"/>
      <c r="D603" s="335"/>
      <c r="E603" s="390"/>
      <c r="F603" s="287"/>
      <c r="G603" s="12"/>
      <c r="H603" s="12"/>
    </row>
    <row r="604" spans="1:8" ht="20">
      <c r="A604" s="331"/>
      <c r="B604" s="335"/>
      <c r="C604" s="335"/>
      <c r="D604" s="335"/>
      <c r="E604" s="390"/>
      <c r="F604" s="287"/>
      <c r="G604" s="12"/>
      <c r="H604" s="12"/>
    </row>
    <row r="605" spans="1:8" ht="20">
      <c r="A605" s="331"/>
      <c r="B605" s="335"/>
      <c r="C605" s="335"/>
      <c r="D605" s="335"/>
      <c r="E605" s="390"/>
      <c r="F605" s="287"/>
      <c r="G605" s="12"/>
      <c r="H605" s="12"/>
    </row>
    <row r="606" spans="1:8" ht="20">
      <c r="A606" s="331"/>
      <c r="B606" s="335"/>
      <c r="C606" s="335"/>
      <c r="D606" s="335"/>
      <c r="E606" s="390"/>
      <c r="F606" s="287"/>
      <c r="G606" s="12"/>
      <c r="H606" s="12"/>
    </row>
    <row r="607" spans="1:8" ht="20">
      <c r="A607" s="331"/>
      <c r="B607" s="335"/>
      <c r="C607" s="335"/>
      <c r="D607" s="335"/>
      <c r="E607" s="390"/>
      <c r="F607" s="287"/>
      <c r="G607" s="12"/>
      <c r="H607" s="12"/>
    </row>
    <row r="608" spans="1:8" ht="20">
      <c r="A608" s="331"/>
      <c r="B608" s="335"/>
      <c r="C608" s="335"/>
      <c r="D608" s="335"/>
      <c r="E608" s="390"/>
      <c r="F608" s="287"/>
      <c r="G608" s="12"/>
      <c r="H608" s="12"/>
    </row>
    <row r="609" spans="1:8" ht="20">
      <c r="A609" s="331"/>
      <c r="B609" s="335"/>
      <c r="C609" s="335"/>
      <c r="D609" s="335"/>
      <c r="E609" s="390"/>
      <c r="F609" s="287"/>
      <c r="G609" s="12"/>
      <c r="H609" s="12"/>
    </row>
    <row r="610" spans="1:8" ht="20">
      <c r="A610" s="331"/>
      <c r="B610" s="335"/>
      <c r="C610" s="335"/>
      <c r="D610" s="335"/>
      <c r="E610" s="390"/>
      <c r="F610" s="287"/>
      <c r="G610" s="12"/>
      <c r="H610" s="12"/>
    </row>
    <row r="611" spans="1:8" ht="20">
      <c r="A611" s="331"/>
      <c r="B611" s="335"/>
      <c r="C611" s="335"/>
      <c r="D611" s="335"/>
      <c r="E611" s="390"/>
      <c r="F611" s="287"/>
      <c r="G611" s="12"/>
      <c r="H611" s="12"/>
    </row>
    <row r="612" spans="1:8" ht="20">
      <c r="A612" s="331"/>
      <c r="B612" s="335"/>
      <c r="C612" s="335"/>
      <c r="D612" s="335"/>
      <c r="E612" s="390"/>
      <c r="F612" s="287"/>
      <c r="G612" s="12"/>
      <c r="H612" s="12"/>
    </row>
    <row r="613" spans="1:8" ht="20">
      <c r="A613" s="331"/>
      <c r="B613" s="335"/>
      <c r="C613" s="335"/>
      <c r="D613" s="335"/>
      <c r="E613" s="390"/>
      <c r="F613" s="287"/>
      <c r="G613" s="12"/>
      <c r="H613" s="12"/>
    </row>
    <row r="614" spans="1:8" ht="20">
      <c r="A614" s="331"/>
      <c r="B614" s="335"/>
      <c r="C614" s="335"/>
      <c r="D614" s="335"/>
      <c r="E614" s="390"/>
      <c r="F614" s="287"/>
      <c r="G614" s="12"/>
      <c r="H614" s="12"/>
    </row>
    <row r="615" spans="1:8" ht="20">
      <c r="A615" s="331"/>
      <c r="B615" s="335"/>
      <c r="C615" s="335"/>
      <c r="D615" s="335"/>
      <c r="E615" s="390"/>
      <c r="F615" s="287"/>
      <c r="G615" s="12"/>
      <c r="H615" s="12"/>
    </row>
    <row r="616" spans="1:8" ht="20">
      <c r="A616" s="331"/>
      <c r="B616" s="335"/>
      <c r="C616" s="335"/>
      <c r="D616" s="335"/>
      <c r="E616" s="390"/>
      <c r="F616" s="287"/>
      <c r="G616" s="12"/>
      <c r="H616" s="12"/>
    </row>
    <row r="617" spans="1:8" ht="20">
      <c r="A617" s="331"/>
      <c r="B617" s="335"/>
      <c r="C617" s="335"/>
      <c r="D617" s="335"/>
      <c r="E617" s="390"/>
      <c r="F617" s="287"/>
      <c r="G617" s="12"/>
      <c r="H617" s="12"/>
    </row>
    <row r="618" spans="1:8" ht="20">
      <c r="A618" s="331"/>
      <c r="B618" s="335"/>
      <c r="C618" s="335"/>
      <c r="D618" s="335"/>
      <c r="E618" s="390"/>
      <c r="F618" s="287"/>
      <c r="G618" s="12"/>
      <c r="H618" s="12"/>
    </row>
    <row r="619" spans="1:8" ht="20">
      <c r="A619" s="331"/>
      <c r="B619" s="335"/>
      <c r="C619" s="335"/>
      <c r="D619" s="335"/>
      <c r="E619" s="390"/>
      <c r="F619" s="287"/>
      <c r="G619" s="12"/>
      <c r="H619" s="12"/>
    </row>
    <row r="620" spans="1:8" ht="20">
      <c r="A620" s="331"/>
      <c r="B620" s="335"/>
      <c r="C620" s="335"/>
      <c r="D620" s="335"/>
      <c r="E620" s="390"/>
      <c r="F620" s="287"/>
      <c r="G620" s="12"/>
      <c r="H620" s="12"/>
    </row>
    <row r="621" spans="1:8" ht="20">
      <c r="A621" s="331"/>
      <c r="B621" s="335"/>
      <c r="C621" s="335"/>
      <c r="D621" s="335"/>
      <c r="E621" s="390"/>
      <c r="F621" s="287"/>
      <c r="G621" s="12"/>
      <c r="H621" s="12"/>
    </row>
    <row r="622" spans="1:8" ht="20">
      <c r="A622" s="331"/>
      <c r="B622" s="335"/>
      <c r="C622" s="335"/>
      <c r="D622" s="335"/>
      <c r="E622" s="390"/>
      <c r="F622" s="287"/>
      <c r="G622" s="12"/>
      <c r="H622" s="12"/>
    </row>
    <row r="623" spans="1:8" ht="20">
      <c r="A623" s="331"/>
      <c r="B623" s="335"/>
      <c r="C623" s="335"/>
      <c r="D623" s="335"/>
      <c r="E623" s="390"/>
      <c r="F623" s="287"/>
      <c r="G623" s="12"/>
      <c r="H623" s="12"/>
    </row>
    <row r="624" spans="1:8" ht="20">
      <c r="A624" s="331"/>
      <c r="B624" s="335"/>
      <c r="C624" s="335"/>
      <c r="D624" s="335"/>
      <c r="E624" s="390"/>
      <c r="F624" s="287"/>
      <c r="G624" s="12"/>
      <c r="H624" s="12"/>
    </row>
    <row r="625" spans="1:8" ht="20">
      <c r="A625" s="331"/>
      <c r="B625" s="335"/>
      <c r="C625" s="335"/>
      <c r="D625" s="335"/>
      <c r="E625" s="390"/>
      <c r="F625" s="287"/>
      <c r="G625" s="12"/>
      <c r="H625" s="12"/>
    </row>
    <row r="626" spans="1:8" ht="20">
      <c r="A626" s="331"/>
      <c r="B626" s="335"/>
      <c r="C626" s="335"/>
      <c r="D626" s="335"/>
      <c r="E626" s="390"/>
      <c r="F626" s="287"/>
      <c r="G626" s="12"/>
      <c r="H626" s="12"/>
    </row>
    <row r="627" spans="1:8" ht="20">
      <c r="A627" s="331"/>
      <c r="B627" s="335"/>
      <c r="C627" s="335"/>
      <c r="D627" s="335"/>
      <c r="E627" s="390"/>
      <c r="F627" s="287"/>
      <c r="G627" s="12"/>
      <c r="H627" s="12"/>
    </row>
    <row r="628" spans="1:8" ht="20">
      <c r="A628" s="331"/>
      <c r="B628" s="335"/>
      <c r="C628" s="335"/>
      <c r="D628" s="335"/>
      <c r="E628" s="390"/>
      <c r="F628" s="287"/>
      <c r="G628" s="12"/>
      <c r="H628" s="12"/>
    </row>
    <row r="629" spans="1:8" ht="20">
      <c r="A629" s="331"/>
      <c r="B629" s="335"/>
      <c r="C629" s="335"/>
      <c r="D629" s="335"/>
      <c r="E629" s="390"/>
      <c r="F629" s="287"/>
      <c r="G629" s="12"/>
      <c r="H629" s="12"/>
    </row>
    <row r="630" spans="1:8" ht="20">
      <c r="A630" s="331"/>
      <c r="B630" s="335"/>
      <c r="C630" s="335"/>
      <c r="D630" s="335"/>
      <c r="E630" s="390"/>
      <c r="F630" s="287"/>
      <c r="G630" s="12"/>
      <c r="H630" s="12"/>
    </row>
    <row r="631" spans="1:8" ht="20">
      <c r="A631" s="331"/>
      <c r="B631" s="335"/>
      <c r="C631" s="335"/>
      <c r="D631" s="335"/>
      <c r="E631" s="390"/>
      <c r="F631" s="287"/>
      <c r="G631" s="12"/>
      <c r="H631" s="12"/>
    </row>
    <row r="632" spans="1:8" ht="20">
      <c r="A632" s="331"/>
      <c r="B632" s="335"/>
      <c r="C632" s="335"/>
      <c r="D632" s="335"/>
      <c r="E632" s="390"/>
      <c r="F632" s="287"/>
      <c r="G632" s="12"/>
      <c r="H632" s="12"/>
    </row>
    <row r="633" spans="1:8" ht="20">
      <c r="A633" s="331"/>
      <c r="B633" s="335"/>
      <c r="C633" s="335"/>
      <c r="D633" s="335"/>
      <c r="E633" s="390"/>
      <c r="F633" s="287"/>
      <c r="G633" s="12"/>
      <c r="H633" s="12"/>
    </row>
    <row r="634" spans="1:8" ht="20">
      <c r="A634" s="331"/>
      <c r="B634" s="335"/>
      <c r="C634" s="335"/>
      <c r="D634" s="335"/>
      <c r="E634" s="390"/>
      <c r="F634" s="287"/>
      <c r="G634" s="12"/>
      <c r="H634" s="12"/>
    </row>
    <row r="635" spans="1:8" ht="20">
      <c r="A635" s="331"/>
      <c r="B635" s="335"/>
      <c r="C635" s="335"/>
      <c r="D635" s="335"/>
      <c r="E635" s="390"/>
      <c r="F635" s="287"/>
      <c r="G635" s="12"/>
      <c r="H635" s="12"/>
    </row>
    <row r="636" spans="1:8" ht="20">
      <c r="A636" s="331"/>
      <c r="B636" s="335"/>
      <c r="C636" s="335"/>
      <c r="D636" s="335"/>
      <c r="E636" s="390"/>
      <c r="F636" s="287"/>
      <c r="G636" s="12"/>
      <c r="H636" s="12"/>
    </row>
    <row r="637" spans="1:8" ht="20">
      <c r="A637" s="331"/>
      <c r="B637" s="335"/>
      <c r="C637" s="335"/>
      <c r="D637" s="335"/>
      <c r="E637" s="390"/>
      <c r="F637" s="287"/>
      <c r="G637" s="12"/>
      <c r="H637" s="12"/>
    </row>
    <row r="638" spans="1:8" ht="20">
      <c r="A638" s="331"/>
      <c r="B638" s="335"/>
      <c r="C638" s="335"/>
      <c r="D638" s="335"/>
      <c r="E638" s="390"/>
      <c r="F638" s="287"/>
      <c r="G638" s="12"/>
      <c r="H638" s="12"/>
    </row>
    <row r="639" spans="1:8" ht="20">
      <c r="A639" s="331"/>
      <c r="B639" s="335"/>
      <c r="C639" s="335"/>
      <c r="D639" s="335"/>
      <c r="E639" s="390"/>
      <c r="F639" s="287"/>
      <c r="G639" s="12"/>
      <c r="H639" s="12"/>
    </row>
    <row r="640" spans="1:8" ht="20">
      <c r="A640" s="331"/>
      <c r="B640" s="335"/>
      <c r="C640" s="335"/>
      <c r="D640" s="335"/>
      <c r="E640" s="390"/>
      <c r="F640" s="287"/>
      <c r="G640" s="12"/>
      <c r="H640" s="12"/>
    </row>
    <row r="641" spans="1:8" ht="20">
      <c r="A641" s="331"/>
      <c r="B641" s="335"/>
      <c r="C641" s="335"/>
      <c r="D641" s="335"/>
      <c r="E641" s="390"/>
      <c r="F641" s="287"/>
      <c r="G641" s="12"/>
      <c r="H641" s="12"/>
    </row>
    <row r="642" spans="1:8" ht="20">
      <c r="A642" s="331"/>
      <c r="B642" s="335"/>
      <c r="C642" s="335"/>
      <c r="D642" s="335"/>
      <c r="E642" s="390"/>
      <c r="F642" s="287"/>
      <c r="G642" s="12"/>
      <c r="H642" s="12"/>
    </row>
    <row r="643" spans="1:8" ht="20">
      <c r="A643" s="331"/>
      <c r="B643" s="335"/>
      <c r="C643" s="335"/>
      <c r="D643" s="335"/>
      <c r="E643" s="390"/>
      <c r="F643" s="287"/>
      <c r="G643" s="12"/>
      <c r="H643" s="12"/>
    </row>
    <row r="644" spans="1:8" ht="20">
      <c r="A644" s="331"/>
      <c r="B644" s="335"/>
      <c r="C644" s="335"/>
      <c r="D644" s="335"/>
      <c r="E644" s="390"/>
      <c r="F644" s="287"/>
      <c r="G644" s="12"/>
      <c r="H644" s="12"/>
    </row>
    <row r="645" spans="1:8" ht="20">
      <c r="A645" s="331"/>
      <c r="B645" s="335"/>
      <c r="C645" s="335"/>
      <c r="D645" s="335"/>
      <c r="E645" s="390"/>
      <c r="F645" s="287"/>
      <c r="G645" s="12"/>
      <c r="H645" s="12"/>
    </row>
    <row r="646" spans="1:8" ht="20">
      <c r="A646" s="331"/>
      <c r="B646" s="335"/>
      <c r="C646" s="335"/>
      <c r="D646" s="335"/>
      <c r="E646" s="390"/>
      <c r="F646" s="287"/>
      <c r="G646" s="12"/>
      <c r="H646" s="12"/>
    </row>
    <row r="647" spans="1:8" ht="20">
      <c r="A647" s="331"/>
      <c r="B647" s="335"/>
      <c r="C647" s="335"/>
      <c r="D647" s="335"/>
      <c r="E647" s="390"/>
      <c r="F647" s="287"/>
      <c r="G647" s="12"/>
      <c r="H647" s="12"/>
    </row>
    <row r="648" spans="1:8" ht="20">
      <c r="A648" s="331"/>
      <c r="B648" s="335"/>
      <c r="C648" s="335"/>
      <c r="D648" s="335"/>
      <c r="E648" s="390"/>
      <c r="F648" s="287"/>
      <c r="G648" s="12"/>
      <c r="H648" s="12"/>
    </row>
    <row r="649" spans="1:8" ht="20">
      <c r="A649" s="331"/>
      <c r="B649" s="335"/>
      <c r="C649" s="335"/>
      <c r="D649" s="335"/>
      <c r="E649" s="390"/>
      <c r="F649" s="287"/>
      <c r="G649" s="12"/>
      <c r="H649" s="12"/>
    </row>
    <row r="650" spans="1:8" ht="20">
      <c r="A650" s="331"/>
      <c r="B650" s="335"/>
      <c r="C650" s="335"/>
      <c r="D650" s="335"/>
      <c r="E650" s="390"/>
      <c r="F650" s="287"/>
      <c r="G650" s="12"/>
      <c r="H650" s="12"/>
    </row>
    <row r="651" spans="1:8" ht="20">
      <c r="A651" s="331"/>
      <c r="B651" s="335"/>
      <c r="C651" s="335"/>
      <c r="D651" s="335"/>
      <c r="E651" s="390"/>
      <c r="F651" s="287"/>
      <c r="G651" s="12"/>
      <c r="H651" s="12"/>
    </row>
    <row r="652" spans="1:8" ht="20">
      <c r="A652" s="331"/>
      <c r="B652" s="335"/>
      <c r="C652" s="335"/>
      <c r="D652" s="335"/>
      <c r="E652" s="390"/>
      <c r="F652" s="287"/>
      <c r="G652" s="12"/>
      <c r="H652" s="12"/>
    </row>
    <row r="653" spans="1:8" ht="20">
      <c r="A653" s="331"/>
      <c r="B653" s="335"/>
      <c r="C653" s="335"/>
      <c r="D653" s="335"/>
      <c r="E653" s="390"/>
      <c r="F653" s="287"/>
      <c r="G653" s="12"/>
      <c r="H653" s="12"/>
    </row>
    <row r="654" spans="1:8" ht="20">
      <c r="A654" s="331"/>
      <c r="B654" s="335"/>
      <c r="C654" s="335"/>
      <c r="D654" s="335"/>
      <c r="E654" s="390"/>
      <c r="F654" s="287"/>
      <c r="G654" s="12"/>
      <c r="H654" s="12"/>
    </row>
    <row r="655" spans="1:8" ht="20">
      <c r="A655" s="331"/>
      <c r="B655" s="335"/>
      <c r="C655" s="335"/>
      <c r="D655" s="335"/>
      <c r="E655" s="390"/>
      <c r="F655" s="287"/>
      <c r="G655" s="12"/>
      <c r="H655" s="12"/>
    </row>
    <row r="656" spans="1:8" ht="20">
      <c r="A656" s="331"/>
      <c r="B656" s="335"/>
      <c r="C656" s="335"/>
      <c r="D656" s="335"/>
      <c r="E656" s="390"/>
      <c r="F656" s="287"/>
      <c r="G656" s="12"/>
      <c r="H656" s="12"/>
    </row>
    <row r="657" spans="1:8" ht="20">
      <c r="A657" s="331"/>
      <c r="B657" s="335"/>
      <c r="C657" s="335"/>
      <c r="D657" s="335"/>
      <c r="E657" s="390"/>
      <c r="F657" s="287"/>
      <c r="G657" s="12"/>
      <c r="H657" s="12"/>
    </row>
    <row r="658" spans="1:8" ht="20">
      <c r="A658" s="331"/>
      <c r="B658" s="335"/>
      <c r="C658" s="335"/>
      <c r="D658" s="335"/>
      <c r="E658" s="390"/>
      <c r="F658" s="287"/>
      <c r="G658" s="12"/>
      <c r="H658" s="12"/>
    </row>
    <row r="659" spans="1:8" ht="20">
      <c r="A659" s="331"/>
      <c r="B659" s="335"/>
      <c r="C659" s="335"/>
      <c r="D659" s="335"/>
      <c r="E659" s="390"/>
      <c r="F659" s="287"/>
      <c r="G659" s="12"/>
      <c r="H659" s="12"/>
    </row>
    <row r="660" spans="1:8" ht="20">
      <c r="A660" s="331"/>
      <c r="B660" s="335"/>
      <c r="C660" s="335"/>
      <c r="D660" s="335"/>
      <c r="E660" s="390"/>
      <c r="F660" s="287"/>
      <c r="G660" s="12"/>
      <c r="H660" s="12"/>
    </row>
    <row r="661" spans="1:8" ht="20">
      <c r="A661" s="331"/>
      <c r="B661" s="335"/>
      <c r="C661" s="335"/>
      <c r="D661" s="335"/>
      <c r="E661" s="390"/>
      <c r="F661" s="287"/>
      <c r="G661" s="12"/>
      <c r="H661" s="12"/>
    </row>
    <row r="662" spans="1:8" ht="20">
      <c r="A662" s="331"/>
      <c r="B662" s="335"/>
      <c r="C662" s="335"/>
      <c r="D662" s="335"/>
      <c r="E662" s="390"/>
      <c r="F662" s="287"/>
      <c r="G662" s="12"/>
      <c r="H662" s="12"/>
    </row>
    <row r="663" spans="1:8" ht="20">
      <c r="A663" s="331"/>
      <c r="B663" s="335"/>
      <c r="C663" s="335"/>
      <c r="D663" s="335"/>
      <c r="E663" s="390"/>
      <c r="F663" s="287"/>
      <c r="G663" s="12"/>
      <c r="H663" s="12"/>
    </row>
    <row r="664" spans="1:8" ht="20">
      <c r="A664" s="331"/>
      <c r="B664" s="335"/>
      <c r="C664" s="335"/>
      <c r="D664" s="335"/>
      <c r="E664" s="390"/>
      <c r="F664" s="287"/>
      <c r="G664" s="12"/>
      <c r="H664" s="12"/>
    </row>
    <row r="665" spans="1:8" ht="20">
      <c r="A665" s="331"/>
      <c r="B665" s="335"/>
      <c r="C665" s="335"/>
      <c r="D665" s="335"/>
      <c r="E665" s="390"/>
      <c r="F665" s="287"/>
      <c r="G665" s="12"/>
      <c r="H665" s="12"/>
    </row>
    <row r="666" spans="1:8" ht="20">
      <c r="A666" s="331"/>
      <c r="B666" s="335"/>
      <c r="C666" s="335"/>
      <c r="D666" s="335"/>
      <c r="E666" s="390"/>
      <c r="F666" s="287"/>
      <c r="G666" s="12"/>
      <c r="H666" s="12"/>
    </row>
    <row r="667" spans="1:8" ht="20">
      <c r="A667" s="331"/>
      <c r="B667" s="335"/>
      <c r="C667" s="335"/>
      <c r="D667" s="335"/>
      <c r="E667" s="390"/>
      <c r="F667" s="287"/>
      <c r="G667" s="12"/>
      <c r="H667" s="12"/>
    </row>
    <row r="668" spans="1:8" ht="20">
      <c r="A668" s="331"/>
      <c r="B668" s="335"/>
      <c r="C668" s="335"/>
      <c r="D668" s="335"/>
      <c r="E668" s="390"/>
      <c r="F668" s="287"/>
      <c r="G668" s="12"/>
      <c r="H668" s="12"/>
    </row>
    <row r="669" spans="1:8" ht="20">
      <c r="A669" s="331"/>
      <c r="B669" s="335"/>
      <c r="C669" s="335"/>
      <c r="D669" s="335"/>
      <c r="E669" s="390"/>
      <c r="F669" s="287"/>
      <c r="G669" s="12"/>
      <c r="H669" s="12"/>
    </row>
    <row r="670" spans="1:8" ht="20">
      <c r="A670" s="331"/>
      <c r="B670" s="335"/>
      <c r="C670" s="335"/>
      <c r="D670" s="335"/>
      <c r="E670" s="390"/>
      <c r="F670" s="287"/>
      <c r="G670" s="12"/>
      <c r="H670" s="12"/>
    </row>
    <row r="671" spans="1:8" ht="20">
      <c r="A671" s="331"/>
      <c r="B671" s="335"/>
      <c r="C671" s="335"/>
      <c r="D671" s="335"/>
      <c r="E671" s="390"/>
      <c r="F671" s="287"/>
      <c r="G671" s="12"/>
      <c r="H671" s="12"/>
    </row>
    <row r="672" spans="1:8" ht="20">
      <c r="A672" s="331"/>
      <c r="B672" s="335"/>
      <c r="C672" s="335"/>
      <c r="D672" s="335"/>
      <c r="E672" s="390"/>
      <c r="F672" s="287"/>
      <c r="G672" s="12"/>
      <c r="H672" s="12"/>
    </row>
    <row r="673" spans="1:8" ht="20">
      <c r="A673" s="331"/>
      <c r="B673" s="335"/>
      <c r="C673" s="335"/>
      <c r="D673" s="335"/>
      <c r="E673" s="390"/>
      <c r="F673" s="287"/>
      <c r="G673" s="12"/>
      <c r="H673" s="12"/>
    </row>
    <row r="674" spans="1:8" ht="20">
      <c r="A674" s="331"/>
      <c r="B674" s="335"/>
      <c r="C674" s="335"/>
      <c r="D674" s="335"/>
      <c r="E674" s="390"/>
      <c r="F674" s="287"/>
      <c r="G674" s="12"/>
      <c r="H674" s="12"/>
    </row>
    <row r="675" spans="1:8" ht="20">
      <c r="A675" s="331"/>
      <c r="B675" s="335"/>
      <c r="C675" s="335"/>
      <c r="D675" s="335"/>
      <c r="E675" s="390"/>
      <c r="F675" s="287"/>
      <c r="G675" s="12"/>
      <c r="H675" s="12"/>
    </row>
    <row r="676" spans="1:8" ht="20">
      <c r="A676" s="331"/>
      <c r="B676" s="335"/>
      <c r="C676" s="335"/>
      <c r="D676" s="335"/>
      <c r="E676" s="390"/>
      <c r="F676" s="287"/>
      <c r="G676" s="12"/>
      <c r="H676" s="12"/>
    </row>
    <row r="677" spans="1:8" ht="20">
      <c r="A677" s="331"/>
      <c r="B677" s="335"/>
      <c r="C677" s="335"/>
      <c r="D677" s="335"/>
      <c r="E677" s="390"/>
      <c r="F677" s="287"/>
      <c r="G677" s="12"/>
      <c r="H677" s="12"/>
    </row>
    <row r="678" spans="1:8" ht="20">
      <c r="A678" s="331"/>
      <c r="B678" s="335"/>
      <c r="C678" s="335"/>
      <c r="D678" s="335"/>
      <c r="E678" s="390"/>
      <c r="F678" s="287"/>
      <c r="G678" s="12"/>
      <c r="H678" s="12"/>
    </row>
    <row r="679" spans="1:8" ht="20">
      <c r="A679" s="331"/>
      <c r="B679" s="335"/>
      <c r="C679" s="335"/>
      <c r="D679" s="335"/>
      <c r="E679" s="390"/>
      <c r="F679" s="287"/>
      <c r="G679" s="12"/>
      <c r="H679" s="12"/>
    </row>
    <row r="680" spans="1:8" ht="20">
      <c r="A680" s="331"/>
      <c r="B680" s="335"/>
      <c r="C680" s="335"/>
      <c r="D680" s="335"/>
      <c r="E680" s="390"/>
      <c r="F680" s="287"/>
      <c r="G680" s="12"/>
      <c r="H680" s="12"/>
    </row>
    <row r="681" spans="1:8" ht="20">
      <c r="A681" s="331"/>
      <c r="B681" s="335"/>
      <c r="C681" s="335"/>
      <c r="D681" s="335"/>
      <c r="E681" s="390"/>
      <c r="F681" s="287"/>
      <c r="G681" s="12"/>
      <c r="H681" s="12"/>
    </row>
    <row r="682" spans="1:8" ht="20">
      <c r="A682" s="331"/>
      <c r="B682" s="335"/>
      <c r="C682" s="335"/>
      <c r="D682" s="335"/>
      <c r="E682" s="390"/>
      <c r="F682" s="287"/>
      <c r="G682" s="12"/>
      <c r="H682" s="12"/>
    </row>
    <row r="683" spans="1:8" ht="20">
      <c r="A683" s="331"/>
      <c r="B683" s="335"/>
      <c r="C683" s="335"/>
      <c r="D683" s="335"/>
      <c r="E683" s="390"/>
      <c r="F683" s="287"/>
      <c r="G683" s="12"/>
      <c r="H683" s="12"/>
    </row>
    <row r="684" spans="1:8" ht="20">
      <c r="A684" s="331"/>
      <c r="B684" s="335"/>
      <c r="C684" s="335"/>
      <c r="D684" s="335"/>
      <c r="E684" s="390"/>
      <c r="F684" s="287"/>
      <c r="G684" s="12"/>
      <c r="H684" s="12"/>
    </row>
    <row r="685" spans="1:8" ht="20">
      <c r="A685" s="331"/>
      <c r="B685" s="335"/>
      <c r="C685" s="335"/>
      <c r="D685" s="335"/>
      <c r="E685" s="390"/>
      <c r="F685" s="287"/>
      <c r="G685" s="12"/>
      <c r="H685" s="12"/>
    </row>
    <row r="686" spans="1:8" ht="20">
      <c r="A686" s="331"/>
      <c r="B686" s="335"/>
      <c r="C686" s="335"/>
      <c r="D686" s="335"/>
      <c r="E686" s="390"/>
      <c r="F686" s="287"/>
      <c r="G686" s="12"/>
      <c r="H686" s="12"/>
    </row>
    <row r="687" spans="1:8" ht="20">
      <c r="A687" s="331"/>
      <c r="B687" s="335"/>
      <c r="C687" s="335"/>
      <c r="D687" s="335"/>
      <c r="E687" s="390"/>
      <c r="F687" s="287"/>
      <c r="G687" s="12"/>
      <c r="H687" s="12"/>
    </row>
    <row r="688" spans="1:8" ht="20">
      <c r="A688" s="331"/>
      <c r="B688" s="335"/>
      <c r="C688" s="335"/>
      <c r="D688" s="335"/>
      <c r="E688" s="390"/>
      <c r="F688" s="287"/>
      <c r="G688" s="12"/>
      <c r="H688" s="12"/>
    </row>
    <row r="689" spans="1:8" ht="20">
      <c r="A689" s="331"/>
      <c r="B689" s="335"/>
      <c r="C689" s="335"/>
      <c r="D689" s="335"/>
      <c r="E689" s="390"/>
      <c r="F689" s="287"/>
      <c r="G689" s="12"/>
      <c r="H689" s="12"/>
    </row>
    <row r="690" spans="1:8" ht="20">
      <c r="A690" s="331"/>
      <c r="B690" s="335"/>
      <c r="C690" s="335"/>
      <c r="D690" s="335"/>
      <c r="E690" s="390"/>
      <c r="F690" s="287"/>
      <c r="G690" s="12"/>
      <c r="H690" s="12"/>
    </row>
    <row r="691" spans="1:8" ht="20">
      <c r="A691" s="331"/>
      <c r="B691" s="335"/>
      <c r="C691" s="335"/>
      <c r="D691" s="335"/>
      <c r="E691" s="390"/>
      <c r="F691" s="287"/>
      <c r="G691" s="12"/>
      <c r="H691" s="12"/>
    </row>
    <row r="692" spans="1:8" ht="20">
      <c r="A692" s="331"/>
      <c r="B692" s="335"/>
      <c r="C692" s="335"/>
      <c r="D692" s="335"/>
      <c r="E692" s="390"/>
      <c r="F692" s="287"/>
      <c r="G692" s="12"/>
      <c r="H692" s="12"/>
    </row>
    <row r="693" spans="1:8" ht="20">
      <c r="A693" s="331"/>
      <c r="B693" s="335"/>
      <c r="C693" s="335"/>
      <c r="D693" s="335"/>
      <c r="E693" s="390"/>
      <c r="F693" s="287"/>
      <c r="G693" s="12"/>
      <c r="H693" s="12"/>
    </row>
    <row r="694" spans="1:8" ht="20">
      <c r="A694" s="331"/>
      <c r="B694" s="335"/>
      <c r="C694" s="335"/>
      <c r="D694" s="335"/>
      <c r="E694" s="390"/>
      <c r="F694" s="287"/>
      <c r="G694" s="12"/>
      <c r="H694" s="12"/>
    </row>
    <row r="695" spans="1:8" ht="20">
      <c r="A695" s="331"/>
      <c r="B695" s="335"/>
      <c r="C695" s="335"/>
      <c r="D695" s="335"/>
      <c r="E695" s="390"/>
      <c r="F695" s="287"/>
      <c r="G695" s="12"/>
      <c r="H695" s="12"/>
    </row>
    <row r="696" spans="1:8" ht="20">
      <c r="A696" s="331"/>
      <c r="B696" s="335"/>
      <c r="C696" s="335"/>
      <c r="D696" s="335"/>
      <c r="E696" s="390"/>
      <c r="F696" s="287"/>
      <c r="G696" s="12"/>
      <c r="H696" s="12"/>
    </row>
    <row r="697" spans="1:8" ht="20">
      <c r="A697" s="331"/>
      <c r="B697" s="335"/>
      <c r="C697" s="335"/>
      <c r="D697" s="335"/>
      <c r="E697" s="390"/>
      <c r="F697" s="287"/>
      <c r="G697" s="12"/>
      <c r="H697" s="12"/>
    </row>
    <row r="698" spans="1:8" ht="20">
      <c r="A698" s="331"/>
      <c r="B698" s="335"/>
      <c r="C698" s="335"/>
      <c r="D698" s="335"/>
      <c r="E698" s="390"/>
      <c r="F698" s="287"/>
      <c r="G698" s="12"/>
      <c r="H698" s="12"/>
    </row>
    <row r="699" spans="1:8" ht="20">
      <c r="A699" s="331"/>
      <c r="B699" s="335"/>
      <c r="C699" s="335"/>
      <c r="D699" s="335"/>
      <c r="E699" s="390"/>
      <c r="F699" s="287"/>
      <c r="G699" s="12"/>
      <c r="H699" s="12"/>
    </row>
    <row r="700" spans="1:8" ht="20">
      <c r="A700" s="331"/>
      <c r="B700" s="335"/>
      <c r="C700" s="335"/>
      <c r="D700" s="335"/>
      <c r="E700" s="390"/>
      <c r="F700" s="287"/>
      <c r="G700" s="12"/>
      <c r="H700" s="12"/>
    </row>
    <row r="701" spans="1:8" ht="20">
      <c r="A701" s="331"/>
      <c r="B701" s="335"/>
      <c r="C701" s="335"/>
      <c r="D701" s="335"/>
      <c r="E701" s="390"/>
      <c r="F701" s="287"/>
      <c r="G701" s="12"/>
      <c r="H701" s="12"/>
    </row>
    <row r="702" spans="1:8" ht="20">
      <c r="A702" s="331"/>
      <c r="B702" s="335"/>
      <c r="C702" s="335"/>
      <c r="D702" s="335"/>
      <c r="E702" s="390"/>
      <c r="F702" s="287"/>
      <c r="G702" s="12"/>
      <c r="H702" s="12"/>
    </row>
    <row r="703" spans="1:8" ht="20">
      <c r="A703" s="331"/>
      <c r="B703" s="335"/>
      <c r="C703" s="335"/>
      <c r="D703" s="335"/>
      <c r="E703" s="390"/>
      <c r="F703" s="287"/>
      <c r="G703" s="12"/>
      <c r="H703" s="12"/>
    </row>
    <row r="704" spans="1:8" ht="20">
      <c r="A704" s="331"/>
      <c r="B704" s="335"/>
      <c r="C704" s="335"/>
      <c r="D704" s="335"/>
      <c r="E704" s="390"/>
      <c r="F704" s="287"/>
      <c r="G704" s="12"/>
      <c r="H704" s="12"/>
    </row>
    <row r="705" spans="1:8" ht="20">
      <c r="A705" s="331"/>
      <c r="B705" s="335"/>
      <c r="C705" s="335"/>
      <c r="D705" s="335"/>
      <c r="E705" s="390"/>
      <c r="F705" s="287"/>
      <c r="G705" s="12"/>
      <c r="H705" s="12"/>
    </row>
    <row r="706" spans="1:8" ht="20">
      <c r="A706" s="331"/>
      <c r="B706" s="335"/>
      <c r="C706" s="335"/>
      <c r="D706" s="335"/>
      <c r="E706" s="390"/>
      <c r="F706" s="287"/>
      <c r="G706" s="12"/>
      <c r="H706" s="12"/>
    </row>
    <row r="707" spans="1:8" ht="20">
      <c r="A707" s="331"/>
      <c r="B707" s="335"/>
      <c r="C707" s="335"/>
      <c r="D707" s="335"/>
      <c r="E707" s="390"/>
      <c r="F707" s="287"/>
      <c r="G707" s="12"/>
      <c r="H707" s="12"/>
    </row>
    <row r="708" spans="1:8" ht="20">
      <c r="A708" s="331"/>
      <c r="B708" s="335"/>
      <c r="C708" s="335"/>
      <c r="D708" s="335"/>
      <c r="E708" s="390"/>
      <c r="F708" s="287"/>
      <c r="G708" s="12"/>
      <c r="H708" s="12"/>
    </row>
    <row r="709" spans="1:8" ht="20">
      <c r="A709" s="331"/>
      <c r="B709" s="335"/>
      <c r="C709" s="335"/>
      <c r="D709" s="335"/>
      <c r="E709" s="390"/>
      <c r="F709" s="287"/>
      <c r="G709" s="12"/>
      <c r="H709" s="12"/>
    </row>
    <row r="710" spans="1:8" ht="20">
      <c r="A710" s="331"/>
      <c r="B710" s="335"/>
      <c r="C710" s="335"/>
      <c r="D710" s="335"/>
      <c r="E710" s="390"/>
      <c r="F710" s="287"/>
      <c r="G710" s="12"/>
      <c r="H710" s="12"/>
    </row>
    <row r="711" spans="1:8" ht="20">
      <c r="A711" s="331"/>
      <c r="B711" s="335"/>
      <c r="C711" s="335"/>
      <c r="D711" s="335"/>
      <c r="E711" s="390"/>
      <c r="F711" s="287"/>
      <c r="G711" s="12"/>
      <c r="H711" s="12"/>
    </row>
    <row r="712" spans="1:8" ht="20">
      <c r="A712" s="331"/>
      <c r="B712" s="335"/>
      <c r="C712" s="335"/>
      <c r="D712" s="335"/>
      <c r="E712" s="390"/>
      <c r="F712" s="287"/>
      <c r="G712" s="12"/>
      <c r="H712" s="12"/>
    </row>
    <row r="713" spans="1:8" ht="20">
      <c r="A713" s="331"/>
      <c r="B713" s="335"/>
      <c r="C713" s="335"/>
      <c r="D713" s="335"/>
      <c r="E713" s="390"/>
      <c r="F713" s="287"/>
      <c r="G713" s="12"/>
      <c r="H713" s="12"/>
    </row>
    <row r="714" spans="1:8" ht="20">
      <c r="A714" s="331"/>
      <c r="B714" s="335"/>
      <c r="C714" s="335"/>
      <c r="D714" s="335"/>
      <c r="E714" s="390"/>
      <c r="F714" s="287"/>
      <c r="G714" s="12"/>
      <c r="H714" s="12"/>
    </row>
    <row r="715" spans="1:8" ht="20">
      <c r="A715" s="331"/>
      <c r="B715" s="335"/>
      <c r="C715" s="335"/>
      <c r="D715" s="335"/>
      <c r="E715" s="390"/>
      <c r="F715" s="287"/>
      <c r="G715" s="12"/>
      <c r="H715" s="12"/>
    </row>
    <row r="716" spans="1:8" ht="20">
      <c r="A716" s="331"/>
      <c r="B716" s="335"/>
      <c r="C716" s="335"/>
      <c r="D716" s="335"/>
      <c r="E716" s="390"/>
      <c r="F716" s="287"/>
      <c r="G716" s="12"/>
      <c r="H716" s="12"/>
    </row>
    <row r="717" spans="1:8" ht="20">
      <c r="A717" s="331"/>
      <c r="B717" s="335"/>
      <c r="C717" s="335"/>
      <c r="D717" s="335"/>
      <c r="E717" s="390"/>
      <c r="F717" s="287"/>
      <c r="G717" s="12"/>
      <c r="H717" s="12"/>
    </row>
    <row r="718" spans="1:8" ht="20">
      <c r="A718" s="331"/>
      <c r="B718" s="335"/>
      <c r="C718" s="335"/>
      <c r="D718" s="335"/>
      <c r="E718" s="390"/>
      <c r="F718" s="287"/>
      <c r="G718" s="12"/>
      <c r="H718" s="12"/>
    </row>
    <row r="719" spans="1:8" ht="20">
      <c r="A719" s="331"/>
      <c r="B719" s="335"/>
      <c r="C719" s="335"/>
      <c r="D719" s="335"/>
      <c r="E719" s="390"/>
      <c r="F719" s="287"/>
      <c r="G719" s="12"/>
      <c r="H719" s="12"/>
    </row>
    <row r="720" spans="1:8" ht="20">
      <c r="A720" s="331"/>
      <c r="B720" s="335"/>
      <c r="C720" s="335"/>
      <c r="D720" s="335"/>
      <c r="E720" s="390"/>
      <c r="F720" s="287"/>
      <c r="G720" s="12"/>
      <c r="H720" s="12"/>
    </row>
    <row r="721" spans="1:8" ht="20">
      <c r="A721" s="331"/>
      <c r="B721" s="335"/>
      <c r="C721" s="335"/>
      <c r="D721" s="335"/>
      <c r="E721" s="390"/>
      <c r="F721" s="287"/>
      <c r="G721" s="12"/>
      <c r="H721" s="12"/>
    </row>
    <row r="722" spans="1:8" ht="20">
      <c r="A722" s="331"/>
      <c r="B722" s="335"/>
      <c r="C722" s="335"/>
      <c r="D722" s="335"/>
      <c r="E722" s="390"/>
      <c r="F722" s="287"/>
      <c r="G722" s="12"/>
      <c r="H722" s="12"/>
    </row>
    <row r="723" spans="1:8" ht="20">
      <c r="A723" s="331"/>
      <c r="B723" s="335"/>
      <c r="C723" s="335"/>
      <c r="D723" s="335"/>
      <c r="E723" s="390"/>
      <c r="F723" s="287"/>
      <c r="G723" s="12"/>
      <c r="H723" s="12"/>
    </row>
    <row r="724" spans="1:8" ht="20">
      <c r="A724" s="331"/>
      <c r="B724" s="335"/>
      <c r="C724" s="335"/>
      <c r="D724" s="335"/>
      <c r="E724" s="390"/>
      <c r="F724" s="287"/>
      <c r="G724" s="12"/>
      <c r="H724" s="12"/>
    </row>
    <row r="725" spans="1:8" ht="20">
      <c r="A725" s="331"/>
      <c r="B725" s="335"/>
      <c r="C725" s="335"/>
      <c r="D725" s="335"/>
      <c r="E725" s="390"/>
      <c r="F725" s="287"/>
      <c r="G725" s="12"/>
      <c r="H725" s="12"/>
    </row>
    <row r="726" spans="1:8" ht="20">
      <c r="A726" s="331"/>
      <c r="B726" s="335"/>
      <c r="C726" s="335"/>
      <c r="D726" s="335"/>
      <c r="E726" s="390"/>
      <c r="F726" s="287"/>
      <c r="G726" s="12"/>
      <c r="H726" s="12"/>
    </row>
    <row r="727" spans="1:8" ht="20">
      <c r="A727" s="331"/>
      <c r="B727" s="335"/>
      <c r="C727" s="335"/>
      <c r="D727" s="335"/>
      <c r="E727" s="390"/>
      <c r="F727" s="287"/>
      <c r="G727" s="12"/>
      <c r="H727" s="12"/>
    </row>
    <row r="728" spans="1:8" ht="20">
      <c r="A728" s="331"/>
      <c r="B728" s="335"/>
      <c r="C728" s="335"/>
      <c r="D728" s="335"/>
      <c r="E728" s="390"/>
      <c r="F728" s="287"/>
      <c r="G728" s="12"/>
      <c r="H728" s="12"/>
    </row>
    <row r="729" spans="1:8" ht="20">
      <c r="A729" s="331"/>
      <c r="B729" s="335"/>
      <c r="C729" s="335"/>
      <c r="D729" s="335"/>
      <c r="E729" s="390"/>
      <c r="F729" s="287"/>
      <c r="G729" s="12"/>
      <c r="H729" s="12"/>
    </row>
    <row r="730" spans="1:8" ht="20">
      <c r="A730" s="331"/>
      <c r="B730" s="335"/>
      <c r="C730" s="335"/>
      <c r="D730" s="335"/>
      <c r="E730" s="390"/>
      <c r="F730" s="287"/>
      <c r="G730" s="12"/>
      <c r="H730" s="12"/>
    </row>
    <row r="731" spans="1:8" ht="20">
      <c r="A731" s="331"/>
      <c r="B731" s="335"/>
      <c r="C731" s="335"/>
      <c r="D731" s="335"/>
      <c r="E731" s="390"/>
      <c r="F731" s="287"/>
      <c r="G731" s="12"/>
      <c r="H731" s="12"/>
    </row>
    <row r="732" spans="1:8" ht="20">
      <c r="A732" s="331"/>
      <c r="B732" s="335"/>
      <c r="C732" s="335"/>
      <c r="D732" s="335"/>
      <c r="E732" s="390"/>
      <c r="F732" s="287"/>
      <c r="G732" s="12"/>
      <c r="H732" s="12"/>
    </row>
    <row r="733" spans="1:8" ht="20">
      <c r="A733" s="331"/>
      <c r="B733" s="335"/>
      <c r="C733" s="335"/>
      <c r="D733" s="335"/>
      <c r="E733" s="390"/>
      <c r="F733" s="287"/>
      <c r="G733" s="12"/>
      <c r="H733" s="12"/>
    </row>
    <row r="734" spans="1:8" ht="20">
      <c r="A734" s="331"/>
      <c r="B734" s="335"/>
      <c r="C734" s="335"/>
      <c r="D734" s="335"/>
      <c r="E734" s="390"/>
      <c r="F734" s="287"/>
      <c r="G734" s="12"/>
      <c r="H734" s="12"/>
    </row>
    <row r="735" spans="1:8" ht="20">
      <c r="A735" s="331"/>
      <c r="B735" s="335"/>
      <c r="C735" s="335"/>
      <c r="D735" s="335"/>
      <c r="E735" s="390"/>
      <c r="F735" s="287"/>
      <c r="G735" s="12"/>
      <c r="H735" s="12"/>
    </row>
    <row r="736" spans="1:8" ht="20">
      <c r="A736" s="331"/>
      <c r="B736" s="335"/>
      <c r="C736" s="335"/>
      <c r="D736" s="335"/>
      <c r="E736" s="390"/>
      <c r="F736" s="287"/>
      <c r="G736" s="12"/>
      <c r="H736" s="12"/>
    </row>
    <row r="737" spans="1:8" ht="20">
      <c r="A737" s="331"/>
      <c r="B737" s="335"/>
      <c r="C737" s="335"/>
      <c r="D737" s="335"/>
      <c r="E737" s="390"/>
      <c r="F737" s="287"/>
      <c r="G737" s="12"/>
      <c r="H737" s="12"/>
    </row>
    <row r="738" spans="1:8" ht="20">
      <c r="A738" s="331"/>
      <c r="B738" s="335"/>
      <c r="C738" s="335"/>
      <c r="D738" s="335"/>
      <c r="E738" s="390"/>
      <c r="F738" s="287"/>
      <c r="G738" s="12"/>
      <c r="H738" s="12"/>
    </row>
    <row r="739" spans="1:8" ht="20">
      <c r="A739" s="331"/>
      <c r="B739" s="335"/>
      <c r="C739" s="335"/>
      <c r="D739" s="335"/>
      <c r="E739" s="390"/>
      <c r="F739" s="287"/>
      <c r="G739" s="12"/>
      <c r="H739" s="12"/>
    </row>
    <row r="740" spans="1:8" ht="20">
      <c r="A740" s="331"/>
      <c r="B740" s="335"/>
      <c r="C740" s="335"/>
      <c r="D740" s="335"/>
      <c r="E740" s="390"/>
      <c r="F740" s="287"/>
      <c r="G740" s="12"/>
      <c r="H740" s="12"/>
    </row>
    <row r="741" spans="1:8" ht="20">
      <c r="A741" s="331"/>
      <c r="B741" s="335"/>
      <c r="C741" s="335"/>
      <c r="D741" s="335"/>
      <c r="E741" s="390"/>
      <c r="F741" s="287"/>
      <c r="G741" s="12"/>
      <c r="H741" s="12"/>
    </row>
    <row r="742" spans="1:8" ht="20">
      <c r="A742" s="331"/>
      <c r="B742" s="335"/>
      <c r="C742" s="335"/>
      <c r="D742" s="335"/>
      <c r="E742" s="390"/>
      <c r="F742" s="287"/>
      <c r="G742" s="12"/>
      <c r="H742" s="12"/>
    </row>
    <row r="743" spans="1:8" ht="20">
      <c r="A743" s="331"/>
      <c r="B743" s="335"/>
      <c r="C743" s="335"/>
      <c r="D743" s="335"/>
      <c r="E743" s="390"/>
      <c r="F743" s="287"/>
      <c r="G743" s="12"/>
      <c r="H743" s="12"/>
    </row>
    <row r="744" spans="1:8" ht="20">
      <c r="A744" s="331"/>
      <c r="B744" s="335"/>
      <c r="C744" s="335"/>
      <c r="D744" s="335"/>
      <c r="E744" s="390"/>
      <c r="F744" s="287"/>
      <c r="G744" s="12"/>
      <c r="H744" s="12"/>
    </row>
    <row r="745" spans="1:8" ht="20">
      <c r="A745" s="331"/>
      <c r="B745" s="335"/>
      <c r="C745" s="335"/>
      <c r="D745" s="335"/>
      <c r="E745" s="390"/>
      <c r="F745" s="287"/>
      <c r="G745" s="12"/>
      <c r="H745" s="12"/>
    </row>
    <row r="746" spans="1:8" ht="20">
      <c r="A746" s="331"/>
      <c r="B746" s="335"/>
      <c r="C746" s="335"/>
      <c r="D746" s="335"/>
      <c r="E746" s="390"/>
      <c r="F746" s="287"/>
      <c r="G746" s="12"/>
      <c r="H746" s="12"/>
    </row>
    <row r="747" spans="1:8" ht="20">
      <c r="A747" s="331"/>
      <c r="B747" s="335"/>
      <c r="C747" s="335"/>
      <c r="D747" s="335"/>
      <c r="E747" s="390"/>
      <c r="F747" s="287"/>
      <c r="G747" s="12"/>
      <c r="H747" s="12"/>
    </row>
    <row r="748" spans="1:8" ht="20">
      <c r="A748" s="331"/>
      <c r="B748" s="335"/>
      <c r="C748" s="335"/>
      <c r="D748" s="335"/>
      <c r="E748" s="390"/>
      <c r="F748" s="287"/>
      <c r="G748" s="12"/>
      <c r="H748" s="12"/>
    </row>
    <row r="749" spans="1:8" ht="20">
      <c r="A749" s="331"/>
      <c r="B749" s="335"/>
      <c r="C749" s="335"/>
      <c r="D749" s="335"/>
      <c r="E749" s="390"/>
      <c r="F749" s="287"/>
      <c r="G749" s="12"/>
      <c r="H749" s="12"/>
    </row>
    <row r="750" spans="1:8" ht="20">
      <c r="A750" s="331"/>
      <c r="B750" s="335"/>
      <c r="C750" s="335"/>
      <c r="D750" s="335"/>
      <c r="E750" s="390"/>
      <c r="F750" s="287"/>
      <c r="G750" s="12"/>
      <c r="H750" s="12"/>
    </row>
    <row r="751" spans="1:8" ht="20">
      <c r="A751" s="331"/>
      <c r="B751" s="335"/>
      <c r="C751" s="335"/>
      <c r="D751" s="335"/>
      <c r="E751" s="390"/>
      <c r="F751" s="287"/>
      <c r="G751" s="12"/>
      <c r="H751" s="12"/>
    </row>
    <row r="752" spans="1:8" ht="20">
      <c r="A752" s="331"/>
      <c r="B752" s="335"/>
      <c r="C752" s="335"/>
      <c r="D752" s="335"/>
      <c r="E752" s="390"/>
      <c r="F752" s="287"/>
      <c r="G752" s="12"/>
      <c r="H752" s="12"/>
    </row>
    <row r="753" spans="1:8" ht="20">
      <c r="A753" s="331"/>
      <c r="B753" s="335"/>
      <c r="C753" s="335"/>
      <c r="D753" s="335"/>
      <c r="E753" s="390"/>
      <c r="F753" s="287"/>
      <c r="G753" s="12"/>
      <c r="H753" s="12"/>
    </row>
    <row r="754" spans="1:8" ht="20">
      <c r="A754" s="331"/>
      <c r="B754" s="335"/>
      <c r="C754" s="335"/>
      <c r="D754" s="335"/>
      <c r="E754" s="390"/>
      <c r="F754" s="287"/>
      <c r="G754" s="12"/>
      <c r="H754" s="12"/>
    </row>
    <row r="755" spans="1:8" ht="20">
      <c r="A755" s="331"/>
      <c r="B755" s="335"/>
      <c r="C755" s="335"/>
      <c r="D755" s="335"/>
      <c r="E755" s="390"/>
      <c r="F755" s="287"/>
      <c r="G755" s="12"/>
      <c r="H755" s="12"/>
    </row>
    <row r="756" spans="1:8" ht="20">
      <c r="A756" s="331"/>
      <c r="B756" s="335"/>
      <c r="C756" s="335"/>
      <c r="D756" s="335"/>
      <c r="E756" s="390"/>
      <c r="F756" s="287"/>
      <c r="G756" s="12"/>
      <c r="H756" s="12"/>
    </row>
    <row r="757" spans="1:8" ht="20">
      <c r="A757" s="331"/>
      <c r="B757" s="335"/>
      <c r="C757" s="335"/>
      <c r="D757" s="335"/>
      <c r="E757" s="390"/>
      <c r="F757" s="287"/>
      <c r="G757" s="12"/>
      <c r="H757" s="12"/>
    </row>
    <row r="758" spans="1:8" ht="20">
      <c r="A758" s="331"/>
      <c r="B758" s="335"/>
      <c r="C758" s="335"/>
      <c r="D758" s="335"/>
      <c r="E758" s="390"/>
      <c r="F758" s="287"/>
      <c r="G758" s="12"/>
      <c r="H758" s="12"/>
    </row>
    <row r="759" spans="1:8" ht="20">
      <c r="A759" s="331"/>
      <c r="B759" s="335"/>
      <c r="C759" s="335"/>
      <c r="D759" s="335"/>
      <c r="E759" s="390"/>
      <c r="F759" s="287"/>
      <c r="G759" s="12"/>
      <c r="H759" s="12"/>
    </row>
    <row r="760" spans="1:8" ht="20">
      <c r="A760" s="331"/>
      <c r="B760" s="335"/>
      <c r="C760" s="335"/>
      <c r="D760" s="335"/>
      <c r="E760" s="390"/>
      <c r="F760" s="287"/>
      <c r="G760" s="12"/>
      <c r="H760" s="12"/>
    </row>
    <row r="761" spans="1:8" ht="20">
      <c r="A761" s="331"/>
      <c r="B761" s="335"/>
      <c r="C761" s="335"/>
      <c r="D761" s="335"/>
      <c r="E761" s="390"/>
      <c r="F761" s="287"/>
      <c r="G761" s="12"/>
      <c r="H761" s="12"/>
    </row>
    <row r="762" spans="1:8" ht="20">
      <c r="A762" s="331"/>
      <c r="B762" s="335"/>
      <c r="C762" s="335"/>
      <c r="D762" s="335"/>
      <c r="E762" s="390"/>
      <c r="F762" s="287"/>
      <c r="G762" s="12"/>
      <c r="H762" s="12"/>
    </row>
    <row r="763" spans="1:8" ht="20">
      <c r="A763" s="331"/>
      <c r="B763" s="335"/>
      <c r="C763" s="335"/>
      <c r="D763" s="335"/>
      <c r="E763" s="390"/>
      <c r="F763" s="287"/>
      <c r="G763" s="12"/>
      <c r="H763" s="12"/>
    </row>
    <row r="764" spans="1:8" ht="20">
      <c r="A764" s="331"/>
      <c r="B764" s="335"/>
      <c r="C764" s="335"/>
      <c r="D764" s="335"/>
      <c r="E764" s="390"/>
      <c r="F764" s="287"/>
      <c r="G764" s="12"/>
      <c r="H764" s="12"/>
    </row>
    <row r="765" spans="1:8" ht="20">
      <c r="A765" s="331"/>
      <c r="B765" s="335"/>
      <c r="C765" s="335"/>
      <c r="D765" s="335"/>
      <c r="E765" s="390"/>
      <c r="F765" s="287"/>
      <c r="G765" s="12"/>
      <c r="H765" s="12"/>
    </row>
    <row r="766" spans="1:8" ht="20">
      <c r="A766" s="331"/>
      <c r="B766" s="335"/>
      <c r="C766" s="335"/>
      <c r="D766" s="335"/>
      <c r="E766" s="390"/>
      <c r="F766" s="287"/>
      <c r="G766" s="12"/>
      <c r="H766" s="12"/>
    </row>
    <row r="767" spans="1:8" ht="20">
      <c r="A767" s="331"/>
      <c r="B767" s="335"/>
      <c r="C767" s="335"/>
      <c r="D767" s="335"/>
      <c r="E767" s="390"/>
      <c r="F767" s="287"/>
      <c r="G767" s="12"/>
      <c r="H767" s="12"/>
    </row>
    <row r="768" spans="1:8" ht="20">
      <c r="A768" s="331"/>
      <c r="B768" s="335"/>
      <c r="C768" s="335"/>
      <c r="D768" s="335"/>
      <c r="E768" s="390"/>
      <c r="F768" s="287"/>
      <c r="G768" s="12"/>
      <c r="H768" s="12"/>
    </row>
    <row r="769" spans="1:8" ht="20">
      <c r="A769" s="331"/>
      <c r="B769" s="335"/>
      <c r="C769" s="335"/>
      <c r="D769" s="335"/>
      <c r="E769" s="390"/>
      <c r="F769" s="287"/>
      <c r="G769" s="12"/>
      <c r="H769" s="12"/>
    </row>
    <row r="770" spans="1:8" ht="20">
      <c r="A770" s="331"/>
      <c r="B770" s="335"/>
      <c r="C770" s="335"/>
      <c r="D770" s="335"/>
      <c r="E770" s="390"/>
      <c r="F770" s="287"/>
      <c r="G770" s="12"/>
      <c r="H770" s="12"/>
    </row>
    <row r="771" spans="1:8" ht="20">
      <c r="A771" s="331"/>
      <c r="B771" s="335"/>
      <c r="C771" s="335"/>
      <c r="D771" s="335"/>
      <c r="E771" s="390"/>
      <c r="F771" s="287"/>
      <c r="G771" s="12"/>
      <c r="H771" s="12"/>
    </row>
    <row r="772" spans="1:8" ht="20">
      <c r="A772" s="331"/>
      <c r="B772" s="335"/>
      <c r="C772" s="335"/>
      <c r="D772" s="335"/>
      <c r="E772" s="390"/>
      <c r="F772" s="287"/>
      <c r="G772" s="12"/>
      <c r="H772" s="12"/>
    </row>
    <row r="773" spans="1:8" ht="20">
      <c r="A773" s="331"/>
      <c r="B773" s="335"/>
      <c r="C773" s="335"/>
      <c r="D773" s="335"/>
      <c r="E773" s="390"/>
      <c r="F773" s="287"/>
      <c r="G773" s="12"/>
      <c r="H773" s="12"/>
    </row>
    <row r="774" spans="1:8" ht="20">
      <c r="A774" s="331"/>
      <c r="B774" s="335"/>
      <c r="C774" s="335"/>
      <c r="D774" s="335"/>
      <c r="E774" s="390"/>
      <c r="F774" s="287"/>
      <c r="G774" s="12"/>
      <c r="H774" s="12"/>
    </row>
    <row r="775" spans="1:8" ht="20">
      <c r="A775" s="331"/>
      <c r="B775" s="335"/>
      <c r="C775" s="335"/>
      <c r="D775" s="335"/>
      <c r="E775" s="390"/>
      <c r="F775" s="287"/>
      <c r="G775" s="12"/>
      <c r="H775" s="12"/>
    </row>
    <row r="776" spans="1:8" ht="20">
      <c r="A776" s="331"/>
      <c r="B776" s="335"/>
      <c r="C776" s="335"/>
      <c r="D776" s="335"/>
      <c r="E776" s="390"/>
      <c r="F776" s="287"/>
      <c r="G776" s="12"/>
      <c r="H776" s="12"/>
    </row>
    <row r="777" spans="1:8" ht="20">
      <c r="A777" s="331"/>
      <c r="B777" s="335"/>
      <c r="C777" s="335"/>
      <c r="D777" s="335"/>
      <c r="E777" s="390"/>
      <c r="F777" s="287"/>
      <c r="G777" s="12"/>
      <c r="H777" s="12"/>
    </row>
    <row r="778" spans="1:8" ht="20">
      <c r="A778" s="331"/>
      <c r="B778" s="335"/>
      <c r="C778" s="335"/>
      <c r="D778" s="335"/>
      <c r="E778" s="390"/>
      <c r="F778" s="287"/>
      <c r="G778" s="12"/>
      <c r="H778" s="12"/>
    </row>
    <row r="779" spans="1:8" ht="20">
      <c r="A779" s="331"/>
      <c r="B779" s="335"/>
      <c r="C779" s="335"/>
      <c r="D779" s="335"/>
      <c r="E779" s="390"/>
      <c r="F779" s="287"/>
      <c r="G779" s="12"/>
      <c r="H779" s="12"/>
    </row>
    <row r="780" spans="1:8" ht="20">
      <c r="A780" s="331"/>
      <c r="B780" s="335"/>
      <c r="C780" s="335"/>
      <c r="D780" s="335"/>
      <c r="E780" s="390"/>
      <c r="F780" s="287"/>
      <c r="G780" s="12"/>
      <c r="H780" s="12"/>
    </row>
    <row r="781" spans="1:8" ht="20">
      <c r="A781" s="331"/>
      <c r="B781" s="335"/>
      <c r="C781" s="335"/>
      <c r="D781" s="335"/>
      <c r="E781" s="390"/>
      <c r="F781" s="287"/>
      <c r="G781" s="12"/>
      <c r="H781" s="12"/>
    </row>
    <row r="782" spans="1:8" ht="20">
      <c r="A782" s="331"/>
      <c r="B782" s="335"/>
      <c r="C782" s="335"/>
      <c r="D782" s="335"/>
      <c r="E782" s="390"/>
      <c r="F782" s="287"/>
      <c r="G782" s="12"/>
      <c r="H782" s="12"/>
    </row>
    <row r="783" spans="1:8" ht="20">
      <c r="A783" s="331"/>
      <c r="B783" s="335"/>
      <c r="C783" s="335"/>
      <c r="D783" s="335"/>
      <c r="E783" s="390"/>
      <c r="F783" s="287"/>
      <c r="G783" s="12"/>
      <c r="H783" s="12"/>
    </row>
    <row r="784" spans="1:8" ht="20">
      <c r="A784" s="331"/>
      <c r="B784" s="335"/>
      <c r="C784" s="335"/>
      <c r="D784" s="335"/>
      <c r="E784" s="390"/>
      <c r="F784" s="287"/>
      <c r="G784" s="12"/>
      <c r="H784" s="12"/>
    </row>
    <row r="785" spans="1:8" ht="20">
      <c r="A785" s="331"/>
      <c r="B785" s="335"/>
      <c r="C785" s="335"/>
      <c r="D785" s="335"/>
      <c r="E785" s="390"/>
      <c r="F785" s="287"/>
      <c r="G785" s="12"/>
      <c r="H785" s="12"/>
    </row>
    <row r="786" spans="1:8" ht="20">
      <c r="A786" s="331"/>
      <c r="B786" s="335"/>
      <c r="C786" s="335"/>
      <c r="D786" s="335"/>
      <c r="E786" s="390"/>
      <c r="F786" s="287"/>
      <c r="G786" s="12"/>
      <c r="H786" s="12"/>
    </row>
    <row r="787" spans="1:8" ht="20">
      <c r="A787" s="331"/>
      <c r="B787" s="335"/>
      <c r="C787" s="335"/>
      <c r="D787" s="335"/>
      <c r="E787" s="390"/>
      <c r="F787" s="287"/>
      <c r="G787" s="12"/>
      <c r="H787" s="12"/>
    </row>
    <row r="788" spans="1:8" ht="20">
      <c r="A788" s="331"/>
      <c r="B788" s="335"/>
      <c r="C788" s="335"/>
      <c r="D788" s="335"/>
      <c r="E788" s="390"/>
      <c r="F788" s="287"/>
      <c r="G788" s="12"/>
      <c r="H788" s="12"/>
    </row>
    <row r="789" spans="1:8" ht="20">
      <c r="A789" s="331"/>
      <c r="B789" s="335"/>
      <c r="C789" s="335"/>
      <c r="D789" s="335"/>
      <c r="E789" s="390"/>
      <c r="F789" s="287"/>
      <c r="G789" s="12"/>
      <c r="H789" s="12"/>
    </row>
    <row r="790" spans="1:8" ht="20">
      <c r="A790" s="331"/>
      <c r="B790" s="335"/>
      <c r="C790" s="335"/>
      <c r="D790" s="335"/>
      <c r="E790" s="390"/>
      <c r="F790" s="287"/>
      <c r="G790" s="12"/>
      <c r="H790" s="12"/>
    </row>
    <row r="791" spans="1:8" ht="20">
      <c r="A791" s="331"/>
      <c r="B791" s="335"/>
      <c r="C791" s="335"/>
      <c r="D791" s="335"/>
      <c r="E791" s="390"/>
      <c r="F791" s="287"/>
      <c r="G791" s="12"/>
      <c r="H791" s="12"/>
    </row>
    <row r="792" spans="1:8" ht="20">
      <c r="A792" s="331"/>
      <c r="B792" s="335"/>
      <c r="C792" s="335"/>
      <c r="D792" s="335"/>
      <c r="E792" s="390"/>
      <c r="F792" s="287"/>
      <c r="G792" s="12"/>
      <c r="H792" s="12"/>
    </row>
    <row r="793" spans="1:8" ht="20">
      <c r="A793" s="331"/>
      <c r="B793" s="335"/>
      <c r="C793" s="335"/>
      <c r="D793" s="335"/>
      <c r="E793" s="390"/>
      <c r="F793" s="287"/>
      <c r="G793" s="12"/>
      <c r="H793" s="12"/>
    </row>
    <row r="794" spans="1:8" ht="20">
      <c r="A794" s="331"/>
      <c r="B794" s="335"/>
      <c r="C794" s="335"/>
      <c r="D794" s="335"/>
      <c r="E794" s="390"/>
      <c r="F794" s="287"/>
      <c r="G794" s="12"/>
      <c r="H794" s="12"/>
    </row>
    <row r="795" spans="1:8" ht="20">
      <c r="A795" s="331"/>
      <c r="B795" s="335"/>
      <c r="C795" s="335"/>
      <c r="D795" s="335"/>
      <c r="E795" s="390"/>
      <c r="F795" s="287"/>
      <c r="G795" s="12"/>
      <c r="H795" s="12"/>
    </row>
    <row r="796" spans="1:8" ht="20">
      <c r="A796" s="331"/>
      <c r="B796" s="335"/>
      <c r="C796" s="335"/>
      <c r="D796" s="335"/>
      <c r="E796" s="390"/>
      <c r="F796" s="287"/>
      <c r="G796" s="12"/>
      <c r="H796" s="12"/>
    </row>
    <row r="797" spans="1:8" ht="20">
      <c r="A797" s="331"/>
      <c r="B797" s="335"/>
      <c r="C797" s="335"/>
      <c r="D797" s="335"/>
      <c r="E797" s="390"/>
      <c r="F797" s="287"/>
      <c r="G797" s="12"/>
      <c r="H797" s="12"/>
    </row>
    <row r="798" spans="1:8" ht="20">
      <c r="A798" s="331"/>
      <c r="B798" s="335"/>
      <c r="C798" s="335"/>
      <c r="D798" s="335"/>
      <c r="E798" s="390"/>
      <c r="F798" s="287"/>
      <c r="G798" s="12"/>
      <c r="H798" s="12"/>
    </row>
    <row r="799" spans="1:8" ht="20">
      <c r="A799" s="331"/>
      <c r="B799" s="335"/>
      <c r="C799" s="335"/>
      <c r="D799" s="335"/>
      <c r="E799" s="390"/>
      <c r="F799" s="287"/>
      <c r="G799" s="12"/>
      <c r="H799" s="12"/>
    </row>
    <row r="800" spans="1:8" ht="20">
      <c r="A800" s="331"/>
      <c r="B800" s="335"/>
      <c r="C800" s="335"/>
      <c r="D800" s="335"/>
      <c r="E800" s="390"/>
      <c r="F800" s="287"/>
      <c r="G800" s="12"/>
      <c r="H800" s="12"/>
    </row>
    <row r="801" spans="1:8" ht="20">
      <c r="A801" s="331"/>
      <c r="B801" s="335"/>
      <c r="C801" s="335"/>
      <c r="D801" s="335"/>
      <c r="E801" s="390"/>
      <c r="F801" s="287"/>
      <c r="G801" s="12"/>
      <c r="H801" s="12"/>
    </row>
    <row r="802" spans="1:8" ht="20">
      <c r="A802" s="331"/>
      <c r="B802" s="335"/>
      <c r="C802" s="335"/>
      <c r="D802" s="335"/>
      <c r="E802" s="390"/>
      <c r="F802" s="287"/>
      <c r="G802" s="12"/>
      <c r="H802" s="12"/>
    </row>
    <row r="803" spans="1:8" ht="20">
      <c r="A803" s="331"/>
      <c r="B803" s="335"/>
      <c r="C803" s="335"/>
      <c r="D803" s="335"/>
      <c r="E803" s="390"/>
      <c r="F803" s="287"/>
      <c r="G803" s="12"/>
      <c r="H803" s="12"/>
    </row>
    <row r="804" spans="1:8" ht="20">
      <c r="A804" s="331"/>
      <c r="B804" s="335"/>
      <c r="C804" s="335"/>
      <c r="D804" s="335"/>
      <c r="E804" s="390"/>
      <c r="F804" s="287"/>
      <c r="G804" s="12"/>
      <c r="H804" s="12"/>
    </row>
    <row r="805" spans="1:8" ht="20">
      <c r="A805" s="331"/>
      <c r="B805" s="335"/>
      <c r="C805" s="335"/>
      <c r="D805" s="335"/>
      <c r="E805" s="390"/>
      <c r="F805" s="287"/>
      <c r="G805" s="12"/>
      <c r="H805" s="12"/>
    </row>
    <row r="806" spans="1:8" ht="20">
      <c r="A806" s="331"/>
      <c r="B806" s="335"/>
      <c r="C806" s="335"/>
      <c r="D806" s="335"/>
      <c r="E806" s="390"/>
      <c r="F806" s="287"/>
      <c r="G806" s="12"/>
      <c r="H806" s="12"/>
    </row>
    <row r="807" spans="1:8" ht="20">
      <c r="A807" s="331"/>
      <c r="B807" s="335"/>
      <c r="C807" s="335"/>
      <c r="D807" s="335"/>
      <c r="E807" s="390"/>
      <c r="F807" s="287"/>
      <c r="G807" s="12"/>
      <c r="H807" s="12"/>
    </row>
    <row r="808" spans="1:8" ht="20">
      <c r="A808" s="331"/>
      <c r="B808" s="335"/>
      <c r="C808" s="335"/>
      <c r="D808" s="335"/>
      <c r="E808" s="390"/>
      <c r="F808" s="287"/>
      <c r="G808" s="12"/>
      <c r="H808" s="12"/>
    </row>
    <row r="809" spans="1:8" ht="20">
      <c r="A809" s="331"/>
      <c r="B809" s="335"/>
      <c r="C809" s="335"/>
      <c r="D809" s="335"/>
      <c r="E809" s="390"/>
      <c r="F809" s="287"/>
      <c r="G809" s="12"/>
      <c r="H809" s="12"/>
    </row>
    <row r="810" spans="1:8" ht="20">
      <c r="A810" s="331"/>
      <c r="B810" s="335"/>
      <c r="C810" s="335"/>
      <c r="D810" s="335"/>
      <c r="E810" s="390"/>
      <c r="F810" s="287"/>
      <c r="G810" s="12"/>
      <c r="H810" s="12"/>
    </row>
    <row r="811" spans="1:8" ht="20">
      <c r="A811" s="331"/>
      <c r="B811" s="335"/>
      <c r="C811" s="335"/>
      <c r="D811" s="335"/>
      <c r="E811" s="390"/>
      <c r="F811" s="287"/>
      <c r="G811" s="12"/>
      <c r="H811" s="12"/>
    </row>
    <row r="812" spans="1:8" ht="20">
      <c r="A812" s="331"/>
      <c r="B812" s="335"/>
      <c r="C812" s="335"/>
      <c r="D812" s="335"/>
      <c r="E812" s="390"/>
      <c r="F812" s="287"/>
      <c r="G812" s="12"/>
      <c r="H812" s="12"/>
    </row>
    <row r="813" spans="1:8" ht="20">
      <c r="A813" s="331"/>
      <c r="B813" s="335"/>
      <c r="C813" s="335"/>
      <c r="D813" s="335"/>
      <c r="E813" s="390"/>
      <c r="F813" s="287"/>
      <c r="G813" s="12"/>
      <c r="H813" s="12"/>
    </row>
    <row r="814" spans="1:8" ht="20">
      <c r="A814" s="331"/>
      <c r="B814" s="335"/>
      <c r="C814" s="335"/>
      <c r="D814" s="335"/>
      <c r="E814" s="390"/>
      <c r="F814" s="287"/>
      <c r="G814" s="12"/>
      <c r="H814" s="12"/>
    </row>
    <row r="815" spans="1:8" ht="20">
      <c r="A815" s="331"/>
      <c r="B815" s="335"/>
      <c r="C815" s="335"/>
      <c r="D815" s="335"/>
      <c r="E815" s="390"/>
      <c r="F815" s="287"/>
      <c r="G815" s="12"/>
      <c r="H815" s="12"/>
    </row>
    <row r="816" spans="1:8" ht="20">
      <c r="A816" s="331"/>
      <c r="B816" s="335"/>
      <c r="C816" s="335"/>
      <c r="D816" s="335"/>
      <c r="E816" s="390"/>
      <c r="F816" s="287"/>
      <c r="G816" s="12"/>
      <c r="H816" s="12"/>
    </row>
    <row r="817" spans="1:8" ht="20">
      <c r="A817" s="331"/>
      <c r="B817" s="335"/>
      <c r="C817" s="335"/>
      <c r="D817" s="335"/>
      <c r="E817" s="390"/>
      <c r="F817" s="287"/>
      <c r="G817" s="12"/>
      <c r="H817" s="12"/>
    </row>
    <row r="818" spans="1:8" ht="20">
      <c r="A818" s="331"/>
      <c r="B818" s="335"/>
      <c r="C818" s="335"/>
      <c r="D818" s="335"/>
      <c r="E818" s="390"/>
      <c r="F818" s="287"/>
      <c r="G818" s="12"/>
      <c r="H818" s="12"/>
    </row>
    <row r="819" spans="1:8" ht="20">
      <c r="A819" s="331"/>
      <c r="B819" s="335"/>
      <c r="C819" s="335"/>
      <c r="D819" s="335"/>
      <c r="E819" s="390"/>
      <c r="F819" s="287"/>
      <c r="G819" s="12"/>
      <c r="H819" s="12"/>
    </row>
    <row r="820" spans="1:8" ht="20">
      <c r="A820" s="331"/>
      <c r="B820" s="335"/>
      <c r="C820" s="335"/>
      <c r="D820" s="335"/>
      <c r="E820" s="390"/>
      <c r="F820" s="287"/>
      <c r="G820" s="12"/>
      <c r="H820" s="12"/>
    </row>
    <row r="821" spans="1:8" ht="20">
      <c r="A821" s="331"/>
      <c r="B821" s="335"/>
      <c r="C821" s="335"/>
      <c r="D821" s="335"/>
      <c r="E821" s="390"/>
      <c r="F821" s="287"/>
      <c r="G821" s="12"/>
      <c r="H821" s="12"/>
    </row>
    <row r="822" spans="1:8" ht="20">
      <c r="A822" s="331"/>
      <c r="B822" s="335"/>
      <c r="C822" s="335"/>
      <c r="D822" s="335"/>
      <c r="E822" s="390"/>
      <c r="F822" s="287"/>
      <c r="G822" s="12"/>
      <c r="H822" s="12"/>
    </row>
    <row r="823" spans="1:8" ht="20">
      <c r="A823" s="331"/>
      <c r="B823" s="335"/>
      <c r="C823" s="335"/>
      <c r="D823" s="335"/>
      <c r="E823" s="390"/>
      <c r="F823" s="287"/>
      <c r="G823" s="12"/>
      <c r="H823" s="12"/>
    </row>
    <row r="824" spans="1:8" ht="20">
      <c r="A824" s="331"/>
      <c r="B824" s="335"/>
      <c r="C824" s="335"/>
      <c r="D824" s="335"/>
      <c r="E824" s="390"/>
      <c r="F824" s="287"/>
      <c r="G824" s="12"/>
      <c r="H824" s="12"/>
    </row>
    <row r="825" spans="1:8" ht="20">
      <c r="A825" s="331"/>
      <c r="B825" s="335"/>
      <c r="C825" s="335"/>
      <c r="D825" s="335"/>
      <c r="E825" s="390"/>
      <c r="F825" s="287"/>
      <c r="G825" s="12"/>
      <c r="H825" s="12"/>
    </row>
    <row r="826" spans="1:8" ht="20">
      <c r="A826" s="331"/>
      <c r="B826" s="335"/>
      <c r="C826" s="335"/>
      <c r="D826" s="335"/>
      <c r="E826" s="390"/>
      <c r="F826" s="287"/>
      <c r="G826" s="12"/>
      <c r="H826" s="12"/>
    </row>
    <row r="827" spans="1:8" ht="20">
      <c r="A827" s="331"/>
      <c r="B827" s="335"/>
      <c r="C827" s="335"/>
      <c r="D827" s="335"/>
      <c r="E827" s="390"/>
      <c r="F827" s="287"/>
      <c r="G827" s="12"/>
      <c r="H827" s="12"/>
    </row>
    <row r="828" spans="1:8" ht="20">
      <c r="A828" s="331"/>
      <c r="B828" s="335"/>
      <c r="C828" s="335"/>
      <c r="D828" s="335"/>
      <c r="E828" s="390"/>
      <c r="F828" s="287"/>
      <c r="G828" s="12"/>
      <c r="H828" s="12"/>
    </row>
    <row r="829" spans="1:8" ht="20">
      <c r="A829" s="331"/>
      <c r="B829" s="335"/>
      <c r="C829" s="335"/>
      <c r="D829" s="335"/>
      <c r="E829" s="390"/>
      <c r="F829" s="287"/>
      <c r="G829" s="12"/>
      <c r="H829" s="12"/>
    </row>
    <row r="830" spans="1:8" ht="20">
      <c r="A830" s="331"/>
      <c r="B830" s="335"/>
      <c r="C830" s="335"/>
      <c r="D830" s="335"/>
      <c r="E830" s="390"/>
      <c r="F830" s="287"/>
      <c r="G830" s="12"/>
      <c r="H830" s="12"/>
    </row>
    <row r="831" spans="1:8" ht="20">
      <c r="A831" s="331"/>
      <c r="B831" s="335"/>
      <c r="C831" s="335"/>
      <c r="D831" s="335"/>
      <c r="E831" s="390"/>
      <c r="F831" s="287"/>
      <c r="G831" s="12"/>
      <c r="H831" s="12"/>
    </row>
    <row r="832" spans="1:8" ht="20">
      <c r="A832" s="331"/>
      <c r="B832" s="335"/>
      <c r="C832" s="335"/>
      <c r="D832" s="335"/>
      <c r="E832" s="390"/>
      <c r="F832" s="287"/>
      <c r="G832" s="12"/>
      <c r="H832" s="12"/>
    </row>
    <row r="833" spans="1:8" ht="20">
      <c r="A833" s="331"/>
      <c r="B833" s="335"/>
      <c r="C833" s="335"/>
      <c r="D833" s="335"/>
      <c r="E833" s="390"/>
      <c r="F833" s="287"/>
      <c r="G833" s="12"/>
      <c r="H833" s="12"/>
    </row>
    <row r="834" spans="1:8" ht="20">
      <c r="A834" s="331"/>
      <c r="B834" s="335"/>
      <c r="C834" s="335"/>
      <c r="D834" s="335"/>
      <c r="E834" s="390"/>
      <c r="F834" s="287"/>
      <c r="G834" s="12"/>
      <c r="H834" s="12"/>
    </row>
    <row r="835" spans="1:8" ht="20">
      <c r="A835" s="331"/>
      <c r="B835" s="335"/>
      <c r="C835" s="335"/>
      <c r="D835" s="335"/>
      <c r="E835" s="390"/>
      <c r="F835" s="287"/>
      <c r="G835" s="12"/>
      <c r="H835" s="12"/>
    </row>
    <row r="836" spans="1:8" ht="20">
      <c r="A836" s="331"/>
      <c r="B836" s="335"/>
      <c r="C836" s="335"/>
      <c r="D836" s="335"/>
      <c r="E836" s="390"/>
      <c r="F836" s="287"/>
      <c r="G836" s="12"/>
      <c r="H836" s="12"/>
    </row>
    <row r="837" spans="1:8" ht="20">
      <c r="A837" s="331"/>
      <c r="B837" s="335"/>
      <c r="C837" s="335"/>
      <c r="D837" s="335"/>
      <c r="E837" s="390"/>
      <c r="F837" s="287"/>
      <c r="G837" s="12"/>
      <c r="H837" s="12"/>
    </row>
    <row r="838" spans="1:8" ht="20">
      <c r="A838" s="331"/>
      <c r="B838" s="335"/>
      <c r="C838" s="335"/>
      <c r="D838" s="335"/>
      <c r="E838" s="390"/>
      <c r="F838" s="287"/>
      <c r="G838" s="12"/>
      <c r="H838" s="12"/>
    </row>
    <row r="839" spans="1:8" ht="20">
      <c r="A839" s="331"/>
      <c r="B839" s="335"/>
      <c r="C839" s="335"/>
      <c r="D839" s="335"/>
      <c r="E839" s="390"/>
      <c r="F839" s="287"/>
      <c r="G839" s="12"/>
      <c r="H839" s="12"/>
    </row>
    <row r="840" spans="1:8" ht="20">
      <c r="A840" s="331"/>
      <c r="B840" s="335"/>
      <c r="C840" s="335"/>
      <c r="D840" s="335"/>
      <c r="E840" s="390"/>
      <c r="F840" s="287"/>
      <c r="G840" s="12"/>
      <c r="H840" s="12"/>
    </row>
    <row r="841" spans="1:8" ht="20">
      <c r="A841" s="331"/>
      <c r="B841" s="335"/>
      <c r="C841" s="335"/>
      <c r="D841" s="335"/>
      <c r="E841" s="390"/>
      <c r="F841" s="287"/>
      <c r="G841" s="12"/>
      <c r="H841" s="12"/>
    </row>
    <row r="842" spans="1:8" ht="20">
      <c r="A842" s="331"/>
      <c r="B842" s="335"/>
      <c r="C842" s="335"/>
      <c r="D842" s="335"/>
      <c r="E842" s="390"/>
      <c r="F842" s="287"/>
      <c r="G842" s="12"/>
      <c r="H842" s="12"/>
    </row>
    <row r="843" spans="1:8" ht="20">
      <c r="A843" s="331"/>
      <c r="B843" s="335"/>
      <c r="C843" s="335"/>
      <c r="D843" s="335"/>
      <c r="E843" s="390"/>
      <c r="F843" s="287"/>
      <c r="G843" s="12"/>
      <c r="H843" s="12"/>
    </row>
    <row r="844" spans="1:8" ht="20">
      <c r="A844" s="331"/>
      <c r="B844" s="335"/>
      <c r="C844" s="335"/>
      <c r="D844" s="335"/>
      <c r="E844" s="390"/>
      <c r="F844" s="287"/>
      <c r="G844" s="12"/>
      <c r="H844" s="12"/>
    </row>
    <row r="845" spans="1:8" ht="20">
      <c r="A845" s="331"/>
      <c r="B845" s="335"/>
      <c r="C845" s="335"/>
      <c r="D845" s="335"/>
      <c r="E845" s="390"/>
      <c r="F845" s="287"/>
      <c r="G845" s="12"/>
      <c r="H845" s="12"/>
    </row>
    <row r="846" spans="1:8" ht="20">
      <c r="A846" s="331"/>
      <c r="B846" s="335"/>
      <c r="C846" s="335"/>
      <c r="D846" s="335"/>
      <c r="E846" s="390"/>
      <c r="F846" s="287"/>
      <c r="G846" s="12"/>
      <c r="H846" s="12"/>
    </row>
    <row r="847" spans="1:8" ht="20">
      <c r="A847" s="331"/>
      <c r="B847" s="335"/>
      <c r="C847" s="335"/>
      <c r="D847" s="335"/>
      <c r="E847" s="390"/>
      <c r="F847" s="287"/>
      <c r="G847" s="12"/>
      <c r="H847" s="12"/>
    </row>
    <row r="848" spans="1:8" ht="20">
      <c r="A848" s="331"/>
      <c r="B848" s="335"/>
      <c r="C848" s="335"/>
      <c r="D848" s="335"/>
      <c r="E848" s="390"/>
      <c r="F848" s="287"/>
      <c r="G848" s="12"/>
      <c r="H848" s="12"/>
    </row>
    <row r="849" spans="1:8" ht="20">
      <c r="A849" s="331"/>
      <c r="B849" s="335"/>
      <c r="C849" s="335"/>
      <c r="D849" s="335"/>
      <c r="E849" s="390"/>
      <c r="F849" s="287"/>
      <c r="G849" s="12"/>
      <c r="H849" s="12"/>
    </row>
    <row r="850" spans="1:8" ht="20">
      <c r="A850" s="331"/>
      <c r="B850" s="335"/>
      <c r="C850" s="335"/>
      <c r="D850" s="335"/>
      <c r="E850" s="390"/>
      <c r="F850" s="287"/>
      <c r="G850" s="12"/>
      <c r="H850" s="12"/>
    </row>
    <row r="851" spans="1:8" ht="20">
      <c r="A851" s="331"/>
      <c r="B851" s="335"/>
      <c r="C851" s="335"/>
      <c r="D851" s="335"/>
      <c r="E851" s="390"/>
      <c r="F851" s="287"/>
      <c r="G851" s="12"/>
      <c r="H851" s="12"/>
    </row>
    <row r="852" spans="1:8" ht="20">
      <c r="A852" s="331"/>
      <c r="B852" s="335"/>
      <c r="C852" s="335"/>
      <c r="D852" s="335"/>
      <c r="E852" s="390"/>
      <c r="F852" s="287"/>
      <c r="G852" s="12"/>
      <c r="H852" s="12"/>
    </row>
    <row r="853" spans="1:8" ht="20">
      <c r="A853" s="331"/>
      <c r="B853" s="335"/>
      <c r="C853" s="335"/>
      <c r="D853" s="335"/>
      <c r="E853" s="390"/>
      <c r="F853" s="287"/>
      <c r="G853" s="12"/>
      <c r="H853" s="12"/>
    </row>
    <row r="854" spans="1:8" ht="20">
      <c r="A854" s="331"/>
      <c r="B854" s="335"/>
      <c r="C854" s="335"/>
      <c r="D854" s="335"/>
      <c r="E854" s="390"/>
      <c r="F854" s="287"/>
      <c r="G854" s="12"/>
      <c r="H854" s="12"/>
    </row>
    <row r="855" spans="1:8" ht="20">
      <c r="A855" s="331"/>
      <c r="B855" s="335"/>
      <c r="C855" s="335"/>
      <c r="D855" s="335"/>
      <c r="E855" s="390"/>
      <c r="F855" s="287"/>
      <c r="G855" s="12"/>
      <c r="H855" s="12"/>
    </row>
    <row r="856" spans="1:8" ht="20">
      <c r="A856" s="331"/>
      <c r="B856" s="335"/>
      <c r="C856" s="335"/>
      <c r="D856" s="335"/>
      <c r="E856" s="390"/>
      <c r="F856" s="287"/>
      <c r="G856" s="12"/>
      <c r="H856" s="12"/>
    </row>
    <row r="857" spans="1:8" ht="20">
      <c r="A857" s="331"/>
      <c r="B857" s="335"/>
      <c r="C857" s="335"/>
      <c r="D857" s="335"/>
      <c r="E857" s="390"/>
      <c r="F857" s="287"/>
      <c r="G857" s="12"/>
      <c r="H857" s="12"/>
    </row>
    <row r="858" spans="1:8" ht="20">
      <c r="A858" s="331"/>
      <c r="B858" s="335"/>
      <c r="C858" s="335"/>
      <c r="D858" s="335"/>
      <c r="E858" s="390"/>
      <c r="F858" s="287"/>
      <c r="G858" s="12"/>
      <c r="H858" s="12"/>
    </row>
    <row r="859" spans="1:8" ht="20">
      <c r="A859" s="331"/>
      <c r="B859" s="335"/>
      <c r="C859" s="335"/>
      <c r="D859" s="335"/>
      <c r="E859" s="390"/>
      <c r="F859" s="287"/>
      <c r="G859" s="12"/>
      <c r="H859" s="12"/>
    </row>
    <row r="860" spans="1:8" ht="20">
      <c r="A860" s="331"/>
      <c r="B860" s="335"/>
      <c r="C860" s="335"/>
      <c r="D860" s="335"/>
      <c r="E860" s="390"/>
      <c r="F860" s="287"/>
      <c r="G860" s="12"/>
      <c r="H860" s="12"/>
    </row>
    <row r="861" spans="1:8" ht="20">
      <c r="A861" s="331"/>
      <c r="B861" s="335"/>
      <c r="C861" s="335"/>
      <c r="D861" s="335"/>
      <c r="E861" s="390"/>
      <c r="F861" s="287"/>
      <c r="G861" s="12"/>
      <c r="H861" s="12"/>
    </row>
    <row r="862" spans="1:8" ht="20">
      <c r="A862" s="331"/>
      <c r="B862" s="335"/>
      <c r="C862" s="335"/>
      <c r="D862" s="335"/>
      <c r="E862" s="390"/>
      <c r="F862" s="287"/>
      <c r="G862" s="12"/>
      <c r="H862" s="12"/>
    </row>
    <row r="863" spans="1:8" ht="20">
      <c r="A863" s="331"/>
      <c r="B863" s="335"/>
      <c r="C863" s="335"/>
      <c r="D863" s="335"/>
      <c r="E863" s="390"/>
      <c r="F863" s="287"/>
      <c r="G863" s="12"/>
      <c r="H863" s="12"/>
    </row>
    <row r="864" spans="1:8" ht="20">
      <c r="A864" s="331"/>
      <c r="B864" s="335"/>
      <c r="C864" s="335"/>
      <c r="D864" s="335"/>
      <c r="E864" s="390"/>
      <c r="F864" s="287"/>
      <c r="G864" s="12"/>
      <c r="H864" s="12"/>
    </row>
    <row r="865" spans="1:8" ht="20">
      <c r="A865" s="331"/>
      <c r="B865" s="335"/>
      <c r="C865" s="335"/>
      <c r="D865" s="335"/>
      <c r="E865" s="390"/>
      <c r="F865" s="287"/>
      <c r="G865" s="12"/>
      <c r="H865" s="12"/>
    </row>
    <row r="866" spans="1:8" ht="20">
      <c r="A866" s="331"/>
      <c r="B866" s="335"/>
      <c r="C866" s="335"/>
      <c r="D866" s="335"/>
      <c r="E866" s="390"/>
      <c r="F866" s="287"/>
      <c r="G866" s="12"/>
      <c r="H866" s="12"/>
    </row>
    <row r="867" spans="1:8" ht="20">
      <c r="A867" s="331"/>
      <c r="B867" s="335"/>
      <c r="C867" s="335"/>
      <c r="D867" s="335"/>
      <c r="E867" s="390"/>
      <c r="F867" s="287"/>
      <c r="G867" s="12"/>
      <c r="H867" s="12"/>
    </row>
    <row r="868" spans="1:8" ht="20">
      <c r="A868" s="331"/>
      <c r="B868" s="335"/>
      <c r="C868" s="335"/>
      <c r="D868" s="335"/>
      <c r="E868" s="390"/>
      <c r="F868" s="287"/>
      <c r="G868" s="12"/>
      <c r="H868" s="12"/>
    </row>
    <row r="869" spans="1:8" ht="20">
      <c r="A869" s="331"/>
      <c r="B869" s="335"/>
      <c r="C869" s="335"/>
      <c r="D869" s="335"/>
      <c r="E869" s="390"/>
      <c r="F869" s="287"/>
      <c r="G869" s="12"/>
      <c r="H869" s="12"/>
    </row>
    <row r="870" spans="1:8" ht="20">
      <c r="A870" s="331"/>
      <c r="B870" s="335"/>
      <c r="C870" s="335"/>
      <c r="D870" s="335"/>
      <c r="E870" s="390"/>
      <c r="F870" s="287"/>
      <c r="G870" s="12"/>
      <c r="H870" s="12"/>
    </row>
    <row r="871" spans="1:8" ht="20">
      <c r="A871" s="331"/>
      <c r="B871" s="335"/>
      <c r="C871" s="335"/>
      <c r="D871" s="335"/>
      <c r="E871" s="390"/>
      <c r="F871" s="287"/>
      <c r="G871" s="12"/>
      <c r="H871" s="12"/>
    </row>
    <row r="872" spans="1:8" ht="20">
      <c r="A872" s="331"/>
      <c r="B872" s="335"/>
      <c r="C872" s="335"/>
      <c r="D872" s="335"/>
      <c r="E872" s="390"/>
      <c r="F872" s="287"/>
      <c r="G872" s="12"/>
      <c r="H872" s="12"/>
    </row>
    <row r="873" spans="1:8" ht="20">
      <c r="A873" s="331"/>
      <c r="B873" s="335"/>
      <c r="C873" s="335"/>
      <c r="D873" s="335"/>
      <c r="E873" s="390"/>
      <c r="F873" s="287"/>
      <c r="G873" s="12"/>
      <c r="H873" s="12"/>
    </row>
    <row r="874" spans="1:8" ht="20">
      <c r="A874" s="331"/>
      <c r="B874" s="335"/>
      <c r="C874" s="335"/>
      <c r="D874" s="335"/>
      <c r="E874" s="390"/>
      <c r="F874" s="287"/>
      <c r="G874" s="12"/>
      <c r="H874" s="12"/>
    </row>
    <row r="875" spans="1:8" ht="20">
      <c r="A875" s="331"/>
      <c r="B875" s="335"/>
      <c r="C875" s="335"/>
      <c r="D875" s="335"/>
      <c r="E875" s="390"/>
      <c r="F875" s="287"/>
      <c r="G875" s="12"/>
      <c r="H875" s="12"/>
    </row>
    <row r="876" spans="1:8" ht="20">
      <c r="A876" s="331"/>
      <c r="B876" s="335"/>
      <c r="C876" s="335"/>
      <c r="D876" s="335"/>
      <c r="E876" s="390"/>
      <c r="F876" s="287"/>
      <c r="G876" s="12"/>
      <c r="H876" s="12"/>
    </row>
    <row r="877" spans="1:8" ht="20">
      <c r="A877" s="331"/>
      <c r="B877" s="335"/>
      <c r="C877" s="335"/>
      <c r="D877" s="335"/>
      <c r="E877" s="390"/>
      <c r="F877" s="287"/>
      <c r="G877" s="12"/>
      <c r="H877" s="12"/>
    </row>
    <row r="878" spans="1:8" ht="20">
      <c r="A878" s="331"/>
      <c r="B878" s="335"/>
      <c r="C878" s="335"/>
      <c r="D878" s="335"/>
      <c r="E878" s="390"/>
      <c r="F878" s="287"/>
      <c r="G878" s="12"/>
      <c r="H878" s="12"/>
    </row>
    <row r="879" spans="1:8" ht="20">
      <c r="A879" s="331"/>
      <c r="B879" s="335"/>
      <c r="C879" s="335"/>
      <c r="D879" s="335"/>
      <c r="E879" s="390"/>
      <c r="F879" s="287"/>
      <c r="G879" s="12"/>
      <c r="H879" s="12"/>
    </row>
    <row r="880" spans="1:8" ht="20">
      <c r="A880" s="331"/>
      <c r="B880" s="335"/>
      <c r="C880" s="335"/>
      <c r="D880" s="335"/>
      <c r="E880" s="390"/>
      <c r="F880" s="287"/>
      <c r="G880" s="12"/>
      <c r="H880" s="12"/>
    </row>
    <row r="881" spans="1:8" ht="20">
      <c r="A881" s="331"/>
      <c r="B881" s="335"/>
      <c r="C881" s="335"/>
      <c r="D881" s="335"/>
      <c r="E881" s="390"/>
      <c r="F881" s="287"/>
      <c r="G881" s="12"/>
      <c r="H881" s="12"/>
    </row>
    <row r="882" spans="1:8" ht="20">
      <c r="A882" s="331"/>
      <c r="B882" s="335"/>
      <c r="C882" s="335"/>
      <c r="D882" s="335"/>
      <c r="E882" s="390"/>
      <c r="F882" s="287"/>
      <c r="G882" s="12"/>
      <c r="H882" s="12"/>
    </row>
    <row r="883" spans="1:8" ht="20">
      <c r="A883" s="331"/>
      <c r="B883" s="335"/>
      <c r="C883" s="335"/>
      <c r="D883" s="335"/>
      <c r="E883" s="390"/>
      <c r="F883" s="287"/>
      <c r="G883" s="12"/>
      <c r="H883" s="12"/>
    </row>
    <row r="884" spans="1:8" ht="20">
      <c r="A884" s="331"/>
      <c r="B884" s="335"/>
      <c r="C884" s="335"/>
      <c r="D884" s="335"/>
      <c r="E884" s="390"/>
      <c r="F884" s="287"/>
      <c r="G884" s="12"/>
      <c r="H884" s="12"/>
    </row>
    <row r="885" spans="1:8" ht="20">
      <c r="A885" s="331"/>
      <c r="B885" s="335"/>
      <c r="C885" s="335"/>
      <c r="D885" s="335"/>
      <c r="E885" s="390"/>
      <c r="F885" s="287"/>
      <c r="G885" s="12"/>
      <c r="H885" s="12"/>
    </row>
    <row r="886" spans="1:8" ht="20">
      <c r="A886" s="331"/>
      <c r="B886" s="335"/>
      <c r="C886" s="335"/>
      <c r="D886" s="335"/>
      <c r="E886" s="390"/>
      <c r="F886" s="287"/>
      <c r="G886" s="12"/>
      <c r="H886" s="12"/>
    </row>
    <row r="887" spans="1:8" ht="20">
      <c r="A887" s="331"/>
      <c r="B887" s="335"/>
      <c r="C887" s="335"/>
      <c r="D887" s="335"/>
      <c r="E887" s="390"/>
      <c r="F887" s="287"/>
      <c r="G887" s="12"/>
      <c r="H887" s="12"/>
    </row>
    <row r="888" spans="1:8" ht="20">
      <c r="A888" s="331"/>
      <c r="B888" s="335"/>
      <c r="C888" s="335"/>
      <c r="D888" s="335"/>
      <c r="E888" s="390"/>
      <c r="F888" s="287"/>
      <c r="G888" s="12"/>
      <c r="H888" s="12"/>
    </row>
    <row r="889" spans="1:8" ht="20">
      <c r="A889" s="331"/>
      <c r="B889" s="335"/>
      <c r="C889" s="335"/>
      <c r="D889" s="335"/>
      <c r="E889" s="390"/>
      <c r="F889" s="287"/>
      <c r="G889" s="12"/>
      <c r="H889" s="12"/>
    </row>
    <row r="890" spans="1:8" ht="20">
      <c r="A890" s="331"/>
      <c r="B890" s="335"/>
      <c r="C890" s="335"/>
      <c r="D890" s="335"/>
      <c r="E890" s="390"/>
      <c r="F890" s="287"/>
      <c r="G890" s="12"/>
      <c r="H890" s="12"/>
    </row>
    <row r="891" spans="1:8" ht="20">
      <c r="A891" s="331"/>
      <c r="B891" s="335"/>
      <c r="C891" s="335"/>
      <c r="D891" s="335"/>
      <c r="E891" s="390"/>
      <c r="F891" s="287"/>
      <c r="G891" s="12"/>
      <c r="H891" s="12"/>
    </row>
    <row r="892" spans="1:8" ht="20">
      <c r="A892" s="331"/>
      <c r="B892" s="335"/>
      <c r="C892" s="335"/>
      <c r="D892" s="335"/>
      <c r="E892" s="390"/>
      <c r="F892" s="287"/>
      <c r="G892" s="12"/>
      <c r="H892" s="12"/>
    </row>
    <row r="893" spans="1:8" ht="20">
      <c r="A893" s="331"/>
      <c r="B893" s="335"/>
      <c r="C893" s="335"/>
      <c r="D893" s="335"/>
      <c r="E893" s="390"/>
      <c r="F893" s="287"/>
      <c r="G893" s="12"/>
      <c r="H893" s="12"/>
    </row>
    <row r="894" spans="1:8" ht="20">
      <c r="A894" s="331"/>
      <c r="B894" s="335"/>
      <c r="C894" s="335"/>
      <c r="D894" s="335"/>
      <c r="E894" s="390"/>
      <c r="F894" s="287"/>
      <c r="G894" s="12"/>
      <c r="H894" s="12"/>
    </row>
    <row r="895" spans="1:8" ht="20">
      <c r="A895" s="331"/>
      <c r="B895" s="335"/>
      <c r="C895" s="335"/>
      <c r="D895" s="335"/>
      <c r="E895" s="390"/>
      <c r="F895" s="287"/>
      <c r="G895" s="12"/>
      <c r="H895" s="12"/>
    </row>
    <row r="896" spans="1:8" ht="20">
      <c r="A896" s="331"/>
      <c r="B896" s="335"/>
      <c r="C896" s="335"/>
      <c r="D896" s="335"/>
      <c r="E896" s="390"/>
      <c r="F896" s="287"/>
      <c r="G896" s="12"/>
      <c r="H896" s="12"/>
    </row>
    <row r="897" spans="1:8" ht="20">
      <c r="A897" s="331"/>
      <c r="B897" s="335"/>
      <c r="C897" s="335"/>
      <c r="D897" s="335"/>
      <c r="E897" s="390"/>
      <c r="F897" s="287"/>
      <c r="G897" s="12"/>
      <c r="H897" s="12"/>
    </row>
    <row r="898" spans="1:8" ht="20">
      <c r="A898" s="331"/>
      <c r="B898" s="335"/>
      <c r="C898" s="335"/>
      <c r="D898" s="335"/>
      <c r="E898" s="390"/>
      <c r="F898" s="287"/>
      <c r="G898" s="12"/>
      <c r="H898" s="12"/>
    </row>
    <row r="899" spans="1:8" ht="20">
      <c r="A899" s="331"/>
      <c r="B899" s="335"/>
      <c r="C899" s="335"/>
      <c r="D899" s="335"/>
      <c r="E899" s="390"/>
      <c r="F899" s="287"/>
      <c r="G899" s="12"/>
      <c r="H899" s="12"/>
    </row>
    <row r="900" spans="1:8" ht="20">
      <c r="A900" s="331"/>
      <c r="B900" s="335"/>
      <c r="C900" s="335"/>
      <c r="D900" s="335"/>
      <c r="E900" s="390"/>
      <c r="F900" s="287"/>
      <c r="G900" s="12"/>
      <c r="H900" s="12"/>
    </row>
    <row r="901" spans="1:8" ht="20">
      <c r="A901" s="331"/>
      <c r="B901" s="335"/>
      <c r="C901" s="335"/>
      <c r="D901" s="335"/>
      <c r="E901" s="390"/>
      <c r="F901" s="287"/>
      <c r="G901" s="12"/>
      <c r="H901" s="12"/>
    </row>
    <row r="902" spans="1:8" ht="20">
      <c r="A902" s="331"/>
      <c r="B902" s="335"/>
      <c r="C902" s="335"/>
      <c r="D902" s="335"/>
      <c r="E902" s="390"/>
      <c r="F902" s="287"/>
      <c r="G902" s="12"/>
      <c r="H902" s="12"/>
    </row>
    <row r="903" spans="1:8" ht="20">
      <c r="A903" s="331"/>
      <c r="B903" s="335"/>
      <c r="C903" s="335"/>
      <c r="D903" s="335"/>
      <c r="E903" s="390"/>
      <c r="F903" s="287"/>
      <c r="G903" s="12"/>
      <c r="H903" s="12"/>
    </row>
    <row r="904" spans="1:8" ht="20">
      <c r="A904" s="331"/>
      <c r="B904" s="335"/>
      <c r="C904" s="335"/>
      <c r="D904" s="335"/>
      <c r="E904" s="390"/>
      <c r="F904" s="287"/>
      <c r="G904" s="12"/>
      <c r="H904" s="12"/>
    </row>
    <row r="905" spans="1:8" ht="20">
      <c r="A905" s="331"/>
      <c r="B905" s="335"/>
      <c r="C905" s="335"/>
      <c r="D905" s="335"/>
      <c r="E905" s="390"/>
      <c r="F905" s="287"/>
      <c r="G905" s="12"/>
      <c r="H905" s="12"/>
    </row>
    <row r="906" spans="1:8" ht="20">
      <c r="A906" s="331"/>
      <c r="B906" s="335"/>
      <c r="C906" s="335"/>
      <c r="D906" s="335"/>
      <c r="E906" s="390"/>
      <c r="F906" s="287"/>
      <c r="G906" s="12"/>
      <c r="H906" s="12"/>
    </row>
    <row r="907" spans="1:8" ht="20">
      <c r="A907" s="331"/>
      <c r="B907" s="335"/>
      <c r="C907" s="335"/>
      <c r="D907" s="335"/>
      <c r="E907" s="390"/>
      <c r="F907" s="287"/>
      <c r="G907" s="12"/>
      <c r="H907" s="12"/>
    </row>
    <row r="908" spans="1:8" ht="20">
      <c r="A908" s="331"/>
      <c r="B908" s="335"/>
      <c r="C908" s="335"/>
      <c r="D908" s="335"/>
      <c r="E908" s="390"/>
      <c r="F908" s="287"/>
      <c r="G908" s="12"/>
      <c r="H908" s="12"/>
    </row>
    <row r="909" spans="1:8" ht="20">
      <c r="A909" s="331"/>
      <c r="B909" s="335"/>
      <c r="C909" s="335"/>
      <c r="D909" s="335"/>
      <c r="E909" s="390"/>
      <c r="F909" s="287"/>
      <c r="G909" s="12"/>
      <c r="H909" s="12"/>
    </row>
    <row r="910" spans="1:8" ht="20">
      <c r="A910" s="331"/>
      <c r="B910" s="335"/>
      <c r="C910" s="335"/>
      <c r="D910" s="335"/>
      <c r="E910" s="390"/>
      <c r="F910" s="287"/>
      <c r="G910" s="12"/>
      <c r="H910" s="12"/>
    </row>
    <row r="911" spans="1:8" ht="20">
      <c r="A911" s="331"/>
      <c r="B911" s="335"/>
      <c r="C911" s="335"/>
      <c r="D911" s="335"/>
      <c r="E911" s="390"/>
      <c r="F911" s="287"/>
      <c r="G911" s="12"/>
      <c r="H911" s="12"/>
    </row>
    <row r="912" spans="1:8" ht="20">
      <c r="A912" s="331"/>
      <c r="B912" s="335"/>
      <c r="C912" s="335"/>
      <c r="D912" s="335"/>
      <c r="E912" s="390"/>
      <c r="F912" s="287"/>
      <c r="G912" s="12"/>
      <c r="H912" s="12"/>
    </row>
    <row r="913" spans="1:8" ht="20">
      <c r="A913" s="331"/>
      <c r="B913" s="335"/>
      <c r="C913" s="335"/>
      <c r="D913" s="335"/>
      <c r="E913" s="390"/>
      <c r="F913" s="287"/>
      <c r="G913" s="12"/>
      <c r="H913" s="12"/>
    </row>
    <row r="914" spans="1:8" ht="20">
      <c r="A914" s="331"/>
      <c r="B914" s="335"/>
      <c r="C914" s="335"/>
      <c r="D914" s="335"/>
      <c r="E914" s="390"/>
      <c r="F914" s="287"/>
      <c r="G914" s="12"/>
      <c r="H914" s="12"/>
    </row>
    <row r="915" spans="1:8" ht="20">
      <c r="A915" s="331"/>
      <c r="B915" s="335"/>
      <c r="C915" s="335"/>
      <c r="D915" s="335"/>
      <c r="E915" s="390"/>
      <c r="F915" s="287"/>
      <c r="G915" s="12"/>
      <c r="H915" s="12"/>
    </row>
    <row r="916" spans="1:8" ht="20">
      <c r="A916" s="331"/>
      <c r="B916" s="335"/>
      <c r="C916" s="335"/>
      <c r="D916" s="335"/>
      <c r="E916" s="390"/>
      <c r="F916" s="287"/>
      <c r="G916" s="12"/>
      <c r="H916" s="12"/>
    </row>
    <row r="917" spans="1:8" ht="20">
      <c r="A917" s="331"/>
      <c r="B917" s="335"/>
      <c r="C917" s="335"/>
      <c r="D917" s="335"/>
      <c r="E917" s="390"/>
      <c r="F917" s="287"/>
      <c r="G917" s="12"/>
      <c r="H917" s="12"/>
    </row>
    <row r="918" spans="1:8" ht="20">
      <c r="A918" s="331"/>
      <c r="B918" s="335"/>
      <c r="C918" s="335"/>
      <c r="D918" s="335"/>
      <c r="E918" s="390"/>
      <c r="F918" s="287"/>
      <c r="G918" s="12"/>
      <c r="H918" s="12"/>
    </row>
    <row r="919" spans="1:8" ht="20">
      <c r="A919" s="331"/>
      <c r="B919" s="335"/>
      <c r="C919" s="335"/>
      <c r="D919" s="335"/>
      <c r="E919" s="390"/>
      <c r="F919" s="287"/>
      <c r="G919" s="12"/>
      <c r="H919" s="12"/>
    </row>
    <row r="920" spans="1:8" ht="20">
      <c r="A920" s="331"/>
      <c r="B920" s="335"/>
      <c r="C920" s="335"/>
      <c r="D920" s="335"/>
      <c r="E920" s="390"/>
      <c r="F920" s="287"/>
      <c r="G920" s="12"/>
      <c r="H920" s="12"/>
    </row>
    <row r="921" spans="1:8" ht="20">
      <c r="A921" s="331"/>
      <c r="B921" s="335"/>
      <c r="C921" s="335"/>
      <c r="D921" s="335"/>
      <c r="E921" s="390"/>
      <c r="F921" s="287"/>
      <c r="G921" s="12"/>
      <c r="H921" s="12"/>
    </row>
    <row r="922" spans="1:8" ht="20">
      <c r="A922" s="331"/>
      <c r="B922" s="335"/>
      <c r="C922" s="335"/>
      <c r="D922" s="335"/>
      <c r="E922" s="390"/>
      <c r="F922" s="287"/>
      <c r="G922" s="12"/>
      <c r="H922" s="12"/>
    </row>
    <row r="923" spans="1:8" ht="20">
      <c r="A923" s="331"/>
      <c r="B923" s="335"/>
      <c r="C923" s="335"/>
      <c r="D923" s="335"/>
      <c r="E923" s="390"/>
      <c r="F923" s="287"/>
      <c r="G923" s="12"/>
      <c r="H923" s="12"/>
    </row>
    <row r="924" spans="1:8" ht="20">
      <c r="A924" s="331"/>
      <c r="B924" s="335"/>
      <c r="C924" s="335"/>
      <c r="D924" s="335"/>
      <c r="E924" s="390"/>
      <c r="F924" s="287"/>
      <c r="G924" s="12"/>
      <c r="H924" s="12"/>
    </row>
    <row r="925" spans="1:8" ht="20">
      <c r="A925" s="331"/>
      <c r="B925" s="335"/>
      <c r="C925" s="335"/>
      <c r="D925" s="335"/>
      <c r="E925" s="390"/>
      <c r="F925" s="287"/>
      <c r="G925" s="12"/>
      <c r="H925" s="12"/>
    </row>
    <row r="926" spans="1:8" ht="20">
      <c r="A926" s="331"/>
      <c r="B926" s="335"/>
      <c r="C926" s="335"/>
      <c r="D926" s="335"/>
      <c r="E926" s="390"/>
      <c r="F926" s="287"/>
      <c r="G926" s="12"/>
      <c r="H926" s="12"/>
    </row>
    <row r="927" spans="1:8" ht="20">
      <c r="A927" s="331"/>
      <c r="B927" s="335"/>
      <c r="C927" s="335"/>
      <c r="D927" s="335"/>
      <c r="E927" s="390"/>
      <c r="F927" s="287"/>
      <c r="G927" s="12"/>
      <c r="H927" s="12"/>
    </row>
    <row r="928" spans="1:8" ht="20">
      <c r="A928" s="331"/>
      <c r="B928" s="335"/>
      <c r="C928" s="335"/>
      <c r="D928" s="335"/>
      <c r="E928" s="390"/>
      <c r="F928" s="287"/>
      <c r="G928" s="12"/>
      <c r="H928" s="12"/>
    </row>
    <row r="929" spans="1:8" ht="20">
      <c r="A929" s="331"/>
      <c r="B929" s="335"/>
      <c r="C929" s="335"/>
      <c r="D929" s="335"/>
      <c r="E929" s="390"/>
      <c r="F929" s="287"/>
      <c r="G929" s="12"/>
      <c r="H929" s="12"/>
    </row>
    <row r="930" spans="1:8" ht="20">
      <c r="A930" s="331"/>
      <c r="B930" s="335"/>
      <c r="C930" s="335"/>
      <c r="D930" s="335"/>
      <c r="E930" s="390"/>
      <c r="F930" s="287"/>
      <c r="G930" s="12"/>
      <c r="H930" s="12"/>
    </row>
    <row r="931" spans="1:8" ht="20">
      <c r="A931" s="331"/>
      <c r="B931" s="335"/>
      <c r="C931" s="335"/>
      <c r="D931" s="335"/>
      <c r="E931" s="390"/>
      <c r="F931" s="287"/>
      <c r="G931" s="12"/>
      <c r="H931" s="12"/>
    </row>
    <row r="932" spans="1:8" ht="20">
      <c r="A932" s="331"/>
      <c r="B932" s="335"/>
      <c r="C932" s="335"/>
      <c r="D932" s="335"/>
      <c r="E932" s="390"/>
      <c r="F932" s="287"/>
      <c r="G932" s="12"/>
      <c r="H932" s="12"/>
    </row>
    <row r="933" spans="1:8" ht="20">
      <c r="A933" s="331"/>
      <c r="B933" s="335"/>
      <c r="C933" s="335"/>
      <c r="D933" s="335"/>
      <c r="E933" s="390"/>
      <c r="F933" s="287"/>
      <c r="G933" s="12"/>
      <c r="H933" s="12"/>
    </row>
    <row r="934" spans="1:8" ht="20">
      <c r="A934" s="331"/>
      <c r="B934" s="335"/>
      <c r="C934" s="335"/>
      <c r="D934" s="335"/>
      <c r="E934" s="390"/>
      <c r="F934" s="287"/>
      <c r="G934" s="12"/>
      <c r="H934" s="12"/>
    </row>
    <row r="935" spans="1:8" ht="20">
      <c r="A935" s="331"/>
      <c r="B935" s="335"/>
      <c r="C935" s="335"/>
      <c r="D935" s="335"/>
      <c r="E935" s="390"/>
      <c r="F935" s="287"/>
      <c r="G935" s="12"/>
      <c r="H935" s="12"/>
    </row>
    <row r="936" spans="1:8" ht="20">
      <c r="A936" s="331"/>
      <c r="B936" s="335"/>
      <c r="C936" s="335"/>
      <c r="D936" s="335"/>
      <c r="E936" s="390"/>
      <c r="F936" s="287"/>
      <c r="G936" s="12"/>
      <c r="H936" s="12"/>
    </row>
    <row r="937" spans="1:8" ht="20">
      <c r="A937" s="331"/>
      <c r="B937" s="335"/>
      <c r="C937" s="335"/>
      <c r="D937" s="335"/>
      <c r="E937" s="390"/>
      <c r="F937" s="287"/>
      <c r="G937" s="12"/>
      <c r="H937" s="12"/>
    </row>
    <row r="938" spans="1:8" ht="20">
      <c r="A938" s="331"/>
      <c r="B938" s="335"/>
      <c r="C938" s="335"/>
      <c r="D938" s="335"/>
      <c r="E938" s="390"/>
      <c r="F938" s="287"/>
      <c r="G938" s="12"/>
      <c r="H938" s="12"/>
    </row>
    <row r="939" spans="1:8" ht="20">
      <c r="A939" s="331"/>
      <c r="B939" s="335"/>
      <c r="C939" s="335"/>
      <c r="D939" s="335"/>
      <c r="E939" s="390"/>
      <c r="F939" s="287"/>
      <c r="G939" s="12"/>
      <c r="H939" s="12"/>
    </row>
    <row r="940" spans="1:8" ht="20">
      <c r="A940" s="331"/>
      <c r="B940" s="335"/>
      <c r="C940" s="335"/>
      <c r="D940" s="335"/>
      <c r="E940" s="390"/>
      <c r="F940" s="287"/>
      <c r="G940" s="12"/>
      <c r="H940" s="12"/>
    </row>
    <row r="941" spans="1:8" ht="20">
      <c r="A941" s="331"/>
      <c r="B941" s="335"/>
      <c r="C941" s="335"/>
      <c r="D941" s="335"/>
      <c r="E941" s="390"/>
      <c r="F941" s="287"/>
      <c r="G941" s="12"/>
      <c r="H941" s="12"/>
    </row>
    <row r="942" spans="1:8" ht="20">
      <c r="A942" s="331"/>
      <c r="B942" s="335"/>
      <c r="C942" s="335"/>
      <c r="D942" s="335"/>
      <c r="E942" s="390"/>
      <c r="F942" s="287"/>
      <c r="G942" s="12"/>
      <c r="H942" s="12"/>
    </row>
    <row r="943" spans="1:8" ht="20">
      <c r="A943" s="331"/>
      <c r="B943" s="335"/>
      <c r="C943" s="335"/>
      <c r="D943" s="335"/>
      <c r="E943" s="390"/>
      <c r="F943" s="287"/>
      <c r="G943" s="12"/>
      <c r="H943" s="12"/>
    </row>
    <row r="944" spans="1:8" ht="20">
      <c r="A944" s="331"/>
      <c r="B944" s="335"/>
      <c r="C944" s="335"/>
      <c r="D944" s="335"/>
      <c r="E944" s="390"/>
      <c r="F944" s="287"/>
      <c r="G944" s="12"/>
      <c r="H944" s="12"/>
    </row>
    <row r="945" spans="1:8" ht="20">
      <c r="A945" s="331"/>
      <c r="B945" s="335"/>
      <c r="C945" s="335"/>
      <c r="D945" s="335"/>
      <c r="E945" s="390"/>
      <c r="F945" s="287"/>
      <c r="G945" s="12"/>
      <c r="H945" s="12"/>
    </row>
    <row r="946" spans="1:8" ht="20">
      <c r="A946" s="331"/>
      <c r="B946" s="335"/>
      <c r="C946" s="335"/>
      <c r="D946" s="335"/>
      <c r="E946" s="390"/>
      <c r="F946" s="287"/>
      <c r="G946" s="12"/>
      <c r="H946" s="12"/>
    </row>
    <row r="947" spans="1:8" ht="20">
      <c r="A947" s="331"/>
      <c r="B947" s="335"/>
      <c r="C947" s="335"/>
      <c r="D947" s="335"/>
      <c r="E947" s="390"/>
      <c r="F947" s="287"/>
      <c r="G947" s="12"/>
      <c r="H947" s="12"/>
    </row>
    <row r="948" spans="1:8" ht="20">
      <c r="A948" s="331"/>
      <c r="B948" s="335"/>
      <c r="C948" s="335"/>
      <c r="D948" s="335"/>
      <c r="E948" s="390"/>
      <c r="F948" s="287"/>
      <c r="G948" s="12"/>
      <c r="H948" s="12"/>
    </row>
    <row r="949" spans="1:8" ht="20">
      <c r="A949" s="331"/>
      <c r="B949" s="335"/>
      <c r="C949" s="335"/>
      <c r="D949" s="335"/>
      <c r="E949" s="390"/>
      <c r="F949" s="287"/>
      <c r="G949" s="12"/>
      <c r="H949" s="12"/>
    </row>
    <row r="950" spans="1:8" ht="20">
      <c r="A950" s="331"/>
      <c r="B950" s="335"/>
      <c r="C950" s="335"/>
      <c r="D950" s="335"/>
      <c r="E950" s="390"/>
      <c r="F950" s="287"/>
      <c r="G950" s="12"/>
      <c r="H950" s="12"/>
    </row>
    <row r="951" spans="1:8" ht="20">
      <c r="A951" s="331"/>
      <c r="B951" s="335"/>
      <c r="C951" s="335"/>
      <c r="D951" s="335"/>
      <c r="E951" s="390"/>
      <c r="F951" s="287"/>
      <c r="G951" s="12"/>
      <c r="H951" s="12"/>
    </row>
    <row r="952" spans="1:8" ht="20">
      <c r="A952" s="331"/>
      <c r="B952" s="335"/>
      <c r="C952" s="335"/>
      <c r="D952" s="335"/>
      <c r="E952" s="390"/>
      <c r="F952" s="287"/>
      <c r="G952" s="12"/>
      <c r="H952" s="12"/>
    </row>
    <row r="953" spans="1:8" ht="20">
      <c r="A953" s="331"/>
      <c r="B953" s="335"/>
      <c r="C953" s="335"/>
      <c r="D953" s="335"/>
      <c r="E953" s="390"/>
      <c r="F953" s="287"/>
      <c r="G953" s="12"/>
      <c r="H953" s="12"/>
    </row>
    <row r="954" spans="1:8" ht="20">
      <c r="A954" s="331"/>
      <c r="B954" s="335"/>
      <c r="C954" s="335"/>
      <c r="D954" s="335"/>
      <c r="E954" s="390"/>
      <c r="F954" s="287"/>
      <c r="G954" s="12"/>
      <c r="H954" s="12"/>
    </row>
    <row r="955" spans="1:8" ht="20">
      <c r="A955" s="331"/>
      <c r="B955" s="335"/>
      <c r="C955" s="335"/>
      <c r="D955" s="335"/>
      <c r="E955" s="390"/>
      <c r="F955" s="287"/>
      <c r="G955" s="12"/>
      <c r="H955" s="12"/>
    </row>
    <row r="956" spans="1:8" ht="20">
      <c r="A956" s="331"/>
      <c r="B956" s="335"/>
      <c r="C956" s="335"/>
      <c r="D956" s="335"/>
      <c r="E956" s="390"/>
      <c r="F956" s="287"/>
      <c r="G956" s="12"/>
      <c r="H956" s="12"/>
    </row>
    <row r="957" spans="1:8" ht="20">
      <c r="A957" s="331"/>
      <c r="B957" s="335"/>
      <c r="C957" s="335"/>
      <c r="D957" s="335"/>
      <c r="E957" s="390"/>
      <c r="F957" s="287"/>
      <c r="G957" s="12"/>
      <c r="H957" s="12"/>
    </row>
    <row r="958" spans="1:8" ht="20">
      <c r="A958" s="331"/>
      <c r="B958" s="335"/>
      <c r="C958" s="335"/>
      <c r="D958" s="335"/>
      <c r="E958" s="390"/>
      <c r="F958" s="287"/>
      <c r="G958" s="12"/>
      <c r="H958" s="12"/>
    </row>
    <row r="959" spans="1:8" ht="20">
      <c r="A959" s="331"/>
      <c r="B959" s="335"/>
      <c r="C959" s="335"/>
      <c r="D959" s="335"/>
      <c r="E959" s="390"/>
      <c r="F959" s="287"/>
      <c r="G959" s="12"/>
      <c r="H959" s="12"/>
    </row>
    <row r="960" spans="1:8" ht="20">
      <c r="A960" s="331"/>
      <c r="B960" s="335"/>
      <c r="C960" s="335"/>
      <c r="D960" s="335"/>
      <c r="E960" s="390"/>
      <c r="F960" s="287"/>
      <c r="G960" s="12"/>
      <c r="H960" s="12"/>
    </row>
    <row r="961" spans="1:8" ht="20">
      <c r="A961" s="331"/>
      <c r="B961" s="335"/>
      <c r="C961" s="335"/>
      <c r="D961" s="335"/>
      <c r="E961" s="390"/>
      <c r="F961" s="287"/>
      <c r="G961" s="12"/>
      <c r="H961" s="12"/>
    </row>
    <row r="962" spans="1:8" ht="20">
      <c r="A962" s="331"/>
      <c r="B962" s="335"/>
      <c r="C962" s="335"/>
      <c r="D962" s="335"/>
      <c r="E962" s="390"/>
      <c r="F962" s="287"/>
      <c r="G962" s="12"/>
      <c r="H962" s="12"/>
    </row>
    <row r="963" spans="1:8" ht="20">
      <c r="A963" s="331"/>
      <c r="B963" s="335"/>
      <c r="C963" s="335"/>
      <c r="D963" s="335"/>
      <c r="E963" s="390"/>
      <c r="F963" s="287"/>
      <c r="G963" s="12"/>
      <c r="H963" s="12"/>
    </row>
    <row r="964" spans="1:8" ht="20">
      <c r="A964" s="331"/>
      <c r="B964" s="335"/>
      <c r="C964" s="335"/>
      <c r="D964" s="335"/>
      <c r="E964" s="390"/>
      <c r="F964" s="287"/>
      <c r="G964" s="12"/>
      <c r="H964" s="12"/>
    </row>
    <row r="965" spans="1:8" ht="20">
      <c r="A965" s="331"/>
      <c r="B965" s="335"/>
      <c r="C965" s="335"/>
      <c r="D965" s="335"/>
      <c r="E965" s="390"/>
      <c r="F965" s="287"/>
      <c r="G965" s="12"/>
      <c r="H965" s="12"/>
    </row>
    <row r="966" spans="1:8" ht="20">
      <c r="A966" s="331"/>
      <c r="B966" s="335"/>
      <c r="C966" s="335"/>
      <c r="D966" s="335"/>
      <c r="E966" s="390"/>
      <c r="F966" s="287"/>
      <c r="G966" s="12"/>
      <c r="H966" s="12"/>
    </row>
    <row r="967" spans="1:8" ht="20">
      <c r="A967" s="331"/>
      <c r="B967" s="335"/>
      <c r="C967" s="335"/>
      <c r="D967" s="335"/>
      <c r="E967" s="390"/>
      <c r="F967" s="287"/>
      <c r="G967" s="12"/>
      <c r="H967" s="12"/>
    </row>
    <row r="968" spans="1:8" ht="20">
      <c r="A968" s="331"/>
      <c r="B968" s="335"/>
      <c r="C968" s="335"/>
      <c r="D968" s="335"/>
      <c r="E968" s="390"/>
      <c r="F968" s="287"/>
      <c r="G968" s="12"/>
      <c r="H968" s="12"/>
    </row>
    <row r="969" spans="1:8" ht="20">
      <c r="A969" s="331"/>
      <c r="B969" s="335"/>
      <c r="C969" s="335"/>
      <c r="D969" s="335"/>
      <c r="E969" s="390"/>
      <c r="F969" s="287"/>
      <c r="G969" s="12"/>
      <c r="H969" s="12"/>
    </row>
    <row r="970" spans="1:8" ht="20">
      <c r="A970" s="331"/>
      <c r="B970" s="335"/>
      <c r="C970" s="335"/>
      <c r="D970" s="335"/>
      <c r="E970" s="390"/>
      <c r="F970" s="287"/>
      <c r="G970" s="12"/>
      <c r="H970" s="12"/>
    </row>
    <row r="971" spans="1:8" ht="20">
      <c r="A971" s="331"/>
      <c r="B971" s="335"/>
      <c r="C971" s="335"/>
      <c r="D971" s="335"/>
      <c r="E971" s="390"/>
      <c r="F971" s="287"/>
      <c r="G971" s="12"/>
      <c r="H971" s="12"/>
    </row>
    <row r="972" spans="1:8" ht="20">
      <c r="A972" s="331"/>
      <c r="B972" s="335"/>
      <c r="C972" s="335"/>
      <c r="D972" s="335"/>
      <c r="E972" s="390"/>
      <c r="F972" s="287"/>
      <c r="G972" s="12"/>
      <c r="H972" s="12"/>
    </row>
    <row r="973" spans="1:8" ht="20">
      <c r="A973" s="331"/>
      <c r="B973" s="335"/>
      <c r="C973" s="335"/>
      <c r="D973" s="335"/>
      <c r="E973" s="390"/>
      <c r="F973" s="287"/>
      <c r="G973" s="12"/>
      <c r="H973" s="12"/>
    </row>
    <row r="974" spans="1:8" ht="20">
      <c r="A974" s="331"/>
      <c r="B974" s="335"/>
      <c r="C974" s="335"/>
      <c r="D974" s="335"/>
      <c r="E974" s="390"/>
      <c r="F974" s="287"/>
      <c r="G974" s="12"/>
      <c r="H974" s="12"/>
    </row>
    <row r="975" spans="1:8" ht="20">
      <c r="A975" s="331"/>
      <c r="B975" s="335"/>
      <c r="C975" s="335"/>
      <c r="D975" s="335"/>
      <c r="E975" s="390"/>
      <c r="F975" s="287"/>
      <c r="G975" s="12"/>
      <c r="H975" s="12"/>
    </row>
    <row r="976" spans="1:8" ht="20">
      <c r="A976" s="331"/>
      <c r="B976" s="335"/>
      <c r="C976" s="335"/>
      <c r="D976" s="335"/>
      <c r="E976" s="390"/>
      <c r="F976" s="287"/>
      <c r="G976" s="12"/>
      <c r="H976" s="12"/>
    </row>
    <row r="977" spans="1:8" ht="20">
      <c r="A977" s="331"/>
      <c r="B977" s="335"/>
      <c r="C977" s="335"/>
      <c r="D977" s="335"/>
      <c r="E977" s="390"/>
      <c r="F977" s="287"/>
      <c r="G977" s="12"/>
      <c r="H977" s="12"/>
    </row>
    <row r="978" spans="1:8" ht="20">
      <c r="A978" s="331"/>
      <c r="B978" s="335"/>
      <c r="C978" s="335"/>
      <c r="D978" s="335"/>
      <c r="E978" s="390"/>
      <c r="F978" s="287"/>
      <c r="G978" s="12"/>
      <c r="H978" s="12"/>
    </row>
    <row r="979" spans="1:8" ht="20">
      <c r="A979" s="331"/>
      <c r="B979" s="335"/>
      <c r="C979" s="335"/>
      <c r="D979" s="335"/>
      <c r="E979" s="390"/>
      <c r="F979" s="287"/>
      <c r="G979" s="12"/>
      <c r="H979" s="12"/>
    </row>
    <row r="980" spans="1:8" ht="20">
      <c r="A980" s="331"/>
      <c r="B980" s="335"/>
      <c r="C980" s="335"/>
      <c r="D980" s="335"/>
      <c r="E980" s="390"/>
      <c r="F980" s="287"/>
      <c r="G980" s="12"/>
      <c r="H980" s="12"/>
    </row>
    <row r="981" spans="1:8" ht="20">
      <c r="A981" s="331"/>
      <c r="B981" s="335"/>
      <c r="C981" s="335"/>
      <c r="D981" s="335"/>
      <c r="E981" s="390"/>
      <c r="F981" s="287"/>
      <c r="G981" s="12"/>
      <c r="H981" s="12"/>
    </row>
    <row r="982" spans="1:8" ht="20">
      <c r="A982" s="331"/>
      <c r="B982" s="335"/>
      <c r="C982" s="335"/>
      <c r="D982" s="335"/>
      <c r="E982" s="390"/>
      <c r="F982" s="287"/>
      <c r="G982" s="12"/>
      <c r="H982" s="12"/>
    </row>
    <row r="983" spans="1:8" ht="20">
      <c r="A983" s="331"/>
      <c r="B983" s="335"/>
      <c r="C983" s="335"/>
      <c r="D983" s="335"/>
      <c r="E983" s="390"/>
      <c r="F983" s="287"/>
      <c r="G983" s="12"/>
      <c r="H983" s="12"/>
    </row>
    <row r="984" spans="1:8" ht="20">
      <c r="A984" s="331"/>
      <c r="B984" s="335"/>
      <c r="C984" s="335"/>
      <c r="D984" s="335"/>
      <c r="E984" s="390"/>
      <c r="F984" s="287"/>
      <c r="G984" s="12"/>
      <c r="H984" s="12"/>
    </row>
    <row r="985" spans="1:8" ht="20">
      <c r="A985" s="331"/>
      <c r="B985" s="335"/>
      <c r="C985" s="335"/>
      <c r="D985" s="335"/>
      <c r="E985" s="390"/>
      <c r="F985" s="287"/>
      <c r="G985" s="12"/>
      <c r="H985" s="12"/>
    </row>
    <row r="986" spans="1:8" ht="20">
      <c r="A986" s="331"/>
      <c r="B986" s="335"/>
      <c r="C986" s="335"/>
      <c r="D986" s="335"/>
      <c r="E986" s="390"/>
      <c r="F986" s="287"/>
      <c r="G986" s="12"/>
      <c r="H986" s="12"/>
    </row>
    <row r="987" spans="1:8" ht="20">
      <c r="A987" s="331"/>
      <c r="B987" s="335"/>
      <c r="C987" s="335"/>
      <c r="D987" s="335"/>
      <c r="E987" s="390"/>
      <c r="F987" s="287"/>
      <c r="G987" s="12"/>
      <c r="H987" s="12"/>
    </row>
    <row r="988" spans="1:8" ht="20">
      <c r="A988" s="331"/>
      <c r="B988" s="335"/>
      <c r="C988" s="335"/>
      <c r="D988" s="335"/>
      <c r="E988" s="390"/>
      <c r="F988" s="287"/>
      <c r="G988" s="12"/>
      <c r="H988" s="12"/>
    </row>
    <row r="989" spans="1:8" ht="20">
      <c r="A989" s="331"/>
      <c r="B989" s="335"/>
      <c r="C989" s="335"/>
      <c r="D989" s="335"/>
      <c r="E989" s="390"/>
      <c r="F989" s="287"/>
      <c r="G989" s="12"/>
      <c r="H989" s="12"/>
    </row>
    <row r="990" spans="1:8" ht="20">
      <c r="A990" s="331"/>
      <c r="B990" s="335"/>
      <c r="C990" s="335"/>
      <c r="D990" s="335"/>
      <c r="E990" s="390"/>
      <c r="F990" s="287"/>
      <c r="G990" s="12"/>
      <c r="H990" s="12"/>
    </row>
    <row r="991" spans="1:8" ht="20">
      <c r="A991" s="331"/>
      <c r="B991" s="335"/>
      <c r="C991" s="335"/>
      <c r="D991" s="335"/>
      <c r="E991" s="390"/>
      <c r="F991" s="287"/>
      <c r="G991" s="12"/>
      <c r="H991" s="12"/>
    </row>
    <row r="992" spans="1:8" ht="20">
      <c r="A992" s="331"/>
      <c r="B992" s="335"/>
      <c r="C992" s="335"/>
      <c r="D992" s="335"/>
      <c r="E992" s="390"/>
      <c r="F992" s="287"/>
      <c r="G992" s="12"/>
      <c r="H992" s="12"/>
    </row>
    <row r="993" spans="1:8" ht="20">
      <c r="A993" s="331"/>
      <c r="B993" s="335"/>
      <c r="C993" s="335"/>
      <c r="D993" s="335"/>
      <c r="E993" s="390"/>
      <c r="F993" s="287"/>
      <c r="G993" s="12"/>
      <c r="H993" s="12"/>
    </row>
    <row r="994" spans="1:8" ht="20">
      <c r="A994" s="331"/>
      <c r="B994" s="335"/>
      <c r="C994" s="335"/>
      <c r="D994" s="335"/>
      <c r="E994" s="390"/>
      <c r="F994" s="287"/>
      <c r="G994" s="12"/>
      <c r="H994" s="12"/>
    </row>
    <row r="995" spans="1:8" ht="20">
      <c r="A995" s="331"/>
      <c r="B995" s="335"/>
      <c r="C995" s="335"/>
      <c r="D995" s="335"/>
      <c r="E995" s="390"/>
      <c r="F995" s="287"/>
      <c r="G995" s="12"/>
      <c r="H995" s="12"/>
    </row>
    <row r="996" spans="1:8" ht="20">
      <c r="A996" s="331"/>
      <c r="B996" s="335"/>
      <c r="C996" s="335"/>
      <c r="D996" s="335"/>
      <c r="E996" s="390"/>
      <c r="F996" s="287"/>
      <c r="G996" s="12"/>
      <c r="H996" s="12"/>
    </row>
    <row r="997" spans="1:8" ht="20">
      <c r="A997" s="331"/>
      <c r="B997" s="335"/>
      <c r="C997" s="335"/>
      <c r="D997" s="335"/>
      <c r="E997" s="390"/>
      <c r="F997" s="287"/>
      <c r="G997" s="12"/>
      <c r="H997" s="12"/>
    </row>
    <row r="998" spans="1:8" ht="20">
      <c r="A998" s="331"/>
      <c r="B998" s="335"/>
      <c r="C998" s="335"/>
      <c r="D998" s="335"/>
      <c r="E998" s="390"/>
      <c r="F998" s="287"/>
      <c r="G998" s="12"/>
      <c r="H998" s="12"/>
    </row>
    <row r="999" spans="1:8" ht="20">
      <c r="A999" s="331"/>
      <c r="B999" s="335"/>
      <c r="C999" s="335"/>
      <c r="D999" s="335"/>
      <c r="E999" s="390"/>
      <c r="F999" s="287"/>
      <c r="G999" s="12"/>
      <c r="H999" s="12"/>
    </row>
    <row r="1000" spans="1:8" ht="20">
      <c r="A1000" s="331"/>
      <c r="B1000" s="335"/>
      <c r="C1000" s="335"/>
      <c r="D1000" s="335"/>
      <c r="E1000" s="390"/>
      <c r="F1000" s="287"/>
      <c r="G1000" s="12"/>
      <c r="H1000" s="12"/>
    </row>
    <row r="1001" spans="1:8" ht="20">
      <c r="A1001" s="331"/>
      <c r="B1001" s="335"/>
      <c r="C1001" s="335"/>
      <c r="D1001" s="335"/>
      <c r="E1001" s="390"/>
      <c r="F1001" s="287"/>
      <c r="G1001" s="12"/>
      <c r="H1001" s="12"/>
    </row>
    <row r="1002" spans="1:8" ht="20">
      <c r="A1002" s="331"/>
      <c r="B1002" s="335"/>
      <c r="C1002" s="335"/>
      <c r="D1002" s="335"/>
      <c r="E1002" s="390"/>
      <c r="F1002" s="287"/>
      <c r="G1002" s="12"/>
      <c r="H1002" s="12"/>
    </row>
    <row r="1003" spans="1:8" ht="20">
      <c r="A1003" s="331"/>
      <c r="B1003" s="335"/>
      <c r="C1003" s="335"/>
      <c r="D1003" s="335"/>
      <c r="E1003" s="390"/>
      <c r="F1003" s="287"/>
      <c r="G1003" s="12"/>
      <c r="H1003" s="12"/>
    </row>
    <row r="1004" spans="1:8" ht="20">
      <c r="A1004" s="331"/>
      <c r="B1004" s="335"/>
      <c r="C1004" s="335"/>
      <c r="D1004" s="335"/>
      <c r="E1004" s="390"/>
      <c r="F1004" s="287"/>
      <c r="G1004" s="12"/>
      <c r="H1004" s="12"/>
    </row>
    <row r="1005" spans="1:8" ht="20">
      <c r="A1005" s="331"/>
      <c r="B1005" s="335"/>
      <c r="C1005" s="335"/>
      <c r="D1005" s="335"/>
      <c r="E1005" s="390"/>
      <c r="F1005" s="287"/>
      <c r="G1005" s="12"/>
      <c r="H1005" s="12"/>
    </row>
    <row r="1006" spans="1:8" ht="20">
      <c r="A1006" s="331"/>
      <c r="B1006" s="335"/>
      <c r="C1006" s="335"/>
      <c r="D1006" s="335"/>
      <c r="E1006" s="390"/>
      <c r="F1006" s="287"/>
      <c r="G1006" s="12"/>
      <c r="H1006" s="12"/>
    </row>
    <row r="1007" spans="1:8" ht="20">
      <c r="A1007" s="331"/>
      <c r="B1007" s="335"/>
      <c r="C1007" s="335"/>
      <c r="D1007" s="335"/>
      <c r="E1007" s="390"/>
      <c r="F1007" s="287"/>
      <c r="G1007" s="12"/>
      <c r="H1007" s="12"/>
    </row>
    <row r="1008" spans="1:8" ht="20">
      <c r="A1008" s="331"/>
      <c r="B1008" s="335"/>
      <c r="C1008" s="335"/>
      <c r="D1008" s="335"/>
      <c r="E1008" s="390"/>
      <c r="F1008" s="287"/>
      <c r="G1008" s="12"/>
      <c r="H1008" s="12"/>
    </row>
    <row r="1009" spans="1:8" ht="20">
      <c r="A1009" s="331"/>
      <c r="B1009" s="335"/>
      <c r="C1009" s="335"/>
      <c r="D1009" s="335"/>
      <c r="E1009" s="390"/>
      <c r="F1009" s="287"/>
      <c r="G1009" s="12"/>
      <c r="H1009" s="12"/>
    </row>
    <row r="1010" spans="1:8" ht="20">
      <c r="A1010" s="331"/>
      <c r="B1010" s="335"/>
      <c r="C1010" s="335"/>
      <c r="D1010" s="335"/>
      <c r="E1010" s="390"/>
      <c r="F1010" s="287"/>
      <c r="G1010" s="12"/>
      <c r="H1010" s="12"/>
    </row>
    <row r="1011" spans="1:8" ht="20">
      <c r="A1011" s="331"/>
      <c r="B1011" s="335"/>
      <c r="C1011" s="335"/>
      <c r="D1011" s="335"/>
      <c r="E1011" s="390"/>
      <c r="F1011" s="287"/>
      <c r="G1011" s="12"/>
      <c r="H1011" s="12"/>
    </row>
    <row r="1012" spans="1:8" ht="20">
      <c r="A1012" s="331"/>
      <c r="B1012" s="335"/>
      <c r="C1012" s="335"/>
      <c r="D1012" s="335"/>
      <c r="E1012" s="390"/>
      <c r="F1012" s="287"/>
      <c r="G1012" s="12"/>
      <c r="H1012" s="12"/>
    </row>
    <row r="1013" spans="1:8" ht="20">
      <c r="A1013" s="331"/>
      <c r="B1013" s="335"/>
      <c r="C1013" s="335"/>
      <c r="D1013" s="335"/>
      <c r="E1013" s="390"/>
      <c r="F1013" s="287"/>
      <c r="G1013" s="12"/>
      <c r="H1013" s="12"/>
    </row>
    <row r="1014" spans="1:8" ht="20">
      <c r="A1014" s="331"/>
      <c r="B1014" s="335"/>
      <c r="C1014" s="335"/>
      <c r="D1014" s="335"/>
      <c r="E1014" s="390"/>
      <c r="F1014" s="287"/>
      <c r="G1014" s="12"/>
      <c r="H1014" s="12"/>
    </row>
    <row r="1015" spans="1:8" ht="20">
      <c r="A1015" s="331"/>
      <c r="B1015" s="335"/>
      <c r="C1015" s="335"/>
      <c r="D1015" s="335"/>
      <c r="E1015" s="390"/>
      <c r="F1015" s="287"/>
      <c r="G1015" s="12"/>
      <c r="H1015" s="12"/>
    </row>
    <row r="1016" spans="1:8" ht="20">
      <c r="A1016" s="331"/>
      <c r="B1016" s="335"/>
      <c r="C1016" s="335"/>
      <c r="D1016" s="335"/>
      <c r="E1016" s="390"/>
      <c r="F1016" s="287"/>
      <c r="G1016" s="12"/>
      <c r="H1016" s="12"/>
    </row>
    <row r="1017" spans="1:8" ht="20">
      <c r="A1017" s="331"/>
      <c r="B1017" s="335"/>
      <c r="C1017" s="335"/>
      <c r="D1017" s="335"/>
      <c r="E1017" s="390"/>
      <c r="F1017" s="287"/>
      <c r="G1017" s="12"/>
      <c r="H1017" s="12"/>
    </row>
    <row r="1018" spans="1:8" ht="20">
      <c r="A1018" s="331"/>
      <c r="B1018" s="335"/>
      <c r="C1018" s="335"/>
      <c r="D1018" s="335"/>
      <c r="E1018" s="390"/>
      <c r="F1018" s="287"/>
      <c r="G1018" s="12"/>
      <c r="H1018" s="12"/>
    </row>
    <row r="1019" spans="1:8" ht="20">
      <c r="A1019" s="331"/>
      <c r="B1019" s="335"/>
      <c r="C1019" s="335"/>
      <c r="D1019" s="335"/>
      <c r="E1019" s="390"/>
      <c r="F1019" s="287"/>
      <c r="G1019" s="12"/>
      <c r="H1019" s="12"/>
    </row>
    <row r="1020" spans="1:8" ht="20">
      <c r="A1020" s="331"/>
      <c r="B1020" s="335"/>
      <c r="C1020" s="335"/>
      <c r="D1020" s="335"/>
      <c r="E1020" s="390"/>
      <c r="F1020" s="287"/>
      <c r="G1020" s="12"/>
      <c r="H1020" s="12"/>
    </row>
    <row r="1021" spans="1:8" ht="20">
      <c r="A1021" s="331"/>
      <c r="B1021" s="335"/>
      <c r="C1021" s="335"/>
      <c r="D1021" s="335"/>
      <c r="E1021" s="390"/>
      <c r="F1021" s="287"/>
      <c r="G1021" s="12"/>
      <c r="H1021" s="12"/>
    </row>
    <row r="1022" spans="1:8" ht="20">
      <c r="A1022" s="331"/>
      <c r="B1022" s="335"/>
      <c r="C1022" s="335"/>
      <c r="D1022" s="335"/>
      <c r="E1022" s="390"/>
      <c r="F1022" s="287"/>
      <c r="G1022" s="12"/>
      <c r="H1022" s="12"/>
    </row>
    <row r="1023" spans="1:8" ht="20">
      <c r="A1023" s="331"/>
      <c r="B1023" s="335"/>
      <c r="C1023" s="335"/>
      <c r="D1023" s="335"/>
      <c r="E1023" s="390"/>
      <c r="F1023" s="287"/>
      <c r="G1023" s="12"/>
      <c r="H1023" s="12"/>
    </row>
    <row r="1024" spans="1:8" ht="20">
      <c r="A1024" s="331"/>
      <c r="B1024" s="335"/>
      <c r="C1024" s="335"/>
      <c r="D1024" s="335"/>
      <c r="E1024" s="390"/>
      <c r="F1024" s="287"/>
      <c r="G1024" s="12"/>
      <c r="H1024" s="12"/>
    </row>
    <row r="1025" spans="1:8" ht="20">
      <c r="A1025" s="331"/>
      <c r="B1025" s="335"/>
      <c r="C1025" s="335"/>
      <c r="D1025" s="335"/>
      <c r="E1025" s="390"/>
      <c r="F1025" s="287"/>
      <c r="G1025" s="12"/>
      <c r="H1025" s="12"/>
    </row>
    <row r="1026" spans="1:8" ht="20">
      <c r="A1026" s="331"/>
      <c r="B1026" s="335"/>
      <c r="C1026" s="335"/>
      <c r="D1026" s="335"/>
      <c r="E1026" s="390"/>
      <c r="F1026" s="287"/>
      <c r="G1026" s="12"/>
      <c r="H1026" s="12"/>
    </row>
    <row r="1027" spans="1:8" ht="20">
      <c r="A1027" s="331"/>
      <c r="B1027" s="335"/>
      <c r="C1027" s="335"/>
      <c r="D1027" s="335"/>
      <c r="E1027" s="390"/>
      <c r="F1027" s="287"/>
      <c r="G1027" s="12"/>
      <c r="H1027" s="12"/>
    </row>
    <row r="1028" spans="1:8" ht="20">
      <c r="A1028" s="331"/>
      <c r="B1028" s="335"/>
      <c r="C1028" s="335"/>
      <c r="D1028" s="335"/>
      <c r="E1028" s="390"/>
      <c r="F1028" s="287"/>
      <c r="G1028" s="12"/>
      <c r="H1028" s="12"/>
    </row>
    <row r="1029" spans="1:8" ht="20">
      <c r="A1029" s="331"/>
      <c r="B1029" s="335"/>
      <c r="C1029" s="335"/>
      <c r="D1029" s="335"/>
      <c r="E1029" s="390"/>
      <c r="F1029" s="287"/>
      <c r="G1029" s="12"/>
      <c r="H1029" s="12"/>
    </row>
    <row r="1030" spans="1:8" ht="20">
      <c r="A1030" s="331"/>
      <c r="B1030" s="335"/>
      <c r="C1030" s="335"/>
      <c r="D1030" s="335"/>
      <c r="E1030" s="390"/>
      <c r="F1030" s="287"/>
      <c r="G1030" s="12"/>
      <c r="H1030" s="12"/>
    </row>
    <row r="1031" spans="1:8" ht="20">
      <c r="A1031" s="331"/>
      <c r="B1031" s="335"/>
      <c r="C1031" s="335"/>
      <c r="D1031" s="335"/>
      <c r="E1031" s="390"/>
      <c r="F1031" s="287"/>
      <c r="G1031" s="12"/>
      <c r="H1031" s="12"/>
    </row>
    <row r="1032" spans="1:8" ht="20">
      <c r="A1032" s="331"/>
      <c r="B1032" s="335"/>
      <c r="C1032" s="335"/>
      <c r="D1032" s="335"/>
      <c r="E1032" s="390"/>
      <c r="F1032" s="287"/>
      <c r="G1032" s="12"/>
      <c r="H1032" s="12"/>
    </row>
    <row r="1033" spans="1:8" ht="20">
      <c r="A1033" s="331"/>
      <c r="B1033" s="335"/>
      <c r="C1033" s="335"/>
      <c r="D1033" s="335"/>
      <c r="E1033" s="390"/>
      <c r="F1033" s="287"/>
      <c r="G1033" s="12"/>
      <c r="H1033" s="12"/>
    </row>
    <row r="1034" spans="1:8" ht="20">
      <c r="A1034" s="331"/>
      <c r="B1034" s="335"/>
      <c r="C1034" s="335"/>
      <c r="D1034" s="335"/>
      <c r="E1034" s="390"/>
      <c r="F1034" s="287"/>
      <c r="G1034" s="12"/>
      <c r="H1034" s="12"/>
    </row>
    <row r="1035" spans="1:8" ht="20">
      <c r="A1035" s="331"/>
      <c r="B1035" s="335"/>
      <c r="C1035" s="335"/>
      <c r="D1035" s="335"/>
      <c r="E1035" s="390"/>
      <c r="F1035" s="287"/>
      <c r="G1035" s="12"/>
      <c r="H1035" s="12"/>
    </row>
    <row r="1036" spans="1:8" ht="20">
      <c r="A1036" s="331"/>
      <c r="B1036" s="335"/>
      <c r="C1036" s="335"/>
      <c r="D1036" s="335"/>
      <c r="E1036" s="390"/>
      <c r="F1036" s="287"/>
      <c r="G1036" s="12"/>
      <c r="H1036" s="12"/>
    </row>
    <row r="1037" spans="1:8" ht="20">
      <c r="A1037" s="331"/>
      <c r="B1037" s="335"/>
      <c r="C1037" s="335"/>
      <c r="D1037" s="335"/>
      <c r="E1037" s="390"/>
      <c r="F1037" s="287"/>
      <c r="G1037" s="12"/>
      <c r="H1037" s="12"/>
    </row>
    <row r="1038" spans="1:8" ht="20">
      <c r="A1038" s="331"/>
      <c r="B1038" s="335"/>
      <c r="C1038" s="335"/>
      <c r="D1038" s="335"/>
      <c r="E1038" s="390"/>
      <c r="F1038" s="287"/>
      <c r="G1038" s="12"/>
      <c r="H1038" s="12"/>
    </row>
    <row r="1039" spans="1:8" ht="20">
      <c r="A1039" s="331"/>
      <c r="B1039" s="335"/>
      <c r="C1039" s="335"/>
      <c r="D1039" s="335"/>
      <c r="E1039" s="390"/>
      <c r="F1039" s="287"/>
      <c r="G1039" s="12"/>
      <c r="H1039" s="12"/>
    </row>
    <row r="1040" spans="1:8" ht="20">
      <c r="A1040" s="331"/>
      <c r="B1040" s="335"/>
      <c r="C1040" s="335"/>
      <c r="D1040" s="335"/>
      <c r="E1040" s="390"/>
      <c r="F1040" s="287"/>
      <c r="G1040" s="12"/>
      <c r="H1040" s="12"/>
    </row>
    <row r="1041" spans="1:8" ht="20">
      <c r="A1041" s="331"/>
      <c r="B1041" s="335"/>
      <c r="C1041" s="335"/>
      <c r="D1041" s="335"/>
      <c r="E1041" s="390"/>
      <c r="F1041" s="287"/>
      <c r="G1041" s="12"/>
      <c r="H1041" s="12"/>
    </row>
    <row r="1042" spans="1:8" ht="20">
      <c r="A1042" s="331"/>
      <c r="B1042" s="335"/>
      <c r="C1042" s="335"/>
      <c r="D1042" s="335"/>
      <c r="E1042" s="390"/>
      <c r="F1042" s="287"/>
      <c r="G1042" s="12"/>
      <c r="H1042" s="12"/>
    </row>
    <row r="1043" spans="1:8" ht="20">
      <c r="A1043" s="331"/>
      <c r="B1043" s="335"/>
      <c r="C1043" s="335"/>
      <c r="D1043" s="335"/>
      <c r="E1043" s="390"/>
      <c r="F1043" s="287"/>
      <c r="G1043" s="12"/>
      <c r="H1043" s="12"/>
    </row>
    <row r="1044" spans="1:8" ht="20">
      <c r="A1044" s="331"/>
      <c r="B1044" s="335"/>
      <c r="C1044" s="335"/>
      <c r="D1044" s="335"/>
      <c r="E1044" s="390"/>
      <c r="F1044" s="287"/>
      <c r="G1044" s="12"/>
      <c r="H1044" s="12"/>
    </row>
    <row r="1045" spans="1:8" ht="20">
      <c r="A1045" s="331"/>
      <c r="B1045" s="335"/>
      <c r="C1045" s="335"/>
      <c r="D1045" s="335"/>
      <c r="E1045" s="390"/>
      <c r="F1045" s="287"/>
      <c r="G1045" s="12"/>
      <c r="H1045" s="12"/>
    </row>
    <row r="1046" spans="1:8" ht="20">
      <c r="A1046" s="331"/>
      <c r="B1046" s="335"/>
      <c r="C1046" s="335"/>
      <c r="D1046" s="335"/>
      <c r="E1046" s="390"/>
      <c r="F1046" s="287"/>
      <c r="G1046" s="12"/>
      <c r="H1046" s="12"/>
    </row>
    <row r="1047" spans="1:8" ht="20">
      <c r="A1047" s="331"/>
      <c r="B1047" s="335"/>
      <c r="C1047" s="335"/>
      <c r="D1047" s="335"/>
      <c r="E1047" s="390"/>
      <c r="F1047" s="287"/>
      <c r="G1047" s="12"/>
      <c r="H1047" s="12"/>
    </row>
    <row r="1048" spans="1:8" ht="20">
      <c r="A1048" s="331"/>
      <c r="B1048" s="335"/>
      <c r="C1048" s="335"/>
      <c r="D1048" s="335"/>
      <c r="E1048" s="390"/>
      <c r="F1048" s="287"/>
      <c r="G1048" s="12"/>
      <c r="H1048" s="12"/>
    </row>
    <row r="1049" spans="1:8" ht="20">
      <c r="A1049" s="331"/>
      <c r="B1049" s="335"/>
      <c r="C1049" s="335"/>
      <c r="D1049" s="335"/>
      <c r="E1049" s="390"/>
      <c r="F1049" s="287"/>
      <c r="G1049" s="12"/>
      <c r="H1049" s="12"/>
    </row>
    <row r="1050" spans="1:8" ht="20">
      <c r="A1050" s="331"/>
      <c r="B1050" s="335"/>
      <c r="C1050" s="335"/>
      <c r="D1050" s="335"/>
      <c r="E1050" s="390"/>
      <c r="F1050" s="287"/>
      <c r="G1050" s="12"/>
      <c r="H1050" s="12"/>
    </row>
    <row r="1051" spans="1:8" ht="20">
      <c r="A1051" s="331"/>
      <c r="B1051" s="335"/>
      <c r="C1051" s="335"/>
      <c r="D1051" s="335"/>
      <c r="E1051" s="390"/>
      <c r="F1051" s="287"/>
      <c r="G1051" s="12"/>
      <c r="H1051" s="12"/>
    </row>
    <row r="1052" spans="1:8" ht="20">
      <c r="A1052" s="331"/>
      <c r="B1052" s="335"/>
      <c r="C1052" s="335"/>
      <c r="D1052" s="335"/>
      <c r="E1052" s="390"/>
      <c r="F1052" s="287"/>
      <c r="G1052" s="12"/>
      <c r="H1052" s="12"/>
    </row>
    <row r="1053" spans="1:8" ht="20">
      <c r="A1053" s="331"/>
      <c r="B1053" s="335"/>
      <c r="C1053" s="335"/>
      <c r="D1053" s="335"/>
      <c r="E1053" s="390"/>
      <c r="F1053" s="287"/>
      <c r="G1053" s="12"/>
      <c r="H1053" s="12"/>
    </row>
    <row r="1054" spans="1:8" ht="20">
      <c r="A1054" s="331"/>
      <c r="B1054" s="335"/>
      <c r="C1054" s="335"/>
      <c r="D1054" s="335"/>
      <c r="E1054" s="390"/>
      <c r="F1054" s="287"/>
      <c r="G1054" s="12"/>
      <c r="H1054" s="12"/>
    </row>
    <row r="1055" spans="1:8" ht="20">
      <c r="A1055" s="331"/>
      <c r="B1055" s="335"/>
      <c r="C1055" s="335"/>
      <c r="D1055" s="335"/>
      <c r="E1055" s="390"/>
      <c r="F1055" s="287"/>
      <c r="G1055" s="12"/>
      <c r="H1055" s="12"/>
    </row>
    <row r="1056" spans="1:8" ht="20">
      <c r="A1056" s="331"/>
      <c r="B1056" s="335"/>
      <c r="C1056" s="335"/>
      <c r="D1056" s="335"/>
      <c r="E1056" s="390"/>
      <c r="F1056" s="287"/>
      <c r="G1056" s="12"/>
      <c r="H1056" s="12"/>
    </row>
    <row r="1057" spans="1:8" ht="20">
      <c r="A1057" s="331"/>
      <c r="B1057" s="335"/>
      <c r="C1057" s="335"/>
      <c r="D1057" s="335"/>
      <c r="E1057" s="390"/>
      <c r="F1057" s="287"/>
      <c r="G1057" s="12"/>
      <c r="H1057" s="12"/>
    </row>
    <row r="1058" spans="1:8" ht="20">
      <c r="A1058" s="331"/>
      <c r="B1058" s="335"/>
      <c r="C1058" s="335"/>
      <c r="D1058" s="335"/>
      <c r="E1058" s="390"/>
      <c r="F1058" s="287"/>
      <c r="G1058" s="12"/>
      <c r="H1058" s="12"/>
    </row>
    <row r="1059" spans="1:8" ht="20">
      <c r="A1059" s="331"/>
      <c r="B1059" s="335"/>
      <c r="C1059" s="335"/>
      <c r="D1059" s="335"/>
      <c r="E1059" s="390"/>
      <c r="F1059" s="287"/>
      <c r="G1059" s="12"/>
      <c r="H1059" s="12"/>
    </row>
    <row r="1060" spans="1:8" ht="20">
      <c r="A1060" s="331"/>
      <c r="B1060" s="335"/>
      <c r="C1060" s="335"/>
      <c r="D1060" s="335"/>
      <c r="E1060" s="390"/>
      <c r="F1060" s="287"/>
      <c r="G1060" s="12"/>
      <c r="H1060" s="12"/>
    </row>
    <row r="1061" spans="1:8" ht="20">
      <c r="A1061" s="331"/>
      <c r="B1061" s="335"/>
      <c r="C1061" s="335"/>
      <c r="D1061" s="335"/>
      <c r="E1061" s="390"/>
      <c r="F1061" s="287"/>
      <c r="G1061" s="12"/>
      <c r="H1061" s="12"/>
    </row>
    <row r="1062" spans="1:8" ht="20">
      <c r="A1062" s="331"/>
      <c r="B1062" s="335"/>
      <c r="C1062" s="335"/>
      <c r="D1062" s="335"/>
      <c r="E1062" s="390"/>
      <c r="F1062" s="287"/>
      <c r="G1062" s="12"/>
      <c r="H1062" s="12"/>
    </row>
    <row r="1063" spans="1:8" ht="20">
      <c r="A1063" s="331"/>
      <c r="B1063" s="335"/>
      <c r="C1063" s="335"/>
      <c r="D1063" s="335"/>
      <c r="E1063" s="390"/>
      <c r="F1063" s="287"/>
      <c r="G1063" s="12"/>
      <c r="H1063" s="12"/>
    </row>
    <row r="1064" spans="1:8" ht="20">
      <c r="A1064" s="331"/>
      <c r="B1064" s="335"/>
      <c r="C1064" s="335"/>
      <c r="D1064" s="335"/>
      <c r="E1064" s="390"/>
      <c r="F1064" s="287"/>
      <c r="G1064" s="12"/>
      <c r="H1064" s="12"/>
    </row>
    <row r="1065" spans="1:8" ht="20">
      <c r="A1065" s="331"/>
      <c r="B1065" s="335"/>
      <c r="C1065" s="335"/>
      <c r="D1065" s="335"/>
      <c r="E1065" s="390"/>
      <c r="F1065" s="287"/>
      <c r="G1065" s="12"/>
      <c r="H1065" s="12"/>
    </row>
    <row r="1066" spans="1:8" ht="20">
      <c r="A1066" s="331"/>
      <c r="B1066" s="335"/>
      <c r="C1066" s="335"/>
      <c r="D1066" s="335"/>
      <c r="E1066" s="390"/>
      <c r="F1066" s="287"/>
      <c r="G1066" s="12"/>
      <c r="H1066" s="12"/>
    </row>
    <row r="1067" spans="1:8" ht="20">
      <c r="A1067" s="331"/>
      <c r="B1067" s="335"/>
      <c r="C1067" s="335"/>
      <c r="D1067" s="335"/>
      <c r="E1067" s="390"/>
      <c r="F1067" s="287"/>
      <c r="G1067" s="12"/>
      <c r="H1067" s="12"/>
    </row>
    <row r="1068" spans="1:8" ht="20">
      <c r="A1068" s="331"/>
      <c r="B1068" s="335"/>
      <c r="C1068" s="335"/>
      <c r="D1068" s="335"/>
      <c r="E1068" s="390"/>
      <c r="F1068" s="287"/>
      <c r="G1068" s="12"/>
      <c r="H1068" s="12"/>
    </row>
    <row r="1069" spans="1:8" ht="20">
      <c r="A1069" s="331"/>
      <c r="B1069" s="335"/>
      <c r="C1069" s="335"/>
      <c r="D1069" s="335"/>
      <c r="E1069" s="390"/>
      <c r="F1069" s="287"/>
      <c r="G1069" s="12"/>
      <c r="H1069" s="12"/>
    </row>
    <row r="1070" spans="1:8" ht="20">
      <c r="A1070" s="331"/>
      <c r="B1070" s="335"/>
      <c r="C1070" s="335"/>
      <c r="D1070" s="335"/>
      <c r="E1070" s="390"/>
      <c r="F1070" s="287"/>
      <c r="G1070" s="12"/>
      <c r="H1070" s="12"/>
    </row>
    <row r="1071" spans="1:8" ht="20">
      <c r="A1071" s="331"/>
      <c r="B1071" s="335"/>
      <c r="C1071" s="335"/>
      <c r="D1071" s="335"/>
      <c r="E1071" s="390"/>
      <c r="F1071" s="287"/>
      <c r="G1071" s="12"/>
      <c r="H1071" s="12"/>
    </row>
    <row r="1072" spans="1:8" ht="20">
      <c r="A1072" s="331"/>
      <c r="B1072" s="335"/>
      <c r="C1072" s="335"/>
      <c r="D1072" s="335"/>
      <c r="E1072" s="390"/>
      <c r="F1072" s="287"/>
      <c r="G1072" s="12"/>
      <c r="H1072" s="12"/>
    </row>
    <row r="1073" spans="1:8" ht="20">
      <c r="A1073" s="331"/>
      <c r="B1073" s="335"/>
      <c r="C1073" s="335"/>
      <c r="D1073" s="335"/>
      <c r="E1073" s="390"/>
      <c r="F1073" s="287"/>
      <c r="G1073" s="12"/>
      <c r="H1073" s="12"/>
    </row>
    <row r="1074" spans="1:8" ht="20">
      <c r="A1074" s="331"/>
      <c r="B1074" s="335"/>
      <c r="C1074" s="335"/>
      <c r="D1074" s="335"/>
      <c r="E1074" s="390"/>
      <c r="F1074" s="287"/>
      <c r="G1074" s="12"/>
      <c r="H1074" s="12"/>
    </row>
    <row r="1075" spans="1:8" ht="20">
      <c r="A1075" s="331"/>
      <c r="B1075" s="335"/>
      <c r="C1075" s="335"/>
      <c r="D1075" s="335"/>
      <c r="E1075" s="390"/>
      <c r="F1075" s="287"/>
      <c r="G1075" s="12"/>
      <c r="H1075" s="12"/>
    </row>
    <row r="1076" spans="1:8" ht="20">
      <c r="A1076" s="331"/>
      <c r="B1076" s="335"/>
      <c r="C1076" s="335"/>
      <c r="D1076" s="335"/>
      <c r="E1076" s="390"/>
      <c r="F1076" s="287"/>
      <c r="G1076" s="12"/>
      <c r="H1076" s="12"/>
    </row>
    <row r="1077" spans="1:8" ht="20">
      <c r="A1077" s="331"/>
      <c r="B1077" s="335"/>
      <c r="C1077" s="335"/>
      <c r="D1077" s="335"/>
      <c r="E1077" s="390"/>
      <c r="F1077" s="287"/>
      <c r="G1077" s="12"/>
      <c r="H1077" s="12"/>
    </row>
    <row r="1078" spans="1:8" ht="20">
      <c r="A1078" s="331"/>
      <c r="B1078" s="335"/>
      <c r="C1078" s="335"/>
      <c r="D1078" s="335"/>
      <c r="E1078" s="390"/>
      <c r="F1078" s="287"/>
      <c r="G1078" s="12"/>
      <c r="H1078" s="12"/>
    </row>
    <row r="1079" spans="1:8" ht="20">
      <c r="A1079" s="331"/>
      <c r="B1079" s="335"/>
      <c r="C1079" s="335"/>
      <c r="D1079" s="335"/>
      <c r="E1079" s="390"/>
      <c r="F1079" s="287"/>
      <c r="G1079" s="12"/>
      <c r="H1079" s="12"/>
    </row>
    <row r="1080" spans="1:8" ht="20">
      <c r="A1080" s="331"/>
      <c r="B1080" s="335"/>
      <c r="C1080" s="335"/>
      <c r="D1080" s="335"/>
      <c r="E1080" s="390"/>
      <c r="F1080" s="287"/>
      <c r="G1080" s="12"/>
      <c r="H1080" s="12"/>
    </row>
    <row r="1081" spans="1:8" ht="20">
      <c r="A1081" s="331"/>
      <c r="B1081" s="335"/>
      <c r="C1081" s="335"/>
      <c r="D1081" s="335"/>
      <c r="E1081" s="390"/>
      <c r="F1081" s="287"/>
      <c r="G1081" s="12"/>
      <c r="H1081" s="12"/>
    </row>
    <row r="1082" spans="1:8" ht="20">
      <c r="A1082" s="331"/>
      <c r="B1082" s="335"/>
      <c r="C1082" s="335"/>
      <c r="D1082" s="335"/>
      <c r="E1082" s="390"/>
      <c r="F1082" s="287"/>
      <c r="G1082" s="12"/>
      <c r="H1082" s="12"/>
    </row>
    <row r="1083" spans="1:8" ht="20">
      <c r="A1083" s="331"/>
      <c r="B1083" s="335"/>
      <c r="C1083" s="335"/>
      <c r="D1083" s="335"/>
      <c r="E1083" s="390"/>
      <c r="F1083" s="287"/>
      <c r="G1083" s="12"/>
      <c r="H1083" s="12"/>
    </row>
    <row r="1084" spans="1:8" ht="20">
      <c r="A1084" s="331"/>
      <c r="B1084" s="335"/>
      <c r="C1084" s="335"/>
      <c r="D1084" s="335"/>
      <c r="E1084" s="390"/>
      <c r="F1084" s="287"/>
      <c r="G1084" s="12"/>
      <c r="H1084" s="12"/>
    </row>
    <row r="1085" spans="1:8" ht="20">
      <c r="A1085" s="331"/>
      <c r="B1085" s="335"/>
      <c r="C1085" s="335"/>
      <c r="D1085" s="335"/>
      <c r="E1085" s="390"/>
      <c r="F1085" s="287"/>
      <c r="G1085" s="12"/>
      <c r="H1085" s="12"/>
    </row>
    <row r="1086" spans="1:8" ht="20">
      <c r="A1086" s="331"/>
      <c r="B1086" s="335"/>
      <c r="C1086" s="335"/>
      <c r="D1086" s="335"/>
      <c r="E1086" s="390"/>
      <c r="F1086" s="287"/>
      <c r="G1086" s="12"/>
      <c r="H1086" s="12"/>
    </row>
  </sheetData>
  <mergeCells count="14">
    <mergeCell ref="C309:H309"/>
    <mergeCell ref="C313:H313"/>
    <mergeCell ref="C305:H305"/>
    <mergeCell ref="C318:H318"/>
    <mergeCell ref="C300:H300"/>
    <mergeCell ref="C306:H306"/>
    <mergeCell ref="C311:H311"/>
    <mergeCell ref="C315:H315"/>
    <mergeCell ref="C310:H310"/>
    <mergeCell ref="D2:F2"/>
    <mergeCell ref="D3:F3"/>
    <mergeCell ref="C297:H297"/>
    <mergeCell ref="C302:H302"/>
    <mergeCell ref="C303:H303"/>
  </mergeCells>
  <printOptions horizontalCentered="1"/>
  <pageMargins left="0.17" right="0.17" top="1.56" bottom="1.24" header="0.5" footer="0.17"/>
  <pageSetup fitToHeight="0" orientation="portrait" scale="36" r:id="rId1"/>
  <headerFooter alignWithMargins="0"/>
  <rowBreaks count="5" manualBreakCount="5">
    <brk id="57" max="7" man="1"/>
    <brk id="114" max="7" man="1"/>
    <brk id="164" max="16383" man="1"/>
    <brk id="238" max="7" man="1"/>
    <brk id="294" max="7" man="1"/>
  </rowBreaks>
  <customProperties>
    <customPr name="EpmWorksheetKeyString_GUID" r:id="rId2"/>
    <customPr name="_pios_id" r:id="rId3"/>
  </customProperties>
  <ignoredErrors>
    <ignoredError sqref="H211" unlockedFormula="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S39"/>
  <sheetViews>
    <sheetView zoomScale="80" zoomScaleNormal="80" workbookViewId="0" topLeftCell="A1"/>
  </sheetViews>
  <sheetFormatPr defaultRowHeight="12.75"/>
  <cols>
    <col min="1" max="1" width="17.7142857142857" customWidth="1"/>
    <col min="2" max="2" width="6.42857142857143" customWidth="1"/>
    <col min="3" max="3" width="75.1428571428571" bestFit="1" customWidth="1"/>
    <col min="4" max="4" width="41.4285714285714" customWidth="1"/>
    <col min="5" max="5" width="17.7142857142857" customWidth="1"/>
    <col min="6" max="6" width="20.2857142857143" customWidth="1"/>
    <col min="7" max="7" width="19.7142857142857" customWidth="1"/>
    <col min="8" max="8" width="21.2857142857143" customWidth="1"/>
    <col min="9" max="9" width="20.7142857142857" customWidth="1"/>
    <col min="10" max="10" width="19" customWidth="1"/>
    <col min="11" max="11" width="20.4285714285714" customWidth="1"/>
    <col min="12" max="12" width="18.2857142857143" customWidth="1"/>
    <col min="13" max="13" width="21.7142857142857" customWidth="1"/>
    <col min="14" max="14" width="21.4285714285714" customWidth="1"/>
    <col min="15" max="15" width="22" customWidth="1"/>
    <col min="16" max="16" width="20.7142857142857" customWidth="1"/>
    <col min="17" max="17" width="21.4285714285714" customWidth="1"/>
    <col min="18" max="18" width="24.7142857142857" bestFit="1" customWidth="1"/>
    <col min="19" max="19" width="20.2857142857143" customWidth="1"/>
  </cols>
  <sheetData>
    <row r="1" spans="1:19" ht="20">
      <c r="A1" s="975"/>
      <c r="B1" s="975"/>
      <c r="C1" s="975"/>
      <c r="D1" s="975"/>
      <c r="E1" s="975"/>
      <c r="F1" s="685" t="str">
        <f>+'Appendix A'!A3</f>
        <v>Dayton Power and Light</v>
      </c>
      <c r="G1" s="975"/>
      <c r="H1" s="975"/>
      <c r="I1" s="975"/>
      <c r="J1" s="975"/>
      <c r="K1" s="975"/>
      <c r="L1" s="975"/>
      <c r="M1" s="975"/>
      <c r="N1" s="975"/>
      <c r="O1" s="975"/>
      <c r="P1" s="975"/>
      <c r="Q1" s="975"/>
      <c r="R1" s="975"/>
      <c r="S1" s="975"/>
    </row>
    <row r="2" spans="1:19" ht="20">
      <c r="A2" s="975"/>
      <c r="B2" s="975"/>
      <c r="C2" s="975"/>
      <c r="D2" s="975"/>
      <c r="E2" s="975"/>
      <c r="F2" s="685" t="str">
        <f>+'Appendix A'!A4</f>
        <v xml:space="preserve">ATTACHMENT H-15A </v>
      </c>
      <c r="G2" s="975"/>
      <c r="H2" s="975"/>
      <c r="I2" s="975"/>
      <c r="J2" s="975"/>
      <c r="K2" s="975"/>
      <c r="L2" s="975"/>
      <c r="M2" s="975"/>
      <c r="N2" s="975"/>
      <c r="O2" s="975"/>
      <c r="P2" s="975"/>
      <c r="Q2" s="975"/>
      <c r="R2" s="975"/>
      <c r="S2" s="925"/>
    </row>
    <row r="3" spans="1:19" ht="20">
      <c r="A3" s="975"/>
      <c r="B3" s="975"/>
      <c r="C3" s="975"/>
      <c r="D3" s="975"/>
      <c r="E3" s="975"/>
      <c r="F3" s="686"/>
      <c r="G3" s="975"/>
      <c r="H3" s="975"/>
      <c r="I3" s="975"/>
      <c r="J3" s="975"/>
      <c r="K3" s="975"/>
      <c r="L3" s="975"/>
      <c r="M3" s="975"/>
      <c r="N3" s="975"/>
      <c r="O3" s="975"/>
      <c r="P3" s="975"/>
      <c r="Q3" s="975"/>
      <c r="R3" s="975"/>
      <c r="S3" s="975"/>
    </row>
    <row r="4" spans="1:19" ht="20">
      <c r="A4" s="975"/>
      <c r="B4" s="975"/>
      <c r="C4" s="975"/>
      <c r="D4" s="975"/>
      <c r="E4" s="975"/>
      <c r="F4" s="685" t="s">
        <v>614</v>
      </c>
      <c r="G4" s="975"/>
      <c r="H4" s="975"/>
      <c r="I4" s="975"/>
      <c r="J4" s="975"/>
      <c r="K4" s="975"/>
      <c r="L4" s="975"/>
      <c r="M4" s="975"/>
      <c r="N4" s="975"/>
      <c r="O4" s="975"/>
      <c r="P4" s="975"/>
      <c r="Q4" s="975"/>
      <c r="R4" s="975"/>
      <c r="S4" s="975"/>
    </row>
    <row r="5" spans="1:19" ht="15.5">
      <c r="A5" s="216" t="s">
        <v>370</v>
      </c>
      <c r="B5" s="975"/>
      <c r="C5" s="975"/>
      <c r="D5" s="975"/>
      <c r="E5" s="975"/>
      <c r="F5" s="975"/>
      <c r="G5" s="975"/>
      <c r="H5" s="975"/>
      <c r="I5" s="975"/>
      <c r="J5" s="975"/>
      <c r="K5" s="975"/>
      <c r="L5" s="975"/>
      <c r="M5" s="975"/>
      <c r="N5" s="975"/>
      <c r="O5" s="975"/>
      <c r="P5" s="975"/>
      <c r="Q5" s="975"/>
      <c r="R5" s="975"/>
      <c r="S5" s="975"/>
    </row>
    <row r="6" spans="1:19" ht="13" thickBot="1">
      <c r="A6" s="975"/>
      <c r="B6" s="975"/>
      <c r="C6" s="975"/>
      <c r="D6" s="975"/>
      <c r="E6" s="975"/>
      <c r="F6" s="975"/>
      <c r="G6" s="975"/>
      <c r="H6" s="975"/>
      <c r="I6" s="975"/>
      <c r="J6" s="975"/>
      <c r="K6" s="975"/>
      <c r="L6" s="975"/>
      <c r="M6" s="975"/>
      <c r="N6" s="975"/>
      <c r="O6" s="975"/>
      <c r="P6" s="975"/>
      <c r="Q6" s="975"/>
      <c r="R6" s="975"/>
      <c r="S6" s="975"/>
    </row>
    <row r="7" spans="1:19" ht="16" thickBot="1">
      <c r="A7" s="100"/>
      <c r="B7" s="101"/>
      <c r="C7" s="556"/>
      <c r="D7" s="102"/>
      <c r="E7" s="103"/>
      <c r="F7" s="274" t="s">
        <v>447</v>
      </c>
      <c r="G7" s="1184" t="s">
        <v>615</v>
      </c>
      <c r="H7" s="1184"/>
      <c r="I7" s="1184"/>
      <c r="J7" s="1184"/>
      <c r="K7" s="1184"/>
      <c r="L7" s="1184"/>
      <c r="M7" s="1184"/>
      <c r="N7" s="1184"/>
      <c r="O7" s="1184"/>
      <c r="P7" s="1184"/>
      <c r="Q7" s="1184"/>
      <c r="R7" s="1185"/>
      <c r="S7" s="91"/>
    </row>
    <row r="8" spans="1:19" ht="16" thickBot="1">
      <c r="A8" s="166" t="s">
        <v>448</v>
      </c>
      <c r="B8" s="167" t="s">
        <v>449</v>
      </c>
      <c r="C8" s="167"/>
      <c r="D8" s="167"/>
      <c r="E8" s="1028" t="s">
        <v>4</v>
      </c>
      <c r="F8" s="776" t="s">
        <v>579</v>
      </c>
      <c r="G8" s="106" t="s">
        <v>453</v>
      </c>
      <c r="H8" s="106" t="s">
        <v>454</v>
      </c>
      <c r="I8" s="106" t="s">
        <v>455</v>
      </c>
      <c r="J8" s="106" t="s">
        <v>456</v>
      </c>
      <c r="K8" s="106" t="s">
        <v>336</v>
      </c>
      <c r="L8" s="106" t="s">
        <v>457</v>
      </c>
      <c r="M8" s="106" t="s">
        <v>458</v>
      </c>
      <c r="N8" s="106" t="s">
        <v>459</v>
      </c>
      <c r="O8" s="106" t="s">
        <v>460</v>
      </c>
      <c r="P8" s="106" t="s">
        <v>461</v>
      </c>
      <c r="Q8" s="106" t="s">
        <v>462</v>
      </c>
      <c r="R8" s="106" t="s">
        <v>616</v>
      </c>
      <c r="S8" s="970" t="s">
        <v>464</v>
      </c>
    </row>
    <row r="9" spans="1:19" ht="15.5">
      <c r="A9" s="108"/>
      <c r="B9" s="109" t="s">
        <v>617</v>
      </c>
      <c r="C9" s="110"/>
      <c r="D9" s="111"/>
      <c r="E9" s="112"/>
      <c r="F9" s="269"/>
      <c r="G9" s="971"/>
      <c r="H9" s="971"/>
      <c r="I9" s="971"/>
      <c r="J9" s="971"/>
      <c r="K9" s="971"/>
      <c r="L9" s="971"/>
      <c r="M9" s="971"/>
      <c r="N9" s="971"/>
      <c r="O9" s="971"/>
      <c r="P9" s="971"/>
      <c r="Q9" s="971"/>
      <c r="R9" s="971"/>
      <c r="S9" s="269"/>
    </row>
    <row r="10" spans="1:19" ht="15.5">
      <c r="A10" s="114">
        <v>1</v>
      </c>
      <c r="B10" s="115"/>
      <c r="C10" s="1111" t="s">
        <v>887</v>
      </c>
      <c r="D10" s="556"/>
      <c r="E10" s="90" t="s">
        <v>888</v>
      </c>
      <c r="F10" s="1009">
        <v>2365000</v>
      </c>
      <c r="G10" s="1009">
        <v>2981077.4600315243</v>
      </c>
      <c r="H10" s="1009">
        <v>3637145.9130826388</v>
      </c>
      <c r="I10" s="1009">
        <v>4506139.3830218418</v>
      </c>
      <c r="J10" s="1009">
        <v>5323252.6458004955</v>
      </c>
      <c r="K10" s="1009">
        <v>6163063.4992118897</v>
      </c>
      <c r="L10" s="1009">
        <v>0</v>
      </c>
      <c r="M10" s="1009">
        <v>0</v>
      </c>
      <c r="N10" s="1009">
        <v>0</v>
      </c>
      <c r="O10" s="1009">
        <v>0</v>
      </c>
      <c r="P10" s="1009">
        <v>0</v>
      </c>
      <c r="Q10" s="1009">
        <v>0</v>
      </c>
      <c r="R10" s="1009">
        <v>0</v>
      </c>
      <c r="S10" s="939">
        <f>AVERAGE(F10:R10)</f>
        <v>1921206.0693191069</v>
      </c>
    </row>
    <row r="11" spans="1:19" ht="15.5">
      <c r="A11" s="114">
        <f>+A10+1</f>
        <v>2</v>
      </c>
      <c r="B11" s="115"/>
      <c r="C11" s="1111" t="s">
        <v>889</v>
      </c>
      <c r="D11" s="556"/>
      <c r="E11" s="90" t="s">
        <v>888</v>
      </c>
      <c r="F11" s="1009">
        <v>1340000</v>
      </c>
      <c r="G11" s="1009">
        <v>1864823.7949999999</v>
      </c>
      <c r="H11" s="1009">
        <v>2423715.0995</v>
      </c>
      <c r="I11" s="1009">
        <v>3163992.8734999998</v>
      </c>
      <c r="J11" s="1009">
        <v>3860074.9594999999</v>
      </c>
      <c r="K11" s="1009">
        <v>4575492.659</v>
      </c>
      <c r="L11" s="1009">
        <v>5429021.8835000005</v>
      </c>
      <c r="M11" s="1009">
        <v>6208891.6280000005</v>
      </c>
      <c r="N11" s="1009">
        <v>6935358.2495000008</v>
      </c>
      <c r="O11" s="1009">
        <v>7837686.8795000007</v>
      </c>
      <c r="P11" s="1009">
        <v>8658990.0815000013</v>
      </c>
      <c r="Q11" s="1009">
        <v>9405713.0600000005</v>
      </c>
      <c r="R11" s="1009">
        <v>10547435</v>
      </c>
      <c r="S11" s="939">
        <f t="shared" si="0" ref="S11:S17">AVERAGE(F11:R11)</f>
        <v>5557784.3206538465</v>
      </c>
    </row>
    <row r="12" spans="1:19" ht="15.5">
      <c r="A12" s="114">
        <f t="shared" si="1" ref="A12:A15">+A11+1</f>
        <v>3</v>
      </c>
      <c r="B12" s="115"/>
      <c r="C12" s="1111" t="s">
        <v>890</v>
      </c>
      <c r="D12" s="556"/>
      <c r="E12" s="90" t="s">
        <v>888</v>
      </c>
      <c r="F12" s="1009">
        <v>1787314</v>
      </c>
      <c r="G12" s="1009">
        <v>2011153</v>
      </c>
      <c r="H12" s="1009">
        <v>2249521.90</v>
      </c>
      <c r="I12" s="1009">
        <v>2565252.6999999997</v>
      </c>
      <c r="J12" s="1009">
        <v>2862133.90</v>
      </c>
      <c r="K12" s="1009">
        <v>3167261.80</v>
      </c>
      <c r="L12" s="1009">
        <v>3531294.6999999997</v>
      </c>
      <c r="M12" s="1009">
        <v>3863911.5999999996</v>
      </c>
      <c r="N12" s="1009">
        <v>4173751.8999999994</v>
      </c>
      <c r="O12" s="1009">
        <v>4558597.8999999994</v>
      </c>
      <c r="P12" s="1009">
        <v>4908886.30</v>
      </c>
      <c r="Q12" s="1009">
        <v>5227366</v>
      </c>
      <c r="R12" s="1009">
        <v>5714314</v>
      </c>
      <c r="S12" s="939">
        <f>AVERAGE(F12:R12)</f>
        <v>3586212.2846153844</v>
      </c>
    </row>
    <row r="13" spans="1:19" ht="15.5">
      <c r="A13" s="114">
        <f>+A12+1</f>
        <v>4</v>
      </c>
      <c r="B13" s="91"/>
      <c r="C13" s="1112" t="s">
        <v>891</v>
      </c>
      <c r="D13" s="556"/>
      <c r="E13" s="90" t="s">
        <v>888</v>
      </c>
      <c r="F13" s="1009">
        <v>0</v>
      </c>
      <c r="G13" s="1009">
        <v>34200</v>
      </c>
      <c r="H13" s="1009">
        <v>70620</v>
      </c>
      <c r="I13" s="1009">
        <v>118860</v>
      </c>
      <c r="J13" s="1009">
        <v>164220</v>
      </c>
      <c r="K13" s="1009">
        <v>210840</v>
      </c>
      <c r="L13" s="1009">
        <v>266460</v>
      </c>
      <c r="M13" s="1009">
        <v>317280</v>
      </c>
      <c r="N13" s="1009">
        <v>364620</v>
      </c>
      <c r="O13" s="1009">
        <v>423420</v>
      </c>
      <c r="P13" s="1009">
        <v>476940</v>
      </c>
      <c r="Q13" s="1009">
        <v>525600</v>
      </c>
      <c r="R13" s="1009">
        <v>600000</v>
      </c>
      <c r="S13" s="939">
        <f>AVERAGE(F13:R13)</f>
        <v>274850.76923076925</v>
      </c>
    </row>
    <row r="14" spans="1:19" ht="15.5">
      <c r="A14" s="114">
        <f>+A13+1</f>
        <v>5</v>
      </c>
      <c r="B14" s="102"/>
      <c r="C14" s="1112" t="s">
        <v>892</v>
      </c>
      <c r="D14" s="556"/>
      <c r="E14" s="90" t="s">
        <v>888</v>
      </c>
      <c r="F14" s="1009">
        <v>0</v>
      </c>
      <c r="G14" s="1009">
        <v>47823</v>
      </c>
      <c r="H14" s="1009">
        <v>98750.299999999988</v>
      </c>
      <c r="I14" s="1009">
        <v>166205.90</v>
      </c>
      <c r="J14" s="1009">
        <v>229634.30</v>
      </c>
      <c r="K14" s="1009">
        <v>294824.59999999998</v>
      </c>
      <c r="L14" s="1009">
        <v>372599.89999999997</v>
      </c>
      <c r="M14" s="1009">
        <v>443663.19999999995</v>
      </c>
      <c r="N14" s="1009">
        <v>509860.29999999993</v>
      </c>
      <c r="O14" s="1009">
        <v>592082.29999999993</v>
      </c>
      <c r="P14" s="1009">
        <v>666921.10</v>
      </c>
      <c r="Q14" s="1009">
        <v>734964</v>
      </c>
      <c r="R14" s="1009">
        <v>839000</v>
      </c>
      <c r="S14" s="939">
        <f>AVERAGE(F14:R14)</f>
        <v>384332.99230769236</v>
      </c>
    </row>
    <row r="15" spans="1:19" ht="15.5">
      <c r="A15" s="114">
        <f>+A14+1</f>
        <v>6</v>
      </c>
      <c r="B15" s="93"/>
      <c r="C15" s="1112" t="s">
        <v>893</v>
      </c>
      <c r="D15" s="556"/>
      <c r="E15" s="90" t="s">
        <v>888</v>
      </c>
      <c r="F15" s="1009">
        <v>0</v>
      </c>
      <c r="G15" s="1009">
        <v>10488</v>
      </c>
      <c r="H15" s="1009">
        <v>21656.80</v>
      </c>
      <c r="I15" s="1009">
        <v>36450.40</v>
      </c>
      <c r="J15" s="1009">
        <v>50360.80</v>
      </c>
      <c r="K15" s="1009">
        <v>64657.600000000006</v>
      </c>
      <c r="L15" s="1009">
        <v>81714.400000000009</v>
      </c>
      <c r="M15" s="1009">
        <v>97299.200000000012</v>
      </c>
      <c r="N15" s="1009">
        <v>111816.80000000002</v>
      </c>
      <c r="O15" s="1009">
        <v>129848.80000000002</v>
      </c>
      <c r="P15" s="1009">
        <v>146261.60</v>
      </c>
      <c r="Q15" s="1009">
        <v>161184</v>
      </c>
      <c r="R15" s="1009">
        <v>184000</v>
      </c>
      <c r="S15" s="939">
        <f>AVERAGE(F15:R15)</f>
        <v>84287.569230769222</v>
      </c>
    </row>
    <row r="16" spans="1:19" ht="15.5">
      <c r="A16" s="114">
        <f>+A15+1</f>
        <v>7</v>
      </c>
      <c r="B16" s="115"/>
      <c r="C16" s="1111" t="s">
        <v>894</v>
      </c>
      <c r="D16" s="556"/>
      <c r="E16" s="90" t="s">
        <v>888</v>
      </c>
      <c r="F16" s="1009">
        <v>1552000</v>
      </c>
      <c r="G16" s="1009">
        <v>1678732.888</v>
      </c>
      <c r="H16" s="1009">
        <v>1813692.2968000001</v>
      </c>
      <c r="I16" s="1009">
        <v>1992452.3704000001</v>
      </c>
      <c r="J16" s="1009">
        <v>2160540.2008000002</v>
      </c>
      <c r="K16" s="1009">
        <v>2333297.1376</v>
      </c>
      <c r="L16" s="1009">
        <v>2539404.8344000001</v>
      </c>
      <c r="M16" s="1009">
        <v>2727725.4591999999</v>
      </c>
      <c r="N16" s="1009">
        <v>2903150.4567999998</v>
      </c>
      <c r="O16" s="1009">
        <v>3121042.0888</v>
      </c>
      <c r="P16" s="1009">
        <v>3319367.9416</v>
      </c>
      <c r="Q16" s="1009">
        <v>3499684.3840000001</v>
      </c>
      <c r="R16" s="1009">
        <v>3775384</v>
      </c>
      <c r="S16" s="939">
        <f>AVERAGE(F16:R16)</f>
        <v>2570498.0044923075</v>
      </c>
    </row>
    <row r="17" spans="1:19" ht="15.5">
      <c r="A17" s="114">
        <f>+A16+1</f>
        <v>8</v>
      </c>
      <c r="B17" s="115"/>
      <c r="C17" s="1111" t="s">
        <v>895</v>
      </c>
      <c r="D17" s="556"/>
      <c r="E17" s="90" t="s">
        <v>888</v>
      </c>
      <c r="F17" s="1009">
        <v>1768854</v>
      </c>
      <c r="G17" s="1009">
        <v>2278149</v>
      </c>
      <c r="H17" s="1009">
        <v>2820503.50</v>
      </c>
      <c r="I17" s="1009">
        <v>3538877.50</v>
      </c>
      <c r="J17" s="1009">
        <v>4214363.50</v>
      </c>
      <c r="K17" s="1009">
        <v>4908613</v>
      </c>
      <c r="L17" s="1009">
        <v>5736887.5</v>
      </c>
      <c r="M17" s="1009">
        <v>6493682</v>
      </c>
      <c r="N17" s="1009">
        <v>7198653.5</v>
      </c>
      <c r="O17" s="1009">
        <v>8074283.5</v>
      </c>
      <c r="P17" s="1009">
        <v>8871285.5</v>
      </c>
      <c r="Q17" s="1009">
        <v>9595914</v>
      </c>
      <c r="R17" s="1009">
        <v>0</v>
      </c>
      <c r="S17" s="939">
        <f>AVERAGE(F17:R17)</f>
        <v>5038466.653846154</v>
      </c>
    </row>
    <row r="18" spans="1:19" ht="15.5">
      <c r="A18" s="114">
        <f>+A17+1</f>
        <v>9</v>
      </c>
      <c r="B18" s="115"/>
      <c r="C18" s="1111" t="s">
        <v>896</v>
      </c>
      <c r="D18" s="556"/>
      <c r="E18" s="90" t="s">
        <v>888</v>
      </c>
      <c r="F18" s="1009">
        <v>1000000</v>
      </c>
      <c r="G18" s="1009">
        <v>1256500</v>
      </c>
      <c r="H18" s="1009">
        <v>1529650</v>
      </c>
      <c r="I18" s="1009">
        <v>1891450</v>
      </c>
      <c r="J18" s="1009">
        <v>2231650</v>
      </c>
      <c r="K18" s="1009">
        <v>2581300</v>
      </c>
      <c r="L18" s="1009">
        <v>2998450</v>
      </c>
      <c r="M18" s="1009">
        <v>3379600</v>
      </c>
      <c r="N18" s="1009">
        <v>3734650</v>
      </c>
      <c r="O18" s="1009">
        <v>4175650</v>
      </c>
      <c r="P18" s="1009">
        <v>4577050</v>
      </c>
      <c r="Q18" s="1009">
        <v>4942000</v>
      </c>
      <c r="R18" s="1009">
        <v>5500000</v>
      </c>
      <c r="S18" s="939">
        <f t="shared" si="2" ref="S18:S19">AVERAGE(F18:R18)</f>
        <v>3061380.769230769</v>
      </c>
    </row>
    <row r="19" spans="1:19" ht="15.5">
      <c r="A19" s="114">
        <f>+A18+1</f>
        <v>10</v>
      </c>
      <c r="B19" s="115"/>
      <c r="C19" s="1111" t="s">
        <v>897</v>
      </c>
      <c r="D19" s="556"/>
      <c r="E19" s="90" t="s">
        <v>888</v>
      </c>
      <c r="F19" s="1009">
        <v>0</v>
      </c>
      <c r="G19" s="1009">
        <v>119700.00000000002</v>
      </c>
      <c r="H19" s="1009">
        <v>247170.00000000003</v>
      </c>
      <c r="I19" s="1009">
        <v>416010.00000000006</v>
      </c>
      <c r="J19" s="1009">
        <v>574770.00000000012</v>
      </c>
      <c r="K19" s="1009">
        <v>737940.00000000012</v>
      </c>
      <c r="L19" s="1009">
        <v>932610.00000000012</v>
      </c>
      <c r="M19" s="1009">
        <v>1110480.0000000002</v>
      </c>
      <c r="N19" s="1009">
        <v>1276170.0000000002</v>
      </c>
      <c r="O19" s="1009">
        <v>1481970.0000000002</v>
      </c>
      <c r="P19" s="1009">
        <v>1669290.0000000002</v>
      </c>
      <c r="Q19" s="1009">
        <v>1839600.0000000002</v>
      </c>
      <c r="R19" s="1009">
        <v>0</v>
      </c>
      <c r="S19" s="939">
        <f>AVERAGE(F19:R19)</f>
        <v>800439.23076923087</v>
      </c>
    </row>
    <row r="20" spans="1:19" s="938" customFormat="1" ht="15.5">
      <c r="A20" s="114">
        <f t="shared" si="3" ref="A20:A33">+A19+1</f>
        <v>11</v>
      </c>
      <c r="B20" s="115"/>
      <c r="C20" s="614" t="s">
        <v>825</v>
      </c>
      <c r="D20" s="102"/>
      <c r="E20" s="97"/>
      <c r="F20" s="1009">
        <v>0</v>
      </c>
      <c r="G20" s="1009">
        <v>0</v>
      </c>
      <c r="H20" s="1009">
        <v>0</v>
      </c>
      <c r="I20" s="1009">
        <v>0</v>
      </c>
      <c r="J20" s="1009">
        <v>0</v>
      </c>
      <c r="K20" s="1009">
        <v>0</v>
      </c>
      <c r="L20" s="1009">
        <v>0</v>
      </c>
      <c r="M20" s="1009">
        <v>0</v>
      </c>
      <c r="N20" s="1009">
        <v>0</v>
      </c>
      <c r="O20" s="1009">
        <v>0</v>
      </c>
      <c r="P20" s="1009">
        <v>0</v>
      </c>
      <c r="Q20" s="1009">
        <v>0</v>
      </c>
      <c r="R20" s="1009">
        <v>0</v>
      </c>
      <c r="S20" s="939">
        <f t="shared" si="4" ref="S20:S33">AVERAGE(F20:R20)</f>
        <v>0</v>
      </c>
    </row>
    <row r="21" spans="1:19" s="938" customFormat="1" ht="15.5">
      <c r="A21" s="114">
        <f>+A20+1</f>
        <v>12</v>
      </c>
      <c r="B21" s="115"/>
      <c r="C21" s="614" t="s">
        <v>826</v>
      </c>
      <c r="D21" s="102"/>
      <c r="E21" s="97"/>
      <c r="F21" s="1009">
        <v>0</v>
      </c>
      <c r="G21" s="1009">
        <v>0</v>
      </c>
      <c r="H21" s="1009">
        <v>0</v>
      </c>
      <c r="I21" s="1009">
        <v>0</v>
      </c>
      <c r="J21" s="1009">
        <v>0</v>
      </c>
      <c r="K21" s="1009">
        <v>0</v>
      </c>
      <c r="L21" s="1009">
        <v>0</v>
      </c>
      <c r="M21" s="1009">
        <v>0</v>
      </c>
      <c r="N21" s="1009">
        <v>0</v>
      </c>
      <c r="O21" s="1009">
        <v>0</v>
      </c>
      <c r="P21" s="1009">
        <v>0</v>
      </c>
      <c r="Q21" s="1009">
        <v>0</v>
      </c>
      <c r="R21" s="1009">
        <v>0</v>
      </c>
      <c r="S21" s="939">
        <f>AVERAGE(F21:R21)</f>
        <v>0</v>
      </c>
    </row>
    <row r="22" spans="1:19" s="938" customFormat="1" ht="15.5">
      <c r="A22" s="114">
        <f>+A21+1</f>
        <v>13</v>
      </c>
      <c r="B22" s="115"/>
      <c r="C22" s="614" t="s">
        <v>827</v>
      </c>
      <c r="D22" s="102"/>
      <c r="E22" s="97"/>
      <c r="F22" s="1009">
        <v>0</v>
      </c>
      <c r="G22" s="1009">
        <v>0</v>
      </c>
      <c r="H22" s="1009">
        <v>0</v>
      </c>
      <c r="I22" s="1009">
        <v>0</v>
      </c>
      <c r="J22" s="1009">
        <v>0</v>
      </c>
      <c r="K22" s="1009">
        <v>0</v>
      </c>
      <c r="L22" s="1009">
        <v>0</v>
      </c>
      <c r="M22" s="1009">
        <v>0</v>
      </c>
      <c r="N22" s="1009">
        <v>0</v>
      </c>
      <c r="O22" s="1009">
        <v>0</v>
      </c>
      <c r="P22" s="1009">
        <v>0</v>
      </c>
      <c r="Q22" s="1009">
        <v>0</v>
      </c>
      <c r="R22" s="1009">
        <v>0</v>
      </c>
      <c r="S22" s="939">
        <f>AVERAGE(F22:R22)</f>
        <v>0</v>
      </c>
    </row>
    <row r="23" spans="1:19" s="938" customFormat="1" ht="15.5">
      <c r="A23" s="114">
        <f>+A22+1</f>
        <v>14</v>
      </c>
      <c r="B23" s="115"/>
      <c r="C23" s="614" t="s">
        <v>828</v>
      </c>
      <c r="D23" s="102"/>
      <c r="E23" s="97"/>
      <c r="F23" s="1009">
        <v>0</v>
      </c>
      <c r="G23" s="1009">
        <v>0</v>
      </c>
      <c r="H23" s="1009">
        <v>0</v>
      </c>
      <c r="I23" s="1009">
        <v>0</v>
      </c>
      <c r="J23" s="1009">
        <v>0</v>
      </c>
      <c r="K23" s="1009">
        <v>0</v>
      </c>
      <c r="L23" s="1009">
        <v>0</v>
      </c>
      <c r="M23" s="1009">
        <v>0</v>
      </c>
      <c r="N23" s="1009">
        <v>0</v>
      </c>
      <c r="O23" s="1009">
        <v>0</v>
      </c>
      <c r="P23" s="1009">
        <v>0</v>
      </c>
      <c r="Q23" s="1009">
        <v>0</v>
      </c>
      <c r="R23" s="1009">
        <v>0</v>
      </c>
      <c r="S23" s="939">
        <f>AVERAGE(F23:R23)</f>
        <v>0</v>
      </c>
    </row>
    <row r="24" spans="1:19" s="938" customFormat="1" ht="15.5">
      <c r="A24" s="114">
        <f>+A23+1</f>
        <v>15</v>
      </c>
      <c r="B24" s="115"/>
      <c r="C24" s="614" t="s">
        <v>618</v>
      </c>
      <c r="D24" s="102"/>
      <c r="E24" s="97"/>
      <c r="F24" s="1009">
        <v>0</v>
      </c>
      <c r="G24" s="1009">
        <v>0</v>
      </c>
      <c r="H24" s="1009">
        <v>0</v>
      </c>
      <c r="I24" s="1009">
        <v>0</v>
      </c>
      <c r="J24" s="1009">
        <v>0</v>
      </c>
      <c r="K24" s="1009">
        <v>0</v>
      </c>
      <c r="L24" s="1009">
        <v>0</v>
      </c>
      <c r="M24" s="1009">
        <v>0</v>
      </c>
      <c r="N24" s="1009">
        <v>0</v>
      </c>
      <c r="O24" s="1009">
        <v>0</v>
      </c>
      <c r="P24" s="1009">
        <v>0</v>
      </c>
      <c r="Q24" s="1009">
        <v>0</v>
      </c>
      <c r="R24" s="1009">
        <v>0</v>
      </c>
      <c r="S24" s="939">
        <f>AVERAGE(F24:R24)</f>
        <v>0</v>
      </c>
    </row>
    <row r="25" spans="1:19" s="938" customFormat="1" ht="15.5">
      <c r="A25" s="114">
        <f>+A24+1</f>
        <v>16</v>
      </c>
      <c r="B25" s="115"/>
      <c r="C25" s="614" t="s">
        <v>619</v>
      </c>
      <c r="D25" s="102"/>
      <c r="E25" s="97"/>
      <c r="F25" s="1009">
        <v>0</v>
      </c>
      <c r="G25" s="1009">
        <v>0</v>
      </c>
      <c r="H25" s="1009">
        <v>0</v>
      </c>
      <c r="I25" s="1009">
        <v>0</v>
      </c>
      <c r="J25" s="1009">
        <v>0</v>
      </c>
      <c r="K25" s="1009">
        <v>0</v>
      </c>
      <c r="L25" s="1009">
        <v>0</v>
      </c>
      <c r="M25" s="1009">
        <v>0</v>
      </c>
      <c r="N25" s="1009">
        <v>0</v>
      </c>
      <c r="O25" s="1009">
        <v>0</v>
      </c>
      <c r="P25" s="1009">
        <v>0</v>
      </c>
      <c r="Q25" s="1009">
        <v>0</v>
      </c>
      <c r="R25" s="1009">
        <v>0</v>
      </c>
      <c r="S25" s="939">
        <f>AVERAGE(F25:R25)</f>
        <v>0</v>
      </c>
    </row>
    <row r="26" spans="1:19" s="938" customFormat="1" ht="15.5">
      <c r="A26" s="114">
        <f>+A25+1</f>
        <v>17</v>
      </c>
      <c r="B26" s="115"/>
      <c r="C26" s="614" t="s">
        <v>620</v>
      </c>
      <c r="D26" s="102"/>
      <c r="E26" s="97"/>
      <c r="F26" s="1009">
        <v>0</v>
      </c>
      <c r="G26" s="1009">
        <v>0</v>
      </c>
      <c r="H26" s="1009">
        <v>0</v>
      </c>
      <c r="I26" s="1009">
        <v>0</v>
      </c>
      <c r="J26" s="1009">
        <v>0</v>
      </c>
      <c r="K26" s="1009">
        <v>0</v>
      </c>
      <c r="L26" s="1009">
        <v>0</v>
      </c>
      <c r="M26" s="1009">
        <v>0</v>
      </c>
      <c r="N26" s="1009">
        <v>0</v>
      </c>
      <c r="O26" s="1009">
        <v>0</v>
      </c>
      <c r="P26" s="1009">
        <v>0</v>
      </c>
      <c r="Q26" s="1009">
        <v>0</v>
      </c>
      <c r="R26" s="1009">
        <v>0</v>
      </c>
      <c r="S26" s="939">
        <f>AVERAGE(F26:R26)</f>
        <v>0</v>
      </c>
    </row>
    <row r="27" spans="1:19" s="938" customFormat="1" ht="15.5">
      <c r="A27" s="114">
        <f>+A26+1</f>
        <v>18</v>
      </c>
      <c r="B27" s="115"/>
      <c r="C27" s="614" t="s">
        <v>621</v>
      </c>
      <c r="D27" s="102"/>
      <c r="E27" s="97"/>
      <c r="F27" s="1009">
        <v>0</v>
      </c>
      <c r="G27" s="1009">
        <v>0</v>
      </c>
      <c r="H27" s="1009">
        <v>0</v>
      </c>
      <c r="I27" s="1009">
        <v>0</v>
      </c>
      <c r="J27" s="1009">
        <v>0</v>
      </c>
      <c r="K27" s="1009">
        <v>0</v>
      </c>
      <c r="L27" s="1009">
        <v>0</v>
      </c>
      <c r="M27" s="1009">
        <v>0</v>
      </c>
      <c r="N27" s="1009">
        <v>0</v>
      </c>
      <c r="O27" s="1009">
        <v>0</v>
      </c>
      <c r="P27" s="1009">
        <v>0</v>
      </c>
      <c r="Q27" s="1009">
        <v>0</v>
      </c>
      <c r="R27" s="1009">
        <v>0</v>
      </c>
      <c r="S27" s="939">
        <f>AVERAGE(F27:R27)</f>
        <v>0</v>
      </c>
    </row>
    <row r="28" spans="1:19" s="938" customFormat="1" ht="15.5">
      <c r="A28" s="114">
        <f>+A27+1</f>
        <v>19</v>
      </c>
      <c r="B28" s="115"/>
      <c r="C28" s="614" t="s">
        <v>622</v>
      </c>
      <c r="D28" s="102"/>
      <c r="E28" s="97"/>
      <c r="F28" s="1009">
        <v>0</v>
      </c>
      <c r="G28" s="1009">
        <v>0</v>
      </c>
      <c r="H28" s="1009">
        <v>0</v>
      </c>
      <c r="I28" s="1009">
        <v>0</v>
      </c>
      <c r="J28" s="1009">
        <v>0</v>
      </c>
      <c r="K28" s="1009">
        <v>0</v>
      </c>
      <c r="L28" s="1009">
        <v>0</v>
      </c>
      <c r="M28" s="1009">
        <v>0</v>
      </c>
      <c r="N28" s="1009">
        <v>0</v>
      </c>
      <c r="O28" s="1009">
        <v>0</v>
      </c>
      <c r="P28" s="1009">
        <v>0</v>
      </c>
      <c r="Q28" s="1009">
        <v>0</v>
      </c>
      <c r="R28" s="1009">
        <v>0</v>
      </c>
      <c r="S28" s="939">
        <f>AVERAGE(F28:R28)</f>
        <v>0</v>
      </c>
    </row>
    <row r="29" spans="1:19" s="938" customFormat="1" ht="15.5">
      <c r="A29" s="114">
        <f>+A28+1</f>
        <v>20</v>
      </c>
      <c r="B29" s="115"/>
      <c r="C29" s="614" t="s">
        <v>623</v>
      </c>
      <c r="D29" s="102"/>
      <c r="E29" s="97"/>
      <c r="F29" s="1009">
        <v>0</v>
      </c>
      <c r="G29" s="1009">
        <v>0</v>
      </c>
      <c r="H29" s="1009">
        <v>0</v>
      </c>
      <c r="I29" s="1009">
        <v>0</v>
      </c>
      <c r="J29" s="1009">
        <v>0</v>
      </c>
      <c r="K29" s="1009">
        <v>0</v>
      </c>
      <c r="L29" s="1009">
        <v>0</v>
      </c>
      <c r="M29" s="1009">
        <v>0</v>
      </c>
      <c r="N29" s="1009">
        <v>0</v>
      </c>
      <c r="O29" s="1009">
        <v>0</v>
      </c>
      <c r="P29" s="1009">
        <v>0</v>
      </c>
      <c r="Q29" s="1009">
        <v>0</v>
      </c>
      <c r="R29" s="1009">
        <v>0</v>
      </c>
      <c r="S29" s="939">
        <f>AVERAGE(F29:R29)</f>
        <v>0</v>
      </c>
    </row>
    <row r="30" spans="1:19" s="938" customFormat="1" ht="15.5">
      <c r="A30" s="114">
        <f>+A29+1</f>
        <v>21</v>
      </c>
      <c r="B30" s="115"/>
      <c r="C30" s="614" t="s">
        <v>624</v>
      </c>
      <c r="D30" s="102"/>
      <c r="E30" s="97"/>
      <c r="F30" s="1009">
        <v>0</v>
      </c>
      <c r="G30" s="1009">
        <v>0</v>
      </c>
      <c r="H30" s="1009">
        <v>0</v>
      </c>
      <c r="I30" s="1009">
        <v>0</v>
      </c>
      <c r="J30" s="1009">
        <v>0</v>
      </c>
      <c r="K30" s="1009">
        <v>0</v>
      </c>
      <c r="L30" s="1009">
        <v>0</v>
      </c>
      <c r="M30" s="1009">
        <v>0</v>
      </c>
      <c r="N30" s="1009">
        <v>0</v>
      </c>
      <c r="O30" s="1009">
        <v>0</v>
      </c>
      <c r="P30" s="1009">
        <v>0</v>
      </c>
      <c r="Q30" s="1009">
        <v>0</v>
      </c>
      <c r="R30" s="1009">
        <v>0</v>
      </c>
      <c r="S30" s="939">
        <f>AVERAGE(F30:R30)</f>
        <v>0</v>
      </c>
    </row>
    <row r="31" spans="1:19" s="938" customFormat="1" ht="15.5">
      <c r="A31" s="114">
        <f>+A30+1</f>
        <v>22</v>
      </c>
      <c r="B31" s="115"/>
      <c r="C31" s="614" t="s">
        <v>625</v>
      </c>
      <c r="D31" s="102"/>
      <c r="E31" s="97"/>
      <c r="F31" s="1009">
        <v>0</v>
      </c>
      <c r="G31" s="1009">
        <v>0</v>
      </c>
      <c r="H31" s="1009">
        <v>0</v>
      </c>
      <c r="I31" s="1009">
        <v>0</v>
      </c>
      <c r="J31" s="1009">
        <v>0</v>
      </c>
      <c r="K31" s="1009">
        <v>0</v>
      </c>
      <c r="L31" s="1009">
        <v>0</v>
      </c>
      <c r="M31" s="1009">
        <v>0</v>
      </c>
      <c r="N31" s="1009">
        <v>0</v>
      </c>
      <c r="O31" s="1009">
        <v>0</v>
      </c>
      <c r="P31" s="1009">
        <v>0</v>
      </c>
      <c r="Q31" s="1009">
        <v>0</v>
      </c>
      <c r="R31" s="1009">
        <v>0</v>
      </c>
      <c r="S31" s="939">
        <f>AVERAGE(F31:R31)</f>
        <v>0</v>
      </c>
    </row>
    <row r="32" spans="1:19" s="938" customFormat="1" ht="15.5">
      <c r="A32" s="114">
        <f>+A31+1</f>
        <v>23</v>
      </c>
      <c r="B32" s="115"/>
      <c r="C32" s="614" t="s">
        <v>626</v>
      </c>
      <c r="D32" s="102"/>
      <c r="E32" s="97"/>
      <c r="F32" s="1009">
        <v>0</v>
      </c>
      <c r="G32" s="1009">
        <v>0</v>
      </c>
      <c r="H32" s="1009">
        <v>0</v>
      </c>
      <c r="I32" s="1009">
        <v>0</v>
      </c>
      <c r="J32" s="1009">
        <v>0</v>
      </c>
      <c r="K32" s="1009">
        <v>0</v>
      </c>
      <c r="L32" s="1009">
        <v>0</v>
      </c>
      <c r="M32" s="1009">
        <v>0</v>
      </c>
      <c r="N32" s="1009">
        <v>0</v>
      </c>
      <c r="O32" s="1009">
        <v>0</v>
      </c>
      <c r="P32" s="1009">
        <v>0</v>
      </c>
      <c r="Q32" s="1009">
        <v>0</v>
      </c>
      <c r="R32" s="1009">
        <v>0</v>
      </c>
      <c r="S32" s="939">
        <f>AVERAGE(F32:R32)</f>
        <v>0</v>
      </c>
    </row>
    <row r="33" spans="1:19" s="938" customFormat="1" ht="15.5">
      <c r="A33" s="114">
        <f>+A32+1</f>
        <v>24</v>
      </c>
      <c r="B33" s="115"/>
      <c r="C33" s="614" t="s">
        <v>627</v>
      </c>
      <c r="D33" s="102"/>
      <c r="E33" s="97"/>
      <c r="F33" s="1009">
        <v>0</v>
      </c>
      <c r="G33" s="1009">
        <v>0</v>
      </c>
      <c r="H33" s="1009">
        <v>0</v>
      </c>
      <c r="I33" s="1009">
        <v>0</v>
      </c>
      <c r="J33" s="1009">
        <v>0</v>
      </c>
      <c r="K33" s="1009">
        <v>0</v>
      </c>
      <c r="L33" s="1009">
        <v>0</v>
      </c>
      <c r="M33" s="1009">
        <v>0</v>
      </c>
      <c r="N33" s="1009">
        <v>0</v>
      </c>
      <c r="O33" s="1009">
        <v>0</v>
      </c>
      <c r="P33" s="1009">
        <v>0</v>
      </c>
      <c r="Q33" s="1009">
        <v>0</v>
      </c>
      <c r="R33" s="1009">
        <v>0</v>
      </c>
      <c r="S33" s="939">
        <f>AVERAGE(F33:R33)</f>
        <v>0</v>
      </c>
    </row>
    <row r="34" spans="1:19" ht="15.5">
      <c r="A34" s="114"/>
      <c r="B34" s="115"/>
      <c r="C34" s="102"/>
      <c r="D34" s="102"/>
      <c r="E34" s="97"/>
      <c r="F34" s="998"/>
      <c r="G34" s="998"/>
      <c r="H34" s="998"/>
      <c r="I34" s="998"/>
      <c r="J34" s="998"/>
      <c r="K34" s="998"/>
      <c r="L34" s="998"/>
      <c r="M34" s="998"/>
      <c r="N34" s="998"/>
      <c r="O34" s="998"/>
      <c r="P34" s="998"/>
      <c r="Q34" s="998"/>
      <c r="R34" s="998"/>
      <c r="S34" s="612"/>
    </row>
    <row r="35" spans="1:19" ht="15.5">
      <c r="A35" s="114">
        <f>+A33+1</f>
        <v>25</v>
      </c>
      <c r="B35" s="115"/>
      <c r="C35" s="102" t="s">
        <v>65</v>
      </c>
      <c r="D35" s="91"/>
      <c r="E35" s="97"/>
      <c r="F35" s="612">
        <f>+SUM(F10:F33)</f>
        <v>9813168</v>
      </c>
      <c r="G35" s="612">
        <f t="shared" si="5" ref="G35:R35">+SUM(G10:G33)</f>
        <v>12282647.143031525</v>
      </c>
      <c r="H35" s="612">
        <f>+SUM(H10:H33)</f>
        <v>14912425.809382642</v>
      </c>
      <c r="I35" s="612">
        <f>+SUM(I10:I33)</f>
        <v>18395691.12692184</v>
      </c>
      <c r="J35" s="612">
        <f>+SUM(J10:J33)</f>
        <v>21671000.306100495</v>
      </c>
      <c r="K35" s="612">
        <f>+SUM(K10:K33)</f>
        <v>25037290.295811892</v>
      </c>
      <c r="L35" s="612">
        <f>+SUM(L10:L33)</f>
        <v>21888443.217900001</v>
      </c>
      <c r="M35" s="612">
        <f>+SUM(M10:M33)</f>
        <v>24642533.087200001</v>
      </c>
      <c r="N35" s="612">
        <f>+SUM(N10:N33)</f>
        <v>27208031.206300002</v>
      </c>
      <c r="O35" s="612">
        <f>+SUM(O10:O33)</f>
        <v>30394581.4683</v>
      </c>
      <c r="P35" s="612">
        <f>+SUM(P10:P33)</f>
        <v>33294992.5231</v>
      </c>
      <c r="Q35" s="612">
        <f>+SUM(Q10:Q33)</f>
        <v>35932025.444000006</v>
      </c>
      <c r="R35" s="612">
        <f>+SUM(R10:R33)</f>
        <v>27160133</v>
      </c>
      <c r="S35" s="612">
        <f>+SUM(S10:S33)</f>
        <v>23279458.663696028</v>
      </c>
    </row>
    <row r="36" spans="1:19" ht="16" thickBot="1">
      <c r="A36" s="143"/>
      <c r="B36" s="127"/>
      <c r="C36" s="131"/>
      <c r="D36" s="131"/>
      <c r="E36" s="130"/>
      <c r="F36" s="613"/>
      <c r="G36" s="613"/>
      <c r="H36" s="613"/>
      <c r="I36" s="613"/>
      <c r="J36" s="613"/>
      <c r="K36" s="613"/>
      <c r="L36" s="613"/>
      <c r="M36" s="613"/>
      <c r="N36" s="613"/>
      <c r="O36" s="613"/>
      <c r="P36" s="613"/>
      <c r="Q36" s="613"/>
      <c r="R36" s="613"/>
      <c r="S36" s="613"/>
    </row>
    <row r="37" ht="12.5"/>
    <row r="38" ht="12.5"/>
    <row r="39" spans="1:19" ht="15.5">
      <c r="A39" s="216" t="s">
        <v>628</v>
      </c>
      <c r="B39" s="975"/>
      <c r="C39" s="975"/>
      <c r="D39" s="975"/>
      <c r="E39" s="975"/>
      <c r="F39" s="975"/>
      <c r="G39" s="975"/>
      <c r="H39" s="975"/>
      <c r="I39" s="975"/>
      <c r="J39" s="975"/>
      <c r="K39" s="975"/>
      <c r="L39" s="975"/>
      <c r="M39" s="975"/>
      <c r="N39" s="975"/>
      <c r="O39" s="975"/>
      <c r="P39" s="975"/>
      <c r="Q39" s="975"/>
      <c r="R39" s="975"/>
      <c r="S39" s="975"/>
    </row>
  </sheetData>
  <mergeCells count="1">
    <mergeCell ref="G7:R7"/>
  </mergeCells>
  <pageMargins left="0.7" right="0.7" top="0.75" bottom="0.75" header="0.3" footer="0.3"/>
  <pageSetup orientation="landscape" scale="28" r:id="rId1"/>
  <customProperties>
    <customPr name="EpmWorksheetKeyString_GUID" r:id="rId2"/>
    <customPr name="_pios_id" r:id="rId3"/>
  </customPropertie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7">
    <pageSetUpPr fitToPage="1"/>
  </sheetPr>
  <dimension ref="A2:M74"/>
  <sheetViews>
    <sheetView showGridLines="0" zoomScale="75" zoomScaleNormal="75" workbookViewId="0" topLeftCell="B1">
      <selection pane="topLeft" activeCell="B1" sqref="B1"/>
    </sheetView>
  </sheetViews>
  <sheetFormatPr defaultColWidth="9.27428571428571" defaultRowHeight="12.75"/>
  <cols>
    <col min="1" max="1" width="5.71428571428571" style="277" customWidth="1"/>
    <col min="2" max="2" width="13.2857142857143" style="85" customWidth="1"/>
    <col min="3" max="3" width="39.2857142857143" style="277" customWidth="1"/>
    <col min="4" max="4" width="16.7142857142857" style="277" customWidth="1"/>
    <col min="5" max="5" width="17.7142857142857" style="277" customWidth="1"/>
    <col min="6" max="6" width="15.1428571428571" style="277" customWidth="1"/>
    <col min="7" max="7" width="34.4285714285714" style="277" customWidth="1"/>
    <col min="8" max="8" width="19.4285714285714" style="277" customWidth="1"/>
    <col min="9" max="9" width="14.2857142857143" style="277" bestFit="1" customWidth="1"/>
    <col min="10" max="10" width="15.4285714285714" style="277" customWidth="1"/>
    <col min="11" max="11" width="19.2857142857143" style="277" customWidth="1"/>
    <col min="12" max="12" width="9.28571428571429" style="277"/>
    <col min="13" max="13" width="10.2857142857143" style="277" customWidth="1"/>
    <col min="14" max="16384" width="9.28571428571429" style="277"/>
  </cols>
  <sheetData>
    <row r="2" spans="2:12" ht="18">
      <c r="B2" s="1152" t="str">
        <f>+'Appendix A'!A3</f>
        <v>Dayton Power and Light</v>
      </c>
      <c r="C2" s="1152"/>
      <c r="D2" s="1152"/>
      <c r="E2" s="1152"/>
      <c r="F2" s="1152"/>
      <c r="G2" s="1152"/>
      <c r="H2" s="1152"/>
      <c r="I2" s="1152"/>
      <c r="J2" s="1152"/>
      <c r="K2" s="1152"/>
      <c r="L2" s="1152"/>
    </row>
    <row r="3" spans="2:12" ht="18">
      <c r="B3" s="1152" t="str">
        <f>+'Appendix A'!A4</f>
        <v xml:space="preserve">ATTACHMENT H-15A </v>
      </c>
      <c r="C3" s="1152"/>
      <c r="D3" s="1152"/>
      <c r="E3" s="1152"/>
      <c r="F3" s="1152"/>
      <c r="G3" s="1152"/>
      <c r="H3" s="1152"/>
      <c r="I3" s="1152"/>
      <c r="J3" s="1152"/>
      <c r="K3" s="925"/>
      <c r="L3" s="1019"/>
    </row>
    <row r="4" spans="2:12" ht="18">
      <c r="B4" s="1152" t="s">
        <v>629</v>
      </c>
      <c r="C4" s="1152"/>
      <c r="D4" s="1152"/>
      <c r="E4" s="1152"/>
      <c r="F4" s="1152"/>
      <c r="G4" s="1152"/>
      <c r="H4" s="1152"/>
      <c r="I4" s="1152"/>
      <c r="J4" s="1152"/>
      <c r="K4" s="1152"/>
      <c r="L4" s="1152"/>
    </row>
    <row r="5" spans="2:12" ht="15.5">
      <c r="B5" s="281"/>
      <c r="C5" s="281"/>
      <c r="D5" s="281"/>
      <c r="E5" s="281"/>
      <c r="F5" s="281"/>
      <c r="G5" s="281"/>
      <c r="H5" s="281"/>
      <c r="I5" s="281"/>
      <c r="J5" s="281"/>
      <c r="K5" s="281"/>
      <c r="L5" s="281"/>
    </row>
    <row r="6" spans="2:13" ht="15.5">
      <c r="B6" s="216" t="s">
        <v>370</v>
      </c>
      <c r="C6" s="556"/>
      <c r="D6" s="556"/>
      <c r="E6" s="556"/>
      <c r="F6" s="556"/>
      <c r="G6" s="556"/>
      <c r="H6" s="89"/>
      <c r="I6" s="89"/>
      <c r="J6" s="534"/>
      <c r="K6" s="534"/>
      <c r="L6" s="534"/>
      <c r="M6" s="534"/>
    </row>
    <row r="7" spans="2:13" ht="15.5">
      <c r="B7" s="261" t="s">
        <v>630</v>
      </c>
      <c r="C7" s="556"/>
      <c r="E7" s="556"/>
      <c r="F7" s="556"/>
      <c r="G7" s="556"/>
      <c r="H7" s="556"/>
      <c r="I7" s="556"/>
      <c r="J7" s="534"/>
      <c r="K7" s="534"/>
      <c r="L7" s="534"/>
      <c r="M7" s="534"/>
    </row>
    <row r="8" spans="2:12" ht="15.5">
      <c r="B8" s="90"/>
      <c r="C8" s="556"/>
      <c r="E8" s="556"/>
      <c r="F8" s="556"/>
      <c r="G8" s="556"/>
      <c r="H8" s="556"/>
      <c r="I8" s="556"/>
      <c r="J8" s="556"/>
      <c r="K8" s="556"/>
      <c r="L8" s="556"/>
    </row>
    <row r="9" spans="2:12" ht="15.5">
      <c r="B9" s="90" t="s">
        <v>309</v>
      </c>
      <c r="C9" s="556" t="s">
        <v>631</v>
      </c>
      <c r="E9" s="556"/>
      <c r="F9" s="556"/>
      <c r="G9" s="556"/>
      <c r="H9" s="556"/>
      <c r="I9" s="556"/>
      <c r="J9" s="556"/>
      <c r="K9" s="556"/>
      <c r="L9" s="556"/>
    </row>
    <row r="10" spans="2:12" ht="15.5">
      <c r="B10" s="90"/>
      <c r="C10" s="556" t="s">
        <v>632</v>
      </c>
      <c r="E10" s="556"/>
      <c r="F10" s="556"/>
      <c r="G10" s="556"/>
      <c r="H10" s="556"/>
      <c r="I10" s="556"/>
      <c r="J10" s="556"/>
      <c r="K10" s="556"/>
      <c r="L10" s="556"/>
    </row>
    <row r="11" spans="2:12" ht="15.5">
      <c r="B11" s="90"/>
      <c r="C11" s="556" t="s">
        <v>633</v>
      </c>
      <c r="E11" s="556"/>
      <c r="F11" s="556"/>
      <c r="G11" s="556"/>
      <c r="H11" s="535"/>
      <c r="J11" s="556"/>
      <c r="K11" s="556"/>
      <c r="L11" s="556"/>
    </row>
    <row r="12" spans="2:12" ht="15.5">
      <c r="B12" s="90"/>
      <c r="E12" s="556"/>
      <c r="F12" s="556"/>
      <c r="G12" s="556"/>
      <c r="H12" s="535"/>
      <c r="J12" s="556"/>
      <c r="K12" s="556"/>
      <c r="L12" s="556"/>
    </row>
    <row r="13" spans="2:12" ht="15.5">
      <c r="B13" s="90" t="s">
        <v>634</v>
      </c>
      <c r="C13" s="556" t="s">
        <v>635</v>
      </c>
      <c r="E13" s="556"/>
      <c r="F13" s="556"/>
      <c r="G13" s="556"/>
      <c r="H13" s="535"/>
      <c r="J13" s="556"/>
      <c r="K13" s="556"/>
      <c r="L13" s="556"/>
    </row>
    <row r="14" spans="2:12" ht="15.5">
      <c r="B14" s="90"/>
      <c r="C14" s="556" t="s">
        <v>636</v>
      </c>
      <c r="E14" s="556"/>
      <c r="F14" s="556"/>
      <c r="G14" s="556"/>
      <c r="H14" s="556"/>
      <c r="I14" s="556"/>
      <c r="J14" s="556"/>
      <c r="K14" s="556"/>
      <c r="L14" s="556"/>
    </row>
    <row r="15" spans="2:12" ht="15.5">
      <c r="B15" s="90"/>
      <c r="C15" s="556"/>
      <c r="E15" s="556"/>
      <c r="F15" s="556"/>
      <c r="G15" s="556"/>
      <c r="H15" s="556"/>
      <c r="I15" s="556"/>
      <c r="J15" s="556"/>
      <c r="K15" s="556"/>
      <c r="L15" s="556"/>
    </row>
    <row r="16" spans="2:12" ht="15.5">
      <c r="B16" s="90" t="s">
        <v>637</v>
      </c>
      <c r="C16" s="556" t="s">
        <v>638</v>
      </c>
      <c r="E16" s="556"/>
      <c r="F16" s="556"/>
      <c r="G16" s="556"/>
      <c r="H16" s="556"/>
      <c r="I16" s="556"/>
      <c r="J16" s="556"/>
      <c r="K16" s="556"/>
      <c r="L16" s="556"/>
    </row>
    <row r="17" spans="2:12" ht="15.5">
      <c r="B17" s="90"/>
      <c r="C17" s="556" t="s">
        <v>639</v>
      </c>
      <c r="E17" s="556"/>
      <c r="F17" s="556"/>
      <c r="G17" s="556"/>
      <c r="H17" s="556"/>
      <c r="I17" s="556"/>
      <c r="J17" s="556"/>
      <c r="K17" s="556"/>
      <c r="L17" s="556"/>
    </row>
    <row r="18" spans="7:12" ht="15.5">
      <c r="G18" s="556"/>
      <c r="H18" s="556"/>
      <c r="I18" s="556"/>
      <c r="J18" s="556"/>
      <c r="K18" s="556"/>
      <c r="L18" s="556"/>
    </row>
    <row r="19" spans="2:12" ht="15.5">
      <c r="B19" s="90" t="s">
        <v>1016</v>
      </c>
      <c r="C19" s="556" t="s">
        <v>640</v>
      </c>
      <c r="D19" s="556"/>
      <c r="F19" s="556"/>
      <c r="G19" s="556"/>
      <c r="H19" s="556"/>
      <c r="I19" s="556"/>
      <c r="J19" s="556"/>
      <c r="L19" s="556"/>
    </row>
    <row r="20" spans="4:12" ht="15.5">
      <c r="D20" s="556"/>
      <c r="F20" s="556"/>
      <c r="G20" s="556"/>
      <c r="H20" s="556"/>
      <c r="I20" s="556"/>
      <c r="J20" s="556"/>
      <c r="K20" s="536"/>
      <c r="L20" s="556"/>
    </row>
    <row r="21" spans="3:12" ht="15.5">
      <c r="C21" s="556" t="s">
        <v>641</v>
      </c>
      <c r="D21" s="90" t="s">
        <v>642</v>
      </c>
      <c r="E21" s="556" t="s">
        <v>643</v>
      </c>
      <c r="F21" s="556"/>
      <c r="G21" s="556"/>
      <c r="H21" s="556"/>
      <c r="I21" s="556"/>
      <c r="J21" s="556"/>
      <c r="K21" s="556"/>
      <c r="L21" s="556"/>
    </row>
    <row r="22" spans="5:12" ht="15.5">
      <c r="E22" s="556" t="s">
        <v>644</v>
      </c>
      <c r="F22" s="556"/>
      <c r="G22" s="556"/>
      <c r="H22" s="556"/>
      <c r="I22" s="556"/>
      <c r="J22" s="556"/>
      <c r="K22" s="556"/>
      <c r="L22" s="556"/>
    </row>
    <row r="23" spans="5:12" ht="15.5">
      <c r="E23" s="556" t="s">
        <v>645</v>
      </c>
      <c r="F23" s="556"/>
      <c r="G23" s="556"/>
      <c r="H23" s="556"/>
      <c r="I23" s="556"/>
      <c r="J23" s="556"/>
      <c r="K23" s="537"/>
      <c r="L23" s="556"/>
    </row>
    <row r="24" spans="5:12" ht="15.5">
      <c r="E24" s="556"/>
      <c r="I24" s="556"/>
      <c r="J24" s="556"/>
      <c r="K24" s="556"/>
      <c r="L24" s="556"/>
    </row>
    <row r="25" spans="3:12" ht="15.5">
      <c r="C25" s="556"/>
      <c r="H25" s="556"/>
      <c r="I25" s="556"/>
      <c r="J25" s="556"/>
      <c r="K25" s="556"/>
      <c r="L25" s="556"/>
    </row>
    <row r="26" spans="2:9" ht="17">
      <c r="B26" s="538"/>
      <c r="C26" s="556" t="s">
        <v>646</v>
      </c>
      <c r="F26" s="556"/>
      <c r="G26" s="556"/>
      <c r="H26" s="556"/>
      <c r="I26" s="556"/>
    </row>
    <row r="27" spans="2:9" ht="17">
      <c r="B27" s="539"/>
      <c r="C27" s="556" t="s">
        <v>647</v>
      </c>
      <c r="F27" s="556"/>
      <c r="G27" s="556"/>
      <c r="I27" s="556"/>
    </row>
    <row r="28" spans="2:7" ht="15.5">
      <c r="B28" s="90"/>
      <c r="C28" s="556" t="s">
        <v>648</v>
      </c>
      <c r="F28" s="556"/>
      <c r="G28" s="556"/>
    </row>
    <row r="29" spans="2:13" ht="15.5">
      <c r="B29" s="90"/>
      <c r="C29" s="556" t="s">
        <v>649</v>
      </c>
      <c r="F29" s="556"/>
      <c r="G29" s="556"/>
      <c r="M29" s="86"/>
    </row>
    <row r="30" spans="2:3" ht="15.5">
      <c r="B30" s="90"/>
      <c r="C30" s="556" t="s">
        <v>650</v>
      </c>
    </row>
    <row r="31" spans="2:8" ht="15.5">
      <c r="B31" s="90"/>
      <c r="C31" s="556" t="s">
        <v>651</v>
      </c>
      <c r="H31" s="556"/>
    </row>
    <row r="32" spans="2:2" ht="15.5">
      <c r="B32" s="90"/>
    </row>
    <row r="33" spans="8:11" ht="15.5">
      <c r="H33" s="556"/>
      <c r="I33" s="556"/>
      <c r="J33" s="556"/>
      <c r="K33" s="556"/>
    </row>
    <row r="34" spans="1:13" ht="15.5">
      <c r="A34" s="826" t="s">
        <v>652</v>
      </c>
      <c r="C34" s="556"/>
      <c r="D34" s="90"/>
      <c r="E34" s="89"/>
      <c r="F34" s="556"/>
      <c r="G34" s="556"/>
      <c r="I34" s="203" t="s">
        <v>653</v>
      </c>
      <c r="J34" s="203" t="s">
        <v>654</v>
      </c>
      <c r="K34" s="284"/>
      <c r="L34" s="284"/>
      <c r="M34" s="284"/>
    </row>
    <row r="35" spans="3:13" ht="15.5">
      <c r="C35" s="556"/>
      <c r="D35" s="90"/>
      <c r="E35" s="556"/>
      <c r="F35" s="556"/>
      <c r="G35" s="556"/>
      <c r="I35" s="688" t="s">
        <v>655</v>
      </c>
      <c r="J35" s="688" t="s">
        <v>655</v>
      </c>
      <c r="K35" s="690" t="s">
        <v>656</v>
      </c>
      <c r="L35" s="284"/>
      <c r="M35" s="284"/>
    </row>
    <row r="36" spans="1:13" ht="15.5">
      <c r="A36" s="85">
        <v>1</v>
      </c>
      <c r="B36" s="85" t="s">
        <v>195</v>
      </c>
      <c r="C36" s="556" t="s">
        <v>657</v>
      </c>
      <c r="D36" s="90"/>
      <c r="E36" s="556"/>
      <c r="F36" s="556"/>
      <c r="G36" s="556"/>
      <c r="I36" s="854">
        <v>0</v>
      </c>
      <c r="J36" s="48"/>
      <c r="K36" s="89"/>
      <c r="L36" s="284"/>
      <c r="M36" s="283"/>
    </row>
    <row r="37" spans="1:13" ht="15.5">
      <c r="A37" s="85">
        <f>+A36+1</f>
        <v>2</v>
      </c>
      <c r="B37" s="85" t="s">
        <v>197</v>
      </c>
      <c r="C37" s="687" t="s">
        <v>658</v>
      </c>
      <c r="D37" s="90"/>
      <c r="E37" s="556"/>
      <c r="F37" s="556"/>
      <c r="G37" s="556"/>
      <c r="I37" s="908">
        <v>0</v>
      </c>
      <c r="J37" s="689"/>
      <c r="K37" s="89"/>
      <c r="L37" s="284"/>
      <c r="M37" s="86"/>
    </row>
    <row r="38" spans="1:11" ht="15.5">
      <c r="A38" s="85">
        <f t="shared" si="0" ref="A38:A40">+A37+1</f>
        <v>3</v>
      </c>
      <c r="B38" s="85" t="s">
        <v>198</v>
      </c>
      <c r="C38" s="556" t="s">
        <v>659</v>
      </c>
      <c r="D38" s="90"/>
      <c r="E38" s="556"/>
      <c r="F38" s="556"/>
      <c r="G38" s="556"/>
      <c r="I38" s="540">
        <f>+I36-I37</f>
        <v>0</v>
      </c>
      <c r="J38" s="540">
        <f>+I38</f>
        <v>0</v>
      </c>
      <c r="K38" s="556"/>
    </row>
    <row r="39" spans="1:11" ht="15.5">
      <c r="A39" s="85">
        <f>+A38+1</f>
        <v>4</v>
      </c>
      <c r="B39" s="85" t="s">
        <v>199</v>
      </c>
      <c r="C39" s="556" t="s">
        <v>660</v>
      </c>
      <c r="D39" s="90"/>
      <c r="E39" s="556"/>
      <c r="F39" s="556"/>
      <c r="G39" s="556"/>
      <c r="I39" s="909">
        <f>(1+E74)^24</f>
        <v>1</v>
      </c>
      <c r="J39" s="909">
        <f>(1+F74)^24</f>
        <v>1</v>
      </c>
      <c r="K39" s="556"/>
    </row>
    <row r="40" spans="1:11" ht="15.5">
      <c r="A40" s="85">
        <f>+A39+1</f>
        <v>5</v>
      </c>
      <c r="B40" s="85" t="s">
        <v>201</v>
      </c>
      <c r="C40" s="556" t="s">
        <v>661</v>
      </c>
      <c r="D40" s="90"/>
      <c r="E40" s="556"/>
      <c r="F40" s="556"/>
      <c r="G40" s="556"/>
      <c r="I40" s="540">
        <f>+I38*I39</f>
        <v>0</v>
      </c>
      <c r="J40" s="540">
        <f>+J38*J39</f>
        <v>0</v>
      </c>
      <c r="K40" s="540">
        <f>+J40-I40</f>
        <v>0</v>
      </c>
    </row>
    <row r="41" spans="1:11" ht="15.5">
      <c r="A41" s="85">
        <f>+A40+1</f>
        <v>6</v>
      </c>
      <c r="B41" s="85" t="s">
        <v>203</v>
      </c>
      <c r="C41" s="556" t="s">
        <v>662</v>
      </c>
      <c r="D41" s="90"/>
      <c r="E41" s="556"/>
      <c r="F41" s="556"/>
      <c r="G41" s="556"/>
      <c r="H41" s="540"/>
      <c r="I41" s="924">
        <f>+I40+K40</f>
        <v>0</v>
      </c>
      <c r="J41" s="556"/>
      <c r="K41" s="556"/>
    </row>
    <row r="42" spans="1:11" ht="15.5">
      <c r="A42" s="85"/>
      <c r="C42" s="556"/>
      <c r="D42" s="90"/>
      <c r="E42" s="556"/>
      <c r="F42" s="556"/>
      <c r="G42" s="556"/>
      <c r="H42" s="556"/>
      <c r="I42" s="284"/>
      <c r="J42" s="556"/>
      <c r="K42" s="556"/>
    </row>
    <row r="43" spans="1:8" ht="15.5">
      <c r="A43" s="85"/>
      <c r="C43" s="556" t="s">
        <v>663</v>
      </c>
      <c r="D43" s="556"/>
      <c r="E43" s="556"/>
      <c r="F43" s="556"/>
      <c r="G43" s="556"/>
      <c r="H43" s="30"/>
    </row>
    <row r="44" spans="1:13" ht="15.5">
      <c r="A44" s="85"/>
      <c r="C44" s="556" t="s">
        <v>664</v>
      </c>
      <c r="D44" s="556"/>
      <c r="E44" s="556"/>
      <c r="F44" s="556"/>
      <c r="G44" s="556"/>
      <c r="H44" s="278"/>
      <c r="I44" s="214"/>
      <c r="J44" s="541"/>
      <c r="K44" s="284"/>
      <c r="L44" s="284"/>
      <c r="M44" s="284"/>
    </row>
    <row r="45" spans="1:13" ht="15.5">
      <c r="A45" s="85"/>
      <c r="C45" s="556"/>
      <c r="D45" s="556"/>
      <c r="E45" s="556"/>
      <c r="F45" s="556"/>
      <c r="G45" s="556"/>
      <c r="H45" s="207"/>
      <c r="I45" s="276"/>
      <c r="J45" s="276"/>
      <c r="K45" s="276"/>
      <c r="L45" s="284"/>
      <c r="M45" s="284"/>
    </row>
    <row r="46" spans="1:13" ht="15.5">
      <c r="A46" s="85"/>
      <c r="B46" s="542" t="s">
        <v>665</v>
      </c>
      <c r="C46" s="556"/>
      <c r="D46" s="556"/>
      <c r="E46" s="90" t="s">
        <v>653</v>
      </c>
      <c r="F46" s="90" t="s">
        <v>666</v>
      </c>
      <c r="G46" s="556"/>
      <c r="H46" s="207"/>
      <c r="I46" s="276"/>
      <c r="J46" s="276"/>
      <c r="K46" s="276"/>
      <c r="L46" s="284"/>
      <c r="M46" s="284"/>
    </row>
    <row r="47" spans="1:13" ht="20">
      <c r="A47" s="85"/>
      <c r="B47" s="277"/>
      <c r="C47" s="90"/>
      <c r="D47" s="556"/>
      <c r="E47" s="90" t="s">
        <v>667</v>
      </c>
      <c r="F47" s="90" t="s">
        <v>667</v>
      </c>
      <c r="H47" s="60"/>
      <c r="I47" s="207"/>
      <c r="J47" s="30"/>
      <c r="K47" s="543"/>
      <c r="L47" s="284"/>
      <c r="M47" s="284"/>
    </row>
    <row r="48" spans="1:13" ht="18.5">
      <c r="A48" s="85"/>
      <c r="B48" s="823" t="s">
        <v>374</v>
      </c>
      <c r="C48" s="617" t="s">
        <v>319</v>
      </c>
      <c r="D48" s="556"/>
      <c r="E48" s="617" t="s">
        <v>655</v>
      </c>
      <c r="F48" s="617" t="s">
        <v>655</v>
      </c>
      <c r="H48" s="221"/>
      <c r="I48" s="541"/>
      <c r="J48" s="545"/>
      <c r="K48" s="543"/>
      <c r="L48" s="284"/>
      <c r="M48" s="284"/>
    </row>
    <row r="49" spans="1:12" ht="15.5">
      <c r="A49" s="85">
        <f>+A41+1</f>
        <v>7</v>
      </c>
      <c r="B49" s="261" t="s">
        <v>338</v>
      </c>
      <c r="C49" s="90" t="s">
        <v>668</v>
      </c>
      <c r="D49" s="556"/>
      <c r="E49" s="546">
        <v>0</v>
      </c>
      <c r="F49" s="546">
        <v>0</v>
      </c>
      <c r="G49" s="542"/>
      <c r="H49" s="560"/>
      <c r="I49" s="566"/>
      <c r="J49" s="567"/>
      <c r="K49" s="543"/>
      <c r="L49" s="284"/>
    </row>
    <row r="50" spans="1:11" ht="15.5">
      <c r="A50" s="85">
        <f>+A49+1</f>
        <v>8</v>
      </c>
      <c r="B50" s="261" t="s">
        <v>339</v>
      </c>
      <c r="C50" s="90" t="s">
        <v>668</v>
      </c>
      <c r="D50" s="556"/>
      <c r="E50" s="546">
        <v>0</v>
      </c>
      <c r="F50" s="546">
        <v>0</v>
      </c>
      <c r="G50" s="544"/>
      <c r="H50" s="90"/>
      <c r="I50" s="556"/>
      <c r="J50" s="560"/>
      <c r="K50" s="547"/>
    </row>
    <row r="51" spans="1:11" ht="15.5">
      <c r="A51" s="85">
        <f t="shared" si="1" ref="A51:A72">+A50+1</f>
        <v>9</v>
      </c>
      <c r="B51" s="261" t="s">
        <v>340</v>
      </c>
      <c r="C51" s="90" t="s">
        <v>668</v>
      </c>
      <c r="D51" s="556"/>
      <c r="E51" s="546">
        <v>0</v>
      </c>
      <c r="F51" s="546">
        <v>0</v>
      </c>
      <c r="G51" s="556"/>
      <c r="H51" s="90"/>
      <c r="I51" s="556"/>
      <c r="J51" s="90"/>
      <c r="K51" s="547"/>
    </row>
    <row r="52" spans="1:11" ht="15.5">
      <c r="A52" s="85">
        <f>+A51+1</f>
        <v>10</v>
      </c>
      <c r="B52" s="261" t="s">
        <v>341</v>
      </c>
      <c r="C52" s="90" t="s">
        <v>668</v>
      </c>
      <c r="D52" s="556"/>
      <c r="E52" s="546">
        <v>0</v>
      </c>
      <c r="F52" s="546">
        <v>0</v>
      </c>
      <c r="G52" s="556"/>
      <c r="H52" s="90"/>
      <c r="I52" s="556"/>
      <c r="J52" s="90"/>
      <c r="K52" s="547"/>
    </row>
    <row r="53" spans="1:11" ht="15.5">
      <c r="A53" s="85">
        <f>+A52+1</f>
        <v>11</v>
      </c>
      <c r="B53" s="261" t="s">
        <v>342</v>
      </c>
      <c r="C53" s="90" t="s">
        <v>668</v>
      </c>
      <c r="D53" s="556"/>
      <c r="E53" s="546">
        <v>0</v>
      </c>
      <c r="F53" s="546">
        <v>0</v>
      </c>
      <c r="G53" s="556"/>
      <c r="H53" s="560"/>
      <c r="I53" s="556"/>
      <c r="J53" s="90"/>
      <c r="K53" s="547"/>
    </row>
    <row r="54" spans="1:11" ht="15.5">
      <c r="A54" s="85">
        <f>+A53+1</f>
        <v>12</v>
      </c>
      <c r="B54" s="261" t="s">
        <v>343</v>
      </c>
      <c r="C54" s="90" t="s">
        <v>668</v>
      </c>
      <c r="D54" s="556"/>
      <c r="E54" s="546">
        <v>0</v>
      </c>
      <c r="F54" s="546">
        <v>0</v>
      </c>
      <c r="G54" s="556"/>
      <c r="H54" s="90"/>
      <c r="I54" s="556"/>
      <c r="J54" s="90"/>
      <c r="K54" s="547"/>
    </row>
    <row r="55" spans="1:11" ht="15.5">
      <c r="A55" s="85">
        <f>+A54+1</f>
        <v>13</v>
      </c>
      <c r="B55" s="261" t="s">
        <v>332</v>
      </c>
      <c r="C55" s="90" t="s">
        <v>669</v>
      </c>
      <c r="D55" s="556"/>
      <c r="E55" s="546">
        <v>0</v>
      </c>
      <c r="F55" s="546">
        <v>0</v>
      </c>
      <c r="G55" s="556"/>
      <c r="H55" s="90"/>
      <c r="I55" s="556"/>
      <c r="J55" s="90"/>
      <c r="K55" s="547"/>
    </row>
    <row r="56" spans="1:11" ht="15.5">
      <c r="A56" s="85">
        <f>+A55+1</f>
        <v>14</v>
      </c>
      <c r="B56" s="261" t="s">
        <v>333</v>
      </c>
      <c r="C56" s="90" t="s">
        <v>669</v>
      </c>
      <c r="D56" s="556"/>
      <c r="E56" s="546">
        <v>0</v>
      </c>
      <c r="F56" s="546">
        <v>0</v>
      </c>
      <c r="G56" s="556"/>
      <c r="H56" s="90"/>
      <c r="I56" s="556"/>
      <c r="J56" s="90"/>
      <c r="K56" s="547"/>
    </row>
    <row r="57" spans="1:11" ht="15.5">
      <c r="A57" s="85">
        <f>+A56+1</f>
        <v>15</v>
      </c>
      <c r="B57" s="261" t="s">
        <v>334</v>
      </c>
      <c r="C57" s="90" t="s">
        <v>669</v>
      </c>
      <c r="D57" s="556"/>
      <c r="E57" s="546">
        <v>0</v>
      </c>
      <c r="F57" s="546">
        <v>0</v>
      </c>
      <c r="G57" s="556"/>
      <c r="H57" s="90"/>
      <c r="I57" s="556"/>
      <c r="J57" s="90"/>
      <c r="K57" s="547"/>
    </row>
    <row r="58" spans="1:11" ht="15.5">
      <c r="A58" s="85">
        <f>+A57+1</f>
        <v>16</v>
      </c>
      <c r="B58" s="261" t="s">
        <v>335</v>
      </c>
      <c r="C58" s="90" t="s">
        <v>669</v>
      </c>
      <c r="D58" s="556"/>
      <c r="E58" s="546">
        <v>0</v>
      </c>
      <c r="F58" s="546">
        <v>0</v>
      </c>
      <c r="G58" s="556"/>
      <c r="H58" s="90"/>
      <c r="I58" s="556"/>
      <c r="J58" s="90"/>
      <c r="K58" s="547"/>
    </row>
    <row r="59" spans="1:11" ht="15.5">
      <c r="A59" s="85">
        <f>+A58+1</f>
        <v>17</v>
      </c>
      <c r="B59" s="261" t="s">
        <v>336</v>
      </c>
      <c r="C59" s="90" t="s">
        <v>669</v>
      </c>
      <c r="D59" s="556"/>
      <c r="E59" s="546">
        <v>0</v>
      </c>
      <c r="F59" s="546">
        <v>0</v>
      </c>
      <c r="G59" s="556"/>
      <c r="H59" s="90"/>
      <c r="I59" s="556"/>
      <c r="J59" s="90"/>
      <c r="K59" s="547"/>
    </row>
    <row r="60" spans="1:11" ht="15.5">
      <c r="A60" s="85">
        <f>+A59+1</f>
        <v>18</v>
      </c>
      <c r="B60" s="261" t="s">
        <v>337</v>
      </c>
      <c r="C60" s="90" t="s">
        <v>669</v>
      </c>
      <c r="D60" s="556"/>
      <c r="E60" s="546">
        <v>0</v>
      </c>
      <c r="F60" s="546">
        <v>0</v>
      </c>
      <c r="G60" s="556"/>
      <c r="H60" s="90"/>
      <c r="I60" s="556"/>
      <c r="J60" s="90"/>
      <c r="K60" s="547"/>
    </row>
    <row r="61" spans="1:11" ht="15.5">
      <c r="A61" s="85">
        <f>+A60+1</f>
        <v>19</v>
      </c>
      <c r="B61" s="261" t="s">
        <v>338</v>
      </c>
      <c r="C61" s="90" t="s">
        <v>669</v>
      </c>
      <c r="D61" s="556"/>
      <c r="E61" s="546">
        <v>0</v>
      </c>
      <c r="F61" s="546">
        <v>0</v>
      </c>
      <c r="G61" s="556"/>
      <c r="H61" s="90"/>
      <c r="I61" s="556"/>
      <c r="J61" s="90"/>
      <c r="K61" s="547"/>
    </row>
    <row r="62" spans="1:11" ht="15.5">
      <c r="A62" s="85">
        <f>+A61+1</f>
        <v>20</v>
      </c>
      <c r="B62" s="261" t="s">
        <v>339</v>
      </c>
      <c r="C62" s="90" t="s">
        <v>669</v>
      </c>
      <c r="D62" s="556"/>
      <c r="E62" s="546">
        <v>0</v>
      </c>
      <c r="F62" s="546">
        <v>0</v>
      </c>
      <c r="G62" s="556"/>
      <c r="H62" s="90"/>
      <c r="I62" s="556"/>
      <c r="J62" s="90"/>
      <c r="K62" s="547"/>
    </row>
    <row r="63" spans="1:11" ht="15.5">
      <c r="A63" s="85">
        <f>+A62+1</f>
        <v>21</v>
      </c>
      <c r="B63" s="261" t="s">
        <v>340</v>
      </c>
      <c r="C63" s="90" t="s">
        <v>669</v>
      </c>
      <c r="D63" s="556"/>
      <c r="E63" s="546">
        <v>0</v>
      </c>
      <c r="F63" s="546">
        <v>0</v>
      </c>
      <c r="G63" s="556"/>
      <c r="H63" s="90"/>
      <c r="I63" s="556"/>
      <c r="J63" s="90"/>
      <c r="K63" s="547"/>
    </row>
    <row r="64" spans="1:11" ht="15.5">
      <c r="A64" s="85">
        <f>+A63+1</f>
        <v>22</v>
      </c>
      <c r="B64" s="824" t="s">
        <v>341</v>
      </c>
      <c r="C64" s="90" t="s">
        <v>669</v>
      </c>
      <c r="D64" s="89"/>
      <c r="E64" s="546">
        <v>0</v>
      </c>
      <c r="F64" s="546">
        <v>0</v>
      </c>
      <c r="G64" s="556"/>
      <c r="H64" s="90"/>
      <c r="I64" s="556"/>
      <c r="J64" s="90"/>
      <c r="K64" s="547"/>
    </row>
    <row r="65" spans="1:11" ht="15.5">
      <c r="A65" s="85">
        <f>+A64+1</f>
        <v>23</v>
      </c>
      <c r="B65" s="261" t="s">
        <v>342</v>
      </c>
      <c r="C65" s="90" t="s">
        <v>669</v>
      </c>
      <c r="D65" s="556"/>
      <c r="E65" s="546">
        <v>0</v>
      </c>
      <c r="F65" s="546">
        <v>0</v>
      </c>
      <c r="G65" s="556"/>
      <c r="H65" s="90"/>
      <c r="I65" s="556"/>
      <c r="J65" s="90"/>
      <c r="K65" s="547"/>
    </row>
    <row r="66" spans="1:11" ht="15.5">
      <c r="A66" s="85">
        <f>+A65+1</f>
        <v>24</v>
      </c>
      <c r="B66" s="261" t="s">
        <v>343</v>
      </c>
      <c r="C66" s="90" t="s">
        <v>669</v>
      </c>
      <c r="D66" s="556"/>
      <c r="E66" s="546">
        <v>0</v>
      </c>
      <c r="F66" s="546">
        <v>0</v>
      </c>
      <c r="G66" s="556"/>
      <c r="H66" s="90"/>
      <c r="I66" s="556"/>
      <c r="J66" s="90"/>
      <c r="K66" s="547"/>
    </row>
    <row r="67" spans="1:11" ht="15.5">
      <c r="A67" s="85">
        <f>+A66+1</f>
        <v>25</v>
      </c>
      <c r="B67" s="261" t="s">
        <v>332</v>
      </c>
      <c r="C67" s="90" t="s">
        <v>670</v>
      </c>
      <c r="D67" s="556"/>
      <c r="E67" s="546">
        <v>0</v>
      </c>
      <c r="F67" s="546">
        <v>0</v>
      </c>
      <c r="G67" s="556"/>
      <c r="H67" s="90"/>
      <c r="I67" s="556"/>
      <c r="J67" s="90"/>
      <c r="K67" s="547"/>
    </row>
    <row r="68" spans="1:10" ht="15.5">
      <c r="A68" s="85">
        <f>+A67+1</f>
        <v>26</v>
      </c>
      <c r="B68" s="261" t="s">
        <v>333</v>
      </c>
      <c r="C68" s="90" t="s">
        <v>670</v>
      </c>
      <c r="D68" s="556"/>
      <c r="E68" s="546">
        <v>0</v>
      </c>
      <c r="F68" s="546">
        <v>0</v>
      </c>
      <c r="G68" s="556"/>
      <c r="H68" s="90"/>
      <c r="I68" s="556"/>
      <c r="J68" s="90"/>
    </row>
    <row r="69" spans="1:10" ht="15.5">
      <c r="A69" s="85">
        <f>+A68+1</f>
        <v>27</v>
      </c>
      <c r="B69" s="261" t="s">
        <v>334</v>
      </c>
      <c r="C69" s="90" t="s">
        <v>670</v>
      </c>
      <c r="D69" s="556"/>
      <c r="E69" s="546">
        <v>0</v>
      </c>
      <c r="F69" s="546">
        <v>0</v>
      </c>
      <c r="G69" s="556"/>
      <c r="H69" s="90"/>
      <c r="I69" s="556"/>
      <c r="J69" s="90"/>
    </row>
    <row r="70" spans="1:10" ht="15.5">
      <c r="A70" s="85">
        <f>+A69+1</f>
        <v>28</v>
      </c>
      <c r="B70" s="261" t="s">
        <v>335</v>
      </c>
      <c r="C70" s="90" t="s">
        <v>670</v>
      </c>
      <c r="D70" s="556"/>
      <c r="E70" s="546">
        <v>0</v>
      </c>
      <c r="F70" s="546">
        <v>0</v>
      </c>
      <c r="G70" s="556"/>
      <c r="H70" s="90"/>
      <c r="I70" s="556"/>
      <c r="J70" s="90"/>
    </row>
    <row r="71" spans="1:10" ht="15.5">
      <c r="A71" s="85">
        <f>+A70+1</f>
        <v>29</v>
      </c>
      <c r="B71" s="261" t="s">
        <v>336</v>
      </c>
      <c r="C71" s="90" t="s">
        <v>670</v>
      </c>
      <c r="D71" s="556"/>
      <c r="E71" s="546">
        <v>0</v>
      </c>
      <c r="F71" s="546">
        <v>0</v>
      </c>
      <c r="G71" s="556"/>
      <c r="H71" s="90"/>
      <c r="I71" s="556"/>
      <c r="J71" s="90"/>
    </row>
    <row r="72" spans="1:10" ht="15.5">
      <c r="A72" s="85">
        <f>+A71+1</f>
        <v>30</v>
      </c>
      <c r="B72" s="261" t="s">
        <v>337</v>
      </c>
      <c r="C72" s="90" t="s">
        <v>670</v>
      </c>
      <c r="D72" s="556"/>
      <c r="E72" s="546">
        <v>0</v>
      </c>
      <c r="F72" s="546">
        <v>0</v>
      </c>
      <c r="G72" s="89"/>
      <c r="H72" s="89"/>
      <c r="I72" s="89"/>
      <c r="J72" s="548"/>
    </row>
    <row r="73" spans="1:2" ht="12.5">
      <c r="A73" s="85"/>
      <c r="B73" s="825"/>
    </row>
    <row r="74" spans="1:6" ht="15.5">
      <c r="A74" s="85">
        <f>+A72+1</f>
        <v>31</v>
      </c>
      <c r="B74" s="261" t="s">
        <v>464</v>
      </c>
      <c r="E74" s="616">
        <f>+SUM(E49:E72)/24</f>
        <v>0</v>
      </c>
      <c r="F74" s="616">
        <f>+SUM(F49:F72)/24</f>
        <v>0</v>
      </c>
    </row>
  </sheetData>
  <mergeCells count="5">
    <mergeCell ref="B2:J2"/>
    <mergeCell ref="K2:L2"/>
    <mergeCell ref="B4:J4"/>
    <mergeCell ref="K4:L4"/>
    <mergeCell ref="B3:J3"/>
  </mergeCells>
  <printOptions horizontalCentered="1"/>
  <pageMargins left="0.75" right="0.75" top="1" bottom="1" header="0.5" footer="0.5"/>
  <pageSetup orientation="portrait" scale="41" r:id="rId1"/>
  <headerFooter alignWithMargins="0">
    <oddFooter>&amp;L&amp;P</oddFooter>
  </headerFooter>
  <customProperties>
    <customPr name="EpmWorksheetKeyString_GUID" r:id="rId2"/>
    <customPr name="_pios_id" r:id="rId3"/>
  </customPropertie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2:M74"/>
  <sheetViews>
    <sheetView showGridLines="0" zoomScale="75" zoomScaleNormal="75" workbookViewId="0" topLeftCell="A1"/>
  </sheetViews>
  <sheetFormatPr defaultColWidth="9.27428571428571" defaultRowHeight="12.75"/>
  <cols>
    <col min="1" max="1" width="5.14285714285714" style="277" customWidth="1"/>
    <col min="2" max="2" width="14.1428571428571" style="85" customWidth="1"/>
    <col min="3" max="3" width="45.8571428571429" style="277" customWidth="1"/>
    <col min="4" max="4" width="16.7142857142857" style="277" customWidth="1"/>
    <col min="5" max="5" width="17.7142857142857" style="277" customWidth="1"/>
    <col min="6" max="6" width="15.1428571428571" style="277" customWidth="1"/>
    <col min="7" max="7" width="34.4285714285714" style="277" customWidth="1"/>
    <col min="8" max="8" width="19.4285714285714" style="277" customWidth="1"/>
    <col min="9" max="9" width="14.2857142857143" style="277" bestFit="1" customWidth="1"/>
    <col min="10" max="10" width="15.4285714285714" style="277" customWidth="1"/>
    <col min="11" max="11" width="19.2857142857143" style="277" customWidth="1"/>
    <col min="12" max="12" width="9.28571428571429" style="277"/>
    <col min="13" max="13" width="10.2857142857143" style="277" customWidth="1"/>
    <col min="14" max="16384" width="9.28571428571429" style="277"/>
  </cols>
  <sheetData>
    <row r="2" spans="2:12" ht="18">
      <c r="B2" s="1152" t="str">
        <f>+'Appendix A'!A3</f>
        <v>Dayton Power and Light</v>
      </c>
      <c r="C2" s="1152"/>
      <c r="D2" s="1152"/>
      <c r="E2" s="1152"/>
      <c r="F2" s="1152"/>
      <c r="G2" s="1152"/>
      <c r="H2" s="1152"/>
      <c r="I2" s="1152"/>
      <c r="J2" s="1152"/>
      <c r="K2" s="1152"/>
      <c r="L2" s="1152"/>
    </row>
    <row r="3" spans="2:12" ht="18">
      <c r="B3" s="1152" t="str">
        <f>+'Appendix A'!A4</f>
        <v xml:space="preserve">ATTACHMENT H-15A </v>
      </c>
      <c r="C3" s="1152"/>
      <c r="D3" s="1152"/>
      <c r="E3" s="1152"/>
      <c r="F3" s="1152"/>
      <c r="G3" s="1152"/>
      <c r="H3" s="1152"/>
      <c r="I3" s="1152"/>
      <c r="J3" s="1152"/>
      <c r="K3" s="925"/>
      <c r="L3" s="1019"/>
    </row>
    <row r="4" spans="2:12" ht="18">
      <c r="B4" s="1152" t="s">
        <v>671</v>
      </c>
      <c r="C4" s="1152"/>
      <c r="D4" s="1152"/>
      <c r="E4" s="1152"/>
      <c r="F4" s="1152"/>
      <c r="G4" s="1152"/>
      <c r="H4" s="1152"/>
      <c r="I4" s="1152"/>
      <c r="J4" s="1152"/>
      <c r="K4" s="1152"/>
      <c r="L4" s="1152"/>
    </row>
    <row r="5" spans="2:12" ht="15.5">
      <c r="B5" s="281"/>
      <c r="C5" s="281"/>
      <c r="D5" s="281"/>
      <c r="E5" s="281"/>
      <c r="F5" s="281"/>
      <c r="G5" s="281"/>
      <c r="H5" s="281"/>
      <c r="I5" s="281"/>
      <c r="J5" s="281"/>
      <c r="K5" s="281"/>
      <c r="L5" s="281"/>
    </row>
    <row r="6" spans="2:13" ht="15.5">
      <c r="B6" s="216" t="s">
        <v>370</v>
      </c>
      <c r="C6" s="556"/>
      <c r="D6" s="556"/>
      <c r="E6" s="556"/>
      <c r="F6" s="556"/>
      <c r="G6" s="556"/>
      <c r="H6" s="89"/>
      <c r="I6" s="89"/>
      <c r="J6" s="534"/>
      <c r="K6" s="534"/>
      <c r="L6" s="534"/>
      <c r="M6" s="534"/>
    </row>
    <row r="7" spans="2:13" ht="15.5">
      <c r="B7" s="261" t="s">
        <v>672</v>
      </c>
      <c r="C7" s="556"/>
      <c r="E7" s="556"/>
      <c r="F7" s="556"/>
      <c r="G7" s="556"/>
      <c r="H7" s="556"/>
      <c r="I7" s="556"/>
      <c r="J7" s="534"/>
      <c r="K7" s="534"/>
      <c r="L7" s="534"/>
      <c r="M7" s="534"/>
    </row>
    <row r="8" spans="2:12" ht="15.5">
      <c r="B8" s="90"/>
      <c r="C8" s="556"/>
      <c r="E8" s="556"/>
      <c r="F8" s="556"/>
      <c r="G8" s="556"/>
      <c r="H8" s="556"/>
      <c r="I8" s="556"/>
      <c r="J8" s="556"/>
      <c r="K8" s="556"/>
      <c r="L8" s="556"/>
    </row>
    <row r="9" spans="2:12" ht="15.5">
      <c r="B9" s="90" t="s">
        <v>309</v>
      </c>
      <c r="C9" s="556" t="s">
        <v>631</v>
      </c>
      <c r="E9" s="556"/>
      <c r="F9" s="556"/>
      <c r="G9" s="556"/>
      <c r="H9" s="556"/>
      <c r="I9" s="556"/>
      <c r="J9" s="556"/>
      <c r="K9" s="556"/>
      <c r="L9" s="556"/>
    </row>
    <row r="10" spans="2:12" ht="15.5">
      <c r="B10" s="90"/>
      <c r="C10" s="556" t="s">
        <v>632</v>
      </c>
      <c r="E10" s="556"/>
      <c r="F10" s="556"/>
      <c r="G10" s="556"/>
      <c r="H10" s="556"/>
      <c r="I10" s="556"/>
      <c r="J10" s="556"/>
      <c r="K10" s="556"/>
      <c r="L10" s="556"/>
    </row>
    <row r="11" spans="2:12" ht="15.5">
      <c r="B11" s="90"/>
      <c r="C11" s="556" t="s">
        <v>633</v>
      </c>
      <c r="E11" s="556"/>
      <c r="F11" s="556"/>
      <c r="G11" s="556"/>
      <c r="H11" s="535"/>
      <c r="J11" s="556"/>
      <c r="K11" s="556"/>
      <c r="L11" s="556"/>
    </row>
    <row r="12" spans="2:12" ht="15.5">
      <c r="B12" s="90"/>
      <c r="E12" s="556"/>
      <c r="F12" s="556"/>
      <c r="G12" s="556"/>
      <c r="H12" s="535"/>
      <c r="J12" s="556"/>
      <c r="K12" s="556"/>
      <c r="L12" s="556"/>
    </row>
    <row r="13" spans="2:12" ht="15.5">
      <c r="B13" s="90" t="s">
        <v>634</v>
      </c>
      <c r="C13" s="556" t="s">
        <v>635</v>
      </c>
      <c r="E13" s="556"/>
      <c r="F13" s="556"/>
      <c r="G13" s="556"/>
      <c r="H13" s="535"/>
      <c r="J13" s="556"/>
      <c r="K13" s="556"/>
      <c r="L13" s="556"/>
    </row>
    <row r="14" spans="2:12" ht="15.5">
      <c r="B14" s="90"/>
      <c r="C14" s="556" t="s">
        <v>636</v>
      </c>
      <c r="E14" s="556"/>
      <c r="F14" s="556"/>
      <c r="G14" s="556"/>
      <c r="H14" s="556"/>
      <c r="I14" s="556"/>
      <c r="J14" s="556"/>
      <c r="K14" s="556"/>
      <c r="L14" s="556"/>
    </row>
    <row r="15" spans="2:12" ht="15.5">
      <c r="B15" s="90"/>
      <c r="C15" s="556"/>
      <c r="E15" s="556"/>
      <c r="F15" s="556"/>
      <c r="G15" s="556"/>
      <c r="H15" s="556"/>
      <c r="I15" s="556"/>
      <c r="J15" s="556"/>
      <c r="K15" s="556"/>
      <c r="L15" s="556"/>
    </row>
    <row r="16" spans="2:12" ht="15.5">
      <c r="B16" s="90" t="s">
        <v>637</v>
      </c>
      <c r="C16" s="556" t="s">
        <v>638</v>
      </c>
      <c r="E16" s="556"/>
      <c r="F16" s="556"/>
      <c r="G16" s="556"/>
      <c r="H16" s="556"/>
      <c r="I16" s="556"/>
      <c r="J16" s="556"/>
      <c r="K16" s="556"/>
      <c r="L16" s="556"/>
    </row>
    <row r="17" spans="2:12" ht="15.5">
      <c r="B17" s="90"/>
      <c r="C17" s="556" t="s">
        <v>639</v>
      </c>
      <c r="E17" s="556"/>
      <c r="F17" s="556"/>
      <c r="G17" s="556"/>
      <c r="H17" s="556"/>
      <c r="I17" s="556"/>
      <c r="J17" s="556"/>
      <c r="K17" s="556"/>
      <c r="L17" s="556"/>
    </row>
    <row r="18" spans="7:12" ht="15.5">
      <c r="G18" s="556"/>
      <c r="H18" s="556"/>
      <c r="I18" s="556"/>
      <c r="J18" s="556"/>
      <c r="K18" s="556"/>
      <c r="L18" s="556"/>
    </row>
    <row r="19" spans="2:12" ht="15.5">
      <c r="B19" s="90" t="s">
        <v>1016</v>
      </c>
      <c r="C19" s="556" t="s">
        <v>640</v>
      </c>
      <c r="D19" s="556"/>
      <c r="F19" s="556"/>
      <c r="G19" s="556"/>
      <c r="H19" s="556"/>
      <c r="I19" s="556"/>
      <c r="J19" s="556"/>
      <c r="L19" s="556"/>
    </row>
    <row r="20" spans="4:12" ht="15.5">
      <c r="D20" s="556"/>
      <c r="F20" s="556"/>
      <c r="G20" s="556"/>
      <c r="H20" s="556"/>
      <c r="I20" s="556"/>
      <c r="J20" s="556"/>
      <c r="K20" s="536"/>
      <c r="L20" s="556"/>
    </row>
    <row r="21" spans="3:12" ht="15.5">
      <c r="C21" s="556" t="s">
        <v>641</v>
      </c>
      <c r="D21" s="90" t="s">
        <v>642</v>
      </c>
      <c r="E21" s="556" t="s">
        <v>643</v>
      </c>
      <c r="F21" s="556"/>
      <c r="G21" s="556"/>
      <c r="H21" s="556"/>
      <c r="I21" s="556"/>
      <c r="J21" s="556"/>
      <c r="K21" s="556"/>
      <c r="L21" s="556"/>
    </row>
    <row r="22" spans="5:12" ht="15.5">
      <c r="E22" s="556" t="s">
        <v>644</v>
      </c>
      <c r="F22" s="556"/>
      <c r="G22" s="556"/>
      <c r="H22" s="556"/>
      <c r="I22" s="556"/>
      <c r="J22" s="556"/>
      <c r="K22" s="556"/>
      <c r="L22" s="556"/>
    </row>
    <row r="23" spans="5:12" ht="15.5">
      <c r="E23" s="556" t="s">
        <v>645</v>
      </c>
      <c r="F23" s="556"/>
      <c r="G23" s="556"/>
      <c r="H23" s="556"/>
      <c r="I23" s="556"/>
      <c r="J23" s="556"/>
      <c r="K23" s="537"/>
      <c r="L23" s="556"/>
    </row>
    <row r="24" spans="5:12" ht="15.5">
      <c r="E24" s="556"/>
      <c r="I24" s="556"/>
      <c r="J24" s="556"/>
      <c r="K24" s="556"/>
      <c r="L24" s="556"/>
    </row>
    <row r="25" spans="3:12" ht="15.5">
      <c r="C25" s="556"/>
      <c r="H25" s="556"/>
      <c r="I25" s="556"/>
      <c r="J25" s="556"/>
      <c r="K25" s="556"/>
      <c r="L25" s="556"/>
    </row>
    <row r="26" spans="2:9" ht="17">
      <c r="B26" s="538"/>
      <c r="C26" s="556" t="s">
        <v>646</v>
      </c>
      <c r="F26" s="556"/>
      <c r="G26" s="556"/>
      <c r="H26" s="556"/>
      <c r="I26" s="556"/>
    </row>
    <row r="27" spans="2:9" ht="17">
      <c r="B27" s="539"/>
      <c r="C27" s="556" t="s">
        <v>647</v>
      </c>
      <c r="F27" s="556"/>
      <c r="G27" s="556"/>
      <c r="I27" s="556"/>
    </row>
    <row r="28" spans="2:7" ht="15.5">
      <c r="B28" s="90"/>
      <c r="C28" s="556" t="s">
        <v>648</v>
      </c>
      <c r="F28" s="556"/>
      <c r="G28" s="556"/>
    </row>
    <row r="29" spans="2:13" ht="15.5">
      <c r="B29" s="90"/>
      <c r="C29" s="556" t="s">
        <v>649</v>
      </c>
      <c r="F29" s="556"/>
      <c r="G29" s="556"/>
      <c r="M29" s="86"/>
    </row>
    <row r="30" spans="2:3" ht="15.5">
      <c r="B30" s="90"/>
      <c r="C30" s="556" t="s">
        <v>650</v>
      </c>
    </row>
    <row r="31" spans="2:8" ht="15.5">
      <c r="B31" s="90"/>
      <c r="C31" s="556" t="s">
        <v>651</v>
      </c>
      <c r="H31" s="556"/>
    </row>
    <row r="32" spans="2:2" ht="15.5">
      <c r="B32" s="90"/>
    </row>
    <row r="33" spans="8:11" ht="15.5">
      <c r="H33" s="556"/>
      <c r="I33" s="556"/>
      <c r="J33" s="556"/>
      <c r="K33" s="556"/>
    </row>
    <row r="34" spans="3:13" ht="15.5">
      <c r="C34" s="556"/>
      <c r="D34" s="90"/>
      <c r="E34" s="89"/>
      <c r="F34" s="556"/>
      <c r="G34" s="556"/>
      <c r="I34" s="203" t="s">
        <v>653</v>
      </c>
      <c r="J34" s="203" t="s">
        <v>654</v>
      </c>
      <c r="K34" s="284"/>
      <c r="L34" s="284"/>
      <c r="M34" s="284"/>
    </row>
    <row r="35" spans="1:13" ht="15.5">
      <c r="A35" s="826" t="s">
        <v>673</v>
      </c>
      <c r="C35" s="556"/>
      <c r="D35" s="90"/>
      <c r="E35" s="556"/>
      <c r="F35" s="556"/>
      <c r="G35" s="556"/>
      <c r="I35" s="688" t="s">
        <v>655</v>
      </c>
      <c r="J35" s="688" t="s">
        <v>655</v>
      </c>
      <c r="K35" s="690" t="s">
        <v>656</v>
      </c>
      <c r="L35" s="284"/>
      <c r="M35" s="284"/>
    </row>
    <row r="36" spans="1:13" ht="15.5">
      <c r="A36" s="277">
        <v>1</v>
      </c>
      <c r="B36" s="85" t="s">
        <v>195</v>
      </c>
      <c r="C36" s="556" t="s">
        <v>674</v>
      </c>
      <c r="D36" s="90"/>
      <c r="E36" s="556"/>
      <c r="F36" s="556"/>
      <c r="G36" s="556"/>
      <c r="I36" s="854">
        <v>0</v>
      </c>
      <c r="J36" s="48"/>
      <c r="K36" s="89"/>
      <c r="L36" s="284"/>
      <c r="M36" s="283"/>
    </row>
    <row r="37" spans="1:13" ht="15.5">
      <c r="A37" s="277">
        <f>+A36+1</f>
        <v>2</v>
      </c>
      <c r="B37" s="85" t="s">
        <v>197</v>
      </c>
      <c r="C37" s="687" t="s">
        <v>675</v>
      </c>
      <c r="D37" s="90"/>
      <c r="E37" s="556"/>
      <c r="F37" s="556"/>
      <c r="G37" s="556"/>
      <c r="I37" s="908">
        <v>0</v>
      </c>
      <c r="J37" s="689"/>
      <c r="K37" s="89"/>
      <c r="L37" s="284"/>
      <c r="M37" s="86"/>
    </row>
    <row r="38" spans="1:11" ht="15.5">
      <c r="A38" s="277">
        <f t="shared" si="0" ref="A38:A40">+A37+1</f>
        <v>3</v>
      </c>
      <c r="B38" s="85" t="s">
        <v>198</v>
      </c>
      <c r="C38" s="556" t="s">
        <v>659</v>
      </c>
      <c r="D38" s="90"/>
      <c r="E38" s="556"/>
      <c r="F38" s="556"/>
      <c r="G38" s="556"/>
      <c r="I38" s="540">
        <f>+I36-I37</f>
        <v>0</v>
      </c>
      <c r="J38" s="540">
        <f>+I38</f>
        <v>0</v>
      </c>
      <c r="K38" s="556"/>
    </row>
    <row r="39" spans="1:11" ht="15.5">
      <c r="A39" s="277">
        <f>+A38+1</f>
        <v>4</v>
      </c>
      <c r="B39" s="85" t="s">
        <v>199</v>
      </c>
      <c r="C39" s="556" t="s">
        <v>660</v>
      </c>
      <c r="D39" s="90"/>
      <c r="E39" s="556"/>
      <c r="F39" s="556"/>
      <c r="G39" s="556"/>
      <c r="I39" s="909">
        <f>(1+E74)^24</f>
        <v>1</v>
      </c>
      <c r="J39" s="909">
        <f>(1+F74)^24</f>
        <v>1</v>
      </c>
      <c r="K39" s="556"/>
    </row>
    <row r="40" spans="1:11" ht="15.5">
      <c r="A40" s="277">
        <f>+A39+1</f>
        <v>5</v>
      </c>
      <c r="B40" s="85" t="s">
        <v>201</v>
      </c>
      <c r="C40" s="556" t="s">
        <v>661</v>
      </c>
      <c r="D40" s="90"/>
      <c r="E40" s="556"/>
      <c r="F40" s="556"/>
      <c r="G40" s="556"/>
      <c r="I40" s="540">
        <f>+I38*I39</f>
        <v>0</v>
      </c>
      <c r="J40" s="540">
        <f>+J38*J39</f>
        <v>0</v>
      </c>
      <c r="K40" s="540">
        <f>+J40-I40</f>
        <v>0</v>
      </c>
    </row>
    <row r="41" spans="1:11" ht="15.5">
      <c r="A41" s="277">
        <f>+A40+1</f>
        <v>6</v>
      </c>
      <c r="B41" s="85" t="s">
        <v>203</v>
      </c>
      <c r="C41" s="556" t="s">
        <v>662</v>
      </c>
      <c r="D41" s="90"/>
      <c r="E41" s="556"/>
      <c r="F41" s="556"/>
      <c r="G41" s="556"/>
      <c r="H41" s="540"/>
      <c r="I41" s="924">
        <f>+I40+K40</f>
        <v>0</v>
      </c>
      <c r="J41" s="556"/>
      <c r="K41" s="556"/>
    </row>
    <row r="42" spans="3:11" ht="15.5">
      <c r="C42" s="556"/>
      <c r="D42" s="90"/>
      <c r="E42" s="556"/>
      <c r="F42" s="556"/>
      <c r="G42" s="556"/>
      <c r="H42" s="556"/>
      <c r="I42" s="284"/>
      <c r="J42" s="556"/>
      <c r="K42" s="556"/>
    </row>
    <row r="43" spans="3:8" ht="15.5">
      <c r="C43" s="556" t="s">
        <v>663</v>
      </c>
      <c r="D43" s="556"/>
      <c r="E43" s="556"/>
      <c r="F43" s="556"/>
      <c r="G43" s="556"/>
      <c r="H43" s="30"/>
    </row>
    <row r="44" spans="3:13" ht="15.5">
      <c r="C44" s="556" t="s">
        <v>664</v>
      </c>
      <c r="D44" s="556"/>
      <c r="E44" s="556"/>
      <c r="F44" s="556"/>
      <c r="G44" s="556"/>
      <c r="H44" s="278"/>
      <c r="I44" s="214"/>
      <c r="J44" s="541"/>
      <c r="K44" s="284"/>
      <c r="L44" s="284"/>
      <c r="M44" s="284"/>
    </row>
    <row r="45" spans="3:13" ht="15.5">
      <c r="C45" s="556"/>
      <c r="D45" s="556"/>
      <c r="E45" s="556"/>
      <c r="F45" s="556"/>
      <c r="G45" s="556"/>
      <c r="H45" s="207"/>
      <c r="I45" s="276"/>
      <c r="J45" s="276"/>
      <c r="K45" s="276"/>
      <c r="L45" s="284"/>
      <c r="M45" s="284"/>
    </row>
    <row r="46" spans="2:13" ht="15.5">
      <c r="B46" s="542" t="s">
        <v>665</v>
      </c>
      <c r="C46" s="556"/>
      <c r="D46" s="556"/>
      <c r="E46" s="90" t="s">
        <v>653</v>
      </c>
      <c r="F46" s="90" t="s">
        <v>666</v>
      </c>
      <c r="G46" s="556"/>
      <c r="H46" s="207"/>
      <c r="I46" s="276"/>
      <c r="J46" s="276"/>
      <c r="K46" s="276"/>
      <c r="L46" s="284"/>
      <c r="M46" s="284"/>
    </row>
    <row r="47" spans="2:13" ht="20">
      <c r="B47" s="277"/>
      <c r="C47" s="90"/>
      <c r="D47" s="556"/>
      <c r="E47" s="90" t="s">
        <v>667</v>
      </c>
      <c r="F47" s="90" t="s">
        <v>667</v>
      </c>
      <c r="H47" s="60"/>
      <c r="I47" s="207"/>
      <c r="J47" s="30"/>
      <c r="K47" s="543"/>
      <c r="L47" s="284"/>
      <c r="M47" s="284"/>
    </row>
    <row r="48" spans="2:13" ht="18.5">
      <c r="B48" s="823" t="s">
        <v>374</v>
      </c>
      <c r="C48" s="617" t="s">
        <v>319</v>
      </c>
      <c r="D48" s="556"/>
      <c r="E48" s="617" t="s">
        <v>655</v>
      </c>
      <c r="F48" s="617" t="s">
        <v>655</v>
      </c>
      <c r="H48" s="221"/>
      <c r="I48" s="541"/>
      <c r="J48" s="545"/>
      <c r="K48" s="543"/>
      <c r="L48" s="284"/>
      <c r="M48" s="284"/>
    </row>
    <row r="49" spans="1:12" ht="15.5">
      <c r="A49" s="277">
        <f>+A41+1</f>
        <v>7</v>
      </c>
      <c r="B49" s="261" t="s">
        <v>338</v>
      </c>
      <c r="C49" s="90" t="s">
        <v>668</v>
      </c>
      <c r="D49" s="556"/>
      <c r="E49" s="546">
        <v>0</v>
      </c>
      <c r="F49" s="546">
        <v>0</v>
      </c>
      <c r="G49" s="542"/>
      <c r="H49" s="560"/>
      <c r="I49" s="566"/>
      <c r="J49" s="567"/>
      <c r="K49" s="543"/>
      <c r="L49" s="284"/>
    </row>
    <row r="50" spans="1:11" ht="15.5">
      <c r="A50" s="277">
        <f>+A49+1</f>
        <v>8</v>
      </c>
      <c r="B50" s="261" t="s">
        <v>339</v>
      </c>
      <c r="C50" s="90" t="s">
        <v>668</v>
      </c>
      <c r="D50" s="556"/>
      <c r="E50" s="546">
        <v>0</v>
      </c>
      <c r="F50" s="546">
        <v>0</v>
      </c>
      <c r="G50" s="544"/>
      <c r="H50" s="90"/>
      <c r="I50" s="556"/>
      <c r="J50" s="560"/>
      <c r="K50" s="547"/>
    </row>
    <row r="51" spans="1:11" ht="15.5">
      <c r="A51" s="277">
        <f t="shared" si="1" ref="A51:A72">+A50+1</f>
        <v>9</v>
      </c>
      <c r="B51" s="261" t="s">
        <v>340</v>
      </c>
      <c r="C51" s="90" t="s">
        <v>668</v>
      </c>
      <c r="D51" s="556"/>
      <c r="E51" s="546">
        <v>0</v>
      </c>
      <c r="F51" s="546">
        <v>0</v>
      </c>
      <c r="G51" s="556"/>
      <c r="H51" s="90"/>
      <c r="I51" s="556"/>
      <c r="J51" s="90"/>
      <c r="K51" s="547"/>
    </row>
    <row r="52" spans="1:11" ht="15.5">
      <c r="A52" s="277">
        <f>+A51+1</f>
        <v>10</v>
      </c>
      <c r="B52" s="261" t="s">
        <v>341</v>
      </c>
      <c r="C52" s="90" t="s">
        <v>668</v>
      </c>
      <c r="D52" s="556"/>
      <c r="E52" s="546">
        <v>0</v>
      </c>
      <c r="F52" s="546">
        <v>0</v>
      </c>
      <c r="G52" s="556"/>
      <c r="H52" s="90"/>
      <c r="I52" s="556"/>
      <c r="J52" s="90"/>
      <c r="K52" s="547"/>
    </row>
    <row r="53" spans="1:11" ht="15.5">
      <c r="A53" s="277">
        <f>+A52+1</f>
        <v>11</v>
      </c>
      <c r="B53" s="261" t="s">
        <v>342</v>
      </c>
      <c r="C53" s="90" t="s">
        <v>668</v>
      </c>
      <c r="D53" s="556"/>
      <c r="E53" s="546">
        <v>0</v>
      </c>
      <c r="F53" s="546">
        <v>0</v>
      </c>
      <c r="G53" s="556"/>
      <c r="H53" s="560"/>
      <c r="I53" s="556"/>
      <c r="J53" s="90"/>
      <c r="K53" s="547"/>
    </row>
    <row r="54" spans="1:11" ht="15.5">
      <c r="A54" s="277">
        <f>+A53+1</f>
        <v>12</v>
      </c>
      <c r="B54" s="261" t="s">
        <v>343</v>
      </c>
      <c r="C54" s="90" t="s">
        <v>668</v>
      </c>
      <c r="D54" s="556"/>
      <c r="E54" s="546">
        <v>0</v>
      </c>
      <c r="F54" s="546">
        <v>0</v>
      </c>
      <c r="G54" s="556"/>
      <c r="H54" s="90"/>
      <c r="I54" s="556"/>
      <c r="J54" s="90"/>
      <c r="K54" s="547"/>
    </row>
    <row r="55" spans="1:11" ht="15.5">
      <c r="A55" s="277">
        <f>+A54+1</f>
        <v>13</v>
      </c>
      <c r="B55" s="261" t="s">
        <v>332</v>
      </c>
      <c r="C55" s="90" t="s">
        <v>669</v>
      </c>
      <c r="D55" s="556"/>
      <c r="E55" s="546">
        <v>0</v>
      </c>
      <c r="F55" s="546">
        <v>0</v>
      </c>
      <c r="G55" s="556"/>
      <c r="H55" s="90"/>
      <c r="I55" s="556"/>
      <c r="J55" s="90"/>
      <c r="K55" s="547"/>
    </row>
    <row r="56" spans="1:11" ht="15.5">
      <c r="A56" s="277">
        <f>+A55+1</f>
        <v>14</v>
      </c>
      <c r="B56" s="261" t="s">
        <v>333</v>
      </c>
      <c r="C56" s="90" t="s">
        <v>669</v>
      </c>
      <c r="D56" s="556"/>
      <c r="E56" s="546">
        <v>0</v>
      </c>
      <c r="F56" s="546">
        <v>0</v>
      </c>
      <c r="G56" s="556"/>
      <c r="H56" s="90"/>
      <c r="I56" s="556"/>
      <c r="J56" s="90"/>
      <c r="K56" s="547"/>
    </row>
    <row r="57" spans="1:11" ht="15.5">
      <c r="A57" s="277">
        <f>+A56+1</f>
        <v>15</v>
      </c>
      <c r="B57" s="261" t="s">
        <v>334</v>
      </c>
      <c r="C57" s="90" t="s">
        <v>669</v>
      </c>
      <c r="D57" s="556"/>
      <c r="E57" s="546">
        <v>0</v>
      </c>
      <c r="F57" s="546">
        <v>0</v>
      </c>
      <c r="G57" s="556"/>
      <c r="H57" s="90"/>
      <c r="I57" s="556"/>
      <c r="J57" s="90"/>
      <c r="K57" s="547"/>
    </row>
    <row r="58" spans="1:11" ht="15.5">
      <c r="A58" s="277">
        <f>+A57+1</f>
        <v>16</v>
      </c>
      <c r="B58" s="261" t="s">
        <v>335</v>
      </c>
      <c r="C58" s="90" t="s">
        <v>669</v>
      </c>
      <c r="D58" s="556"/>
      <c r="E58" s="546">
        <v>0</v>
      </c>
      <c r="F58" s="546">
        <v>0</v>
      </c>
      <c r="G58" s="556"/>
      <c r="H58" s="90"/>
      <c r="I58" s="556"/>
      <c r="J58" s="90"/>
      <c r="K58" s="547"/>
    </row>
    <row r="59" spans="1:11" ht="15.5">
      <c r="A59" s="277">
        <f>+A58+1</f>
        <v>17</v>
      </c>
      <c r="B59" s="261" t="s">
        <v>336</v>
      </c>
      <c r="C59" s="90" t="s">
        <v>669</v>
      </c>
      <c r="D59" s="556"/>
      <c r="E59" s="546">
        <v>0</v>
      </c>
      <c r="F59" s="546">
        <v>0</v>
      </c>
      <c r="G59" s="556"/>
      <c r="H59" s="90"/>
      <c r="I59" s="556"/>
      <c r="J59" s="90"/>
      <c r="K59" s="547"/>
    </row>
    <row r="60" spans="1:11" ht="15.5">
      <c r="A60" s="277">
        <f>+A59+1</f>
        <v>18</v>
      </c>
      <c r="B60" s="261" t="s">
        <v>337</v>
      </c>
      <c r="C60" s="90" t="s">
        <v>669</v>
      </c>
      <c r="D60" s="556"/>
      <c r="E60" s="546">
        <v>0</v>
      </c>
      <c r="F60" s="546">
        <v>0</v>
      </c>
      <c r="G60" s="556"/>
      <c r="H60" s="90"/>
      <c r="I60" s="556"/>
      <c r="J60" s="90"/>
      <c r="K60" s="547"/>
    </row>
    <row r="61" spans="1:11" ht="15.5">
      <c r="A61" s="277">
        <f>+A60+1</f>
        <v>19</v>
      </c>
      <c r="B61" s="261" t="s">
        <v>338</v>
      </c>
      <c r="C61" s="90" t="s">
        <v>669</v>
      </c>
      <c r="D61" s="556"/>
      <c r="E61" s="546">
        <v>0</v>
      </c>
      <c r="F61" s="546">
        <v>0</v>
      </c>
      <c r="G61" s="556"/>
      <c r="H61" s="90"/>
      <c r="I61" s="556"/>
      <c r="J61" s="90"/>
      <c r="K61" s="547"/>
    </row>
    <row r="62" spans="1:11" ht="15.5">
      <c r="A62" s="277">
        <f>+A61+1</f>
        <v>20</v>
      </c>
      <c r="B62" s="261" t="s">
        <v>339</v>
      </c>
      <c r="C62" s="90" t="s">
        <v>669</v>
      </c>
      <c r="D62" s="556"/>
      <c r="E62" s="546">
        <v>0</v>
      </c>
      <c r="F62" s="546">
        <v>0</v>
      </c>
      <c r="G62" s="556"/>
      <c r="H62" s="90"/>
      <c r="I62" s="556"/>
      <c r="J62" s="90"/>
      <c r="K62" s="547"/>
    </row>
    <row r="63" spans="1:11" ht="15.5">
      <c r="A63" s="277">
        <f>+A62+1</f>
        <v>21</v>
      </c>
      <c r="B63" s="261" t="s">
        <v>340</v>
      </c>
      <c r="C63" s="90" t="s">
        <v>669</v>
      </c>
      <c r="D63" s="556"/>
      <c r="E63" s="546">
        <v>0</v>
      </c>
      <c r="F63" s="546">
        <v>0</v>
      </c>
      <c r="G63" s="556"/>
      <c r="H63" s="90"/>
      <c r="I63" s="556"/>
      <c r="J63" s="90"/>
      <c r="K63" s="547"/>
    </row>
    <row r="64" spans="1:11" ht="15.5">
      <c r="A64" s="277">
        <f>+A63+1</f>
        <v>22</v>
      </c>
      <c r="B64" s="824" t="s">
        <v>341</v>
      </c>
      <c r="C64" s="90" t="s">
        <v>669</v>
      </c>
      <c r="D64" s="89"/>
      <c r="E64" s="546">
        <v>0</v>
      </c>
      <c r="F64" s="546">
        <v>0</v>
      </c>
      <c r="G64" s="556"/>
      <c r="H64" s="90"/>
      <c r="I64" s="556"/>
      <c r="J64" s="90"/>
      <c r="K64" s="547"/>
    </row>
    <row r="65" spans="1:11" ht="15.5">
      <c r="A65" s="277">
        <f>+A64+1</f>
        <v>23</v>
      </c>
      <c r="B65" s="261" t="s">
        <v>342</v>
      </c>
      <c r="C65" s="90" t="s">
        <v>669</v>
      </c>
      <c r="D65" s="556"/>
      <c r="E65" s="546">
        <v>0</v>
      </c>
      <c r="F65" s="546">
        <v>0</v>
      </c>
      <c r="G65" s="556"/>
      <c r="H65" s="90"/>
      <c r="I65" s="556"/>
      <c r="J65" s="90"/>
      <c r="K65" s="547"/>
    </row>
    <row r="66" spans="1:11" ht="15.5">
      <c r="A66" s="277">
        <f>+A65+1</f>
        <v>24</v>
      </c>
      <c r="B66" s="261" t="s">
        <v>343</v>
      </c>
      <c r="C66" s="90" t="s">
        <v>669</v>
      </c>
      <c r="D66" s="556"/>
      <c r="E66" s="546">
        <v>0</v>
      </c>
      <c r="F66" s="546">
        <v>0</v>
      </c>
      <c r="G66" s="556"/>
      <c r="H66" s="90"/>
      <c r="I66" s="556"/>
      <c r="J66" s="90"/>
      <c r="K66" s="547"/>
    </row>
    <row r="67" spans="1:11" ht="15.5">
      <c r="A67" s="277">
        <f>+A66+1</f>
        <v>25</v>
      </c>
      <c r="B67" s="261" t="s">
        <v>332</v>
      </c>
      <c r="C67" s="90" t="s">
        <v>670</v>
      </c>
      <c r="D67" s="556"/>
      <c r="E67" s="546">
        <v>0</v>
      </c>
      <c r="F67" s="546">
        <v>0</v>
      </c>
      <c r="G67" s="556"/>
      <c r="H67" s="90"/>
      <c r="I67" s="556"/>
      <c r="J67" s="90"/>
      <c r="K67" s="547"/>
    </row>
    <row r="68" spans="1:10" ht="15.5">
      <c r="A68" s="277">
        <f>+A67+1</f>
        <v>26</v>
      </c>
      <c r="B68" s="261" t="s">
        <v>333</v>
      </c>
      <c r="C68" s="90" t="s">
        <v>670</v>
      </c>
      <c r="D68" s="556"/>
      <c r="E68" s="546">
        <v>0</v>
      </c>
      <c r="F68" s="546">
        <v>0</v>
      </c>
      <c r="G68" s="556"/>
      <c r="H68" s="90"/>
      <c r="I68" s="556"/>
      <c r="J68" s="90"/>
    </row>
    <row r="69" spans="1:10" ht="15.5">
      <c r="A69" s="277">
        <f>+A68+1</f>
        <v>27</v>
      </c>
      <c r="B69" s="261" t="s">
        <v>334</v>
      </c>
      <c r="C69" s="90" t="s">
        <v>670</v>
      </c>
      <c r="D69" s="556"/>
      <c r="E69" s="546">
        <v>0</v>
      </c>
      <c r="F69" s="546">
        <v>0</v>
      </c>
      <c r="G69" s="556"/>
      <c r="H69" s="90"/>
      <c r="I69" s="556"/>
      <c r="J69" s="90"/>
    </row>
    <row r="70" spans="1:10" ht="15.5">
      <c r="A70" s="277">
        <f>+A69+1</f>
        <v>28</v>
      </c>
      <c r="B70" s="261" t="s">
        <v>335</v>
      </c>
      <c r="C70" s="90" t="s">
        <v>670</v>
      </c>
      <c r="D70" s="556"/>
      <c r="E70" s="546">
        <v>0</v>
      </c>
      <c r="F70" s="546">
        <v>0</v>
      </c>
      <c r="G70" s="556"/>
      <c r="H70" s="90"/>
      <c r="I70" s="556"/>
      <c r="J70" s="90"/>
    </row>
    <row r="71" spans="1:10" ht="15.5">
      <c r="A71" s="277">
        <f>+A70+1</f>
        <v>29</v>
      </c>
      <c r="B71" s="261" t="s">
        <v>336</v>
      </c>
      <c r="C71" s="90" t="s">
        <v>670</v>
      </c>
      <c r="D71" s="556"/>
      <c r="E71" s="546">
        <v>0</v>
      </c>
      <c r="F71" s="546">
        <v>0</v>
      </c>
      <c r="G71" s="556"/>
      <c r="H71" s="90"/>
      <c r="I71" s="556"/>
      <c r="J71" s="90"/>
    </row>
    <row r="72" spans="1:10" ht="15.5">
      <c r="A72" s="277">
        <f>+A71+1</f>
        <v>30</v>
      </c>
      <c r="B72" s="261" t="s">
        <v>337</v>
      </c>
      <c r="C72" s="90" t="s">
        <v>670</v>
      </c>
      <c r="D72" s="556"/>
      <c r="E72" s="546">
        <v>0</v>
      </c>
      <c r="F72" s="546">
        <v>0</v>
      </c>
      <c r="G72" s="89"/>
      <c r="H72" s="89"/>
      <c r="I72" s="89"/>
      <c r="J72" s="548"/>
    </row>
    <row r="73" spans="2:2" ht="12.5">
      <c r="B73" s="825"/>
    </row>
    <row r="74" spans="1:6" ht="15.5">
      <c r="A74" s="277">
        <f>+A72+1</f>
        <v>31</v>
      </c>
      <c r="B74" s="261" t="s">
        <v>464</v>
      </c>
      <c r="E74" s="616">
        <f>+SUM(E49:E72)/24</f>
        <v>0</v>
      </c>
      <c r="F74" s="616">
        <f>+SUM(F49:F72)/24</f>
        <v>0</v>
      </c>
    </row>
  </sheetData>
  <mergeCells count="5">
    <mergeCell ref="B2:J2"/>
    <mergeCell ref="K2:L2"/>
    <mergeCell ref="B3:J3"/>
    <mergeCell ref="B4:J4"/>
    <mergeCell ref="K4:L4"/>
  </mergeCells>
  <printOptions horizontalCentered="1"/>
  <pageMargins left="0.75" right="0.75" top="1" bottom="1" header="0.5" footer="0.5"/>
  <pageSetup orientation="portrait" scale="40" r:id="rId1"/>
  <headerFooter alignWithMargins="0">
    <oddFooter>&amp;L&amp;P</oddFooter>
  </headerFooter>
  <customProperties>
    <customPr name="EpmWorksheetKeyString_GUID" r:id="rId2"/>
    <customPr name="_pios_id" r:id="rId3"/>
  </customPropertie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AB62"/>
  <sheetViews>
    <sheetView zoomScaleSheetLayoutView="90" workbookViewId="0" topLeftCell="A1"/>
  </sheetViews>
  <sheetFormatPr defaultRowHeight="12.75"/>
  <cols>
    <col min="1" max="1" width="5.28571428571429" customWidth="1"/>
    <col min="2" max="2" width="31.1428571428571" customWidth="1"/>
    <col min="3" max="3" width="24.7142857142857" style="770" customWidth="1"/>
    <col min="4" max="4" width="5.57142857142857" customWidth="1"/>
    <col min="5" max="5" width="13.2857142857143" style="770" customWidth="1"/>
    <col min="6" max="6" width="6" style="770" customWidth="1"/>
    <col min="7" max="7" width="13.2857142857143" customWidth="1"/>
    <col min="8" max="8" width="4.71428571428571" customWidth="1"/>
    <col min="9" max="9" width="12.5714285714286" customWidth="1"/>
    <col min="10" max="10" width="4.85714285714286" customWidth="1"/>
    <col min="11" max="11" width="12.1428571428571" customWidth="1"/>
    <col min="12" max="12" width="4.85714285714286" customWidth="1"/>
    <col min="13" max="13" width="10.2857142857143" customWidth="1"/>
    <col min="14" max="14" width="4.57142857142857" customWidth="1"/>
    <col min="15" max="15" width="9.14285714285714" customWidth="1"/>
    <col min="16" max="16" width="4.28571428571429" customWidth="1"/>
    <col min="17" max="17" width="9.14285714285714" customWidth="1"/>
    <col min="18" max="18" width="3.71428571428571" customWidth="1"/>
    <col min="19" max="19" width="9.14285714285714" customWidth="1"/>
    <col min="20" max="20" width="4.71428571428571" customWidth="1"/>
    <col min="21" max="21" width="9.14285714285714" customWidth="1"/>
    <col min="22" max="22" width="4.71428571428571" customWidth="1"/>
    <col min="23" max="23" width="9.14285714285714" customWidth="1"/>
    <col min="24" max="24" width="4.57142857142857" customWidth="1"/>
    <col min="25" max="25" width="11.1428571428571" customWidth="1"/>
    <col min="26" max="26" width="5.42857142857143" customWidth="1"/>
    <col min="27" max="28" width="9.14285714285714" customWidth="1"/>
  </cols>
  <sheetData>
    <row r="1" spans="1:28" ht="18">
      <c r="A1" s="1019"/>
      <c r="B1" s="263"/>
      <c r="C1" s="263"/>
      <c r="D1" s="263"/>
      <c r="E1" s="1019"/>
      <c r="F1" s="1019"/>
      <c r="G1" s="1019"/>
      <c r="H1" s="277"/>
      <c r="I1" s="277"/>
      <c r="J1" s="1019" t="str">
        <f>+'Appendix A'!A3</f>
        <v>Dayton Power and Light</v>
      </c>
      <c r="K1" s="1019"/>
      <c r="L1" s="1019"/>
      <c r="M1" s="1019"/>
      <c r="N1" s="1019"/>
      <c r="O1" s="265"/>
      <c r="P1" s="265"/>
      <c r="Q1" s="975"/>
      <c r="R1" s="975"/>
      <c r="S1" s="975"/>
      <c r="T1" s="975"/>
      <c r="U1" s="975"/>
      <c r="V1" s="975"/>
      <c r="W1" s="975"/>
      <c r="X1" s="975"/>
      <c r="Y1" s="975"/>
      <c r="Z1" s="975"/>
      <c r="AA1" s="975"/>
      <c r="AB1" s="975"/>
    </row>
    <row r="2" spans="1:28" ht="18">
      <c r="A2" s="85"/>
      <c r="B2" s="263"/>
      <c r="C2" s="263"/>
      <c r="D2" s="263"/>
      <c r="E2" s="1019"/>
      <c r="F2" s="1019"/>
      <c r="G2" s="1019"/>
      <c r="H2" s="277"/>
      <c r="I2" s="277"/>
      <c r="J2" s="1019" t="str">
        <f>+'Appendix A'!A4</f>
        <v xml:space="preserve">ATTACHMENT H-15A </v>
      </c>
      <c r="K2" s="1019"/>
      <c r="L2" s="1019"/>
      <c r="M2" s="1019"/>
      <c r="N2" s="1019"/>
      <c r="O2" s="265"/>
      <c r="P2" s="265"/>
      <c r="Q2" s="975"/>
      <c r="R2" s="975"/>
      <c r="S2" s="975"/>
      <c r="T2" s="975"/>
      <c r="U2" s="975"/>
      <c r="V2" s="975"/>
      <c r="W2" s="975"/>
      <c r="X2" s="975"/>
      <c r="Y2" s="975"/>
      <c r="Z2" s="975"/>
      <c r="AA2" s="975"/>
      <c r="AB2" s="975"/>
    </row>
    <row r="3" spans="1:28" ht="18">
      <c r="A3" s="85"/>
      <c r="B3" s="263"/>
      <c r="C3" s="263"/>
      <c r="D3" s="263"/>
      <c r="E3" s="1019"/>
      <c r="F3" s="1019"/>
      <c r="G3" s="1019"/>
      <c r="H3" s="277"/>
      <c r="I3" s="277"/>
      <c r="J3" s="1019" t="s">
        <v>676</v>
      </c>
      <c r="K3" s="1019"/>
      <c r="L3" s="1019"/>
      <c r="M3" s="1019"/>
      <c r="N3" s="1019"/>
      <c r="O3" s="265"/>
      <c r="P3" s="265"/>
      <c r="Q3" s="975"/>
      <c r="R3" s="975"/>
      <c r="S3" s="975"/>
      <c r="T3" s="975"/>
      <c r="U3" s="975"/>
      <c r="V3" s="975"/>
      <c r="W3" s="975"/>
      <c r="X3" s="975"/>
      <c r="Y3" s="925"/>
      <c r="Z3" s="975"/>
      <c r="AA3" s="975"/>
      <c r="AB3" s="975"/>
    </row>
    <row r="4" spans="1:28" ht="18">
      <c r="A4" s="85"/>
      <c r="B4" s="216" t="s">
        <v>370</v>
      </c>
      <c r="C4" s="549"/>
      <c r="D4" s="263"/>
      <c r="E4" s="1019"/>
      <c r="F4" s="1019"/>
      <c r="G4" s="1019"/>
      <c r="H4" s="1019"/>
      <c r="I4" s="1019"/>
      <c r="J4" s="1019"/>
      <c r="K4" s="1019"/>
      <c r="L4" s="1019"/>
      <c r="M4" s="1019"/>
      <c r="N4" s="1019"/>
      <c r="O4" s="1019"/>
      <c r="P4" s="1019"/>
      <c r="Q4" s="975"/>
      <c r="R4" s="975"/>
      <c r="S4" s="975"/>
      <c r="T4" s="975"/>
      <c r="U4" s="975"/>
      <c r="V4" s="975"/>
      <c r="W4" s="975"/>
      <c r="X4" s="975"/>
      <c r="Y4" s="975"/>
      <c r="Z4" s="975"/>
      <c r="AA4" s="975"/>
      <c r="AB4" s="975"/>
    </row>
    <row r="5" spans="1:28" ht="18">
      <c r="A5" s="259"/>
      <c r="B5" s="550"/>
      <c r="C5" s="549"/>
      <c r="D5" s="551"/>
      <c r="E5" s="259"/>
      <c r="F5" s="94"/>
      <c r="G5" s="94"/>
      <c r="H5" s="94"/>
      <c r="I5" s="94"/>
      <c r="J5" s="265"/>
      <c r="K5" s="265"/>
      <c r="L5" s="265"/>
      <c r="M5" s="265"/>
      <c r="N5" s="265"/>
      <c r="O5" s="265"/>
      <c r="P5" s="265"/>
      <c r="Q5" s="975"/>
      <c r="R5" s="975"/>
      <c r="S5" s="975"/>
      <c r="T5" s="975"/>
      <c r="U5" s="975"/>
      <c r="V5" s="975"/>
      <c r="W5" s="975"/>
      <c r="X5" s="975"/>
      <c r="Y5" s="975"/>
      <c r="Z5" s="975"/>
      <c r="AA5" s="975"/>
      <c r="AB5" s="975"/>
    </row>
    <row r="6" spans="1:28" s="770" customFormat="1" ht="18">
      <c r="A6" s="85"/>
      <c r="B6" s="821" t="s">
        <v>677</v>
      </c>
      <c r="C6" s="277"/>
      <c r="D6" s="780"/>
      <c r="E6" s="285"/>
      <c r="F6" s="779"/>
      <c r="G6" s="285"/>
      <c r="H6" s="285"/>
      <c r="I6" s="285"/>
      <c r="J6" s="778"/>
      <c r="K6" s="781"/>
      <c r="L6" s="284"/>
      <c r="M6" s="277"/>
      <c r="N6" s="265"/>
      <c r="O6" s="265"/>
      <c r="P6" s="265"/>
      <c r="Q6" s="587"/>
      <c r="R6" s="587"/>
      <c r="S6" s="587"/>
      <c r="T6" s="587"/>
      <c r="U6" s="587"/>
      <c r="V6" s="587"/>
      <c r="W6" s="587"/>
      <c r="X6" s="587"/>
      <c r="Y6" s="587"/>
      <c r="Z6" s="587"/>
      <c r="AA6" s="587"/>
      <c r="AB6" s="587"/>
    </row>
    <row r="7" spans="1:28" ht="12.5">
      <c r="A7" s="587"/>
      <c r="B7" s="587"/>
      <c r="C7" s="587"/>
      <c r="D7" s="587"/>
      <c r="E7" s="587"/>
      <c r="F7" s="587"/>
      <c r="G7" s="1029" t="s">
        <v>678</v>
      </c>
      <c r="H7" s="587"/>
      <c r="I7" s="1029" t="s">
        <v>679</v>
      </c>
      <c r="J7" s="587"/>
      <c r="K7" s="1029" t="s">
        <v>680</v>
      </c>
      <c r="L7" s="587"/>
      <c r="M7" s="1029" t="s">
        <v>681</v>
      </c>
      <c r="N7" s="587"/>
      <c r="O7" s="1029" t="s">
        <v>682</v>
      </c>
      <c r="P7" s="587"/>
      <c r="Q7" s="1029" t="s">
        <v>683</v>
      </c>
      <c r="R7" s="587"/>
      <c r="S7" s="1029" t="s">
        <v>684</v>
      </c>
      <c r="T7" s="587"/>
      <c r="U7" s="1029" t="s">
        <v>685</v>
      </c>
      <c r="V7" s="587"/>
      <c r="W7" s="1029" t="s">
        <v>686</v>
      </c>
      <c r="X7" s="587"/>
      <c r="Y7" s="1029" t="s">
        <v>687</v>
      </c>
      <c r="Z7" s="587"/>
      <c r="AA7" s="587"/>
      <c r="AB7" s="587"/>
    </row>
    <row r="8" spans="1:28" ht="12.5">
      <c r="A8" s="719" t="s">
        <v>673</v>
      </c>
      <c r="B8" s="587"/>
      <c r="C8" s="587"/>
      <c r="D8" s="587"/>
      <c r="E8" s="771" t="s">
        <v>65</v>
      </c>
      <c r="F8" s="587"/>
      <c r="G8" s="772" t="s">
        <v>688</v>
      </c>
      <c r="H8" s="587"/>
      <c r="I8" s="772" t="s">
        <v>688</v>
      </c>
      <c r="J8" s="587"/>
      <c r="K8" s="772" t="s">
        <v>688</v>
      </c>
      <c r="L8" s="587"/>
      <c r="M8" s="772" t="s">
        <v>688</v>
      </c>
      <c r="N8" s="587"/>
      <c r="O8" s="772" t="s">
        <v>688</v>
      </c>
      <c r="P8" s="587"/>
      <c r="Q8" s="772" t="s">
        <v>688</v>
      </c>
      <c r="R8" s="587"/>
      <c r="S8" s="772" t="s">
        <v>688</v>
      </c>
      <c r="T8" s="587"/>
      <c r="U8" s="772" t="s">
        <v>688</v>
      </c>
      <c r="V8" s="587"/>
      <c r="W8" s="772" t="s">
        <v>688</v>
      </c>
      <c r="X8" s="587"/>
      <c r="Y8" s="772" t="s">
        <v>688</v>
      </c>
      <c r="Z8" s="587"/>
      <c r="AA8" s="587"/>
      <c r="AB8" s="587"/>
    </row>
    <row r="9" spans="1:28" ht="12.5">
      <c r="A9" s="587"/>
      <c r="B9" s="587"/>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row>
    <row r="10" spans="1:28" ht="12.5">
      <c r="A10" s="587">
        <v>1</v>
      </c>
      <c r="B10" s="587" t="s">
        <v>23</v>
      </c>
      <c r="C10" s="811" t="str">
        <f>"(Attachment 4, Line "&amp;'4 - Cost Support'!A243&amp;" etc.)"</f>
        <v>(Attachment 4, Line 88 etc.)</v>
      </c>
      <c r="D10" s="587"/>
      <c r="E10" s="721"/>
      <c r="F10" s="721"/>
      <c r="G10" s="910">
        <f>+'4 - Cost Support'!T243</f>
        <v>0</v>
      </c>
      <c r="H10" s="910"/>
      <c r="I10" s="910">
        <f>+'4 - Cost Support'!T248</f>
        <v>0</v>
      </c>
      <c r="J10" s="910"/>
      <c r="K10" s="910">
        <f>+'4 - Cost Support'!T253</f>
        <v>0</v>
      </c>
      <c r="L10" s="910"/>
      <c r="M10" s="910">
        <f>+'4 - Cost Support'!T258</f>
        <v>0</v>
      </c>
      <c r="N10" s="910"/>
      <c r="O10" s="910">
        <f>+'4 - Cost Support'!T263</f>
        <v>0</v>
      </c>
      <c r="P10" s="910"/>
      <c r="Q10" s="910">
        <f>+'4 - Cost Support'!T268</f>
        <v>0</v>
      </c>
      <c r="R10" s="910"/>
      <c r="S10" s="910">
        <f>+'4 - Cost Support'!T273</f>
        <v>0</v>
      </c>
      <c r="T10" s="910"/>
      <c r="U10" s="910">
        <f>+'4 - Cost Support'!T278</f>
        <v>0</v>
      </c>
      <c r="V10" s="910"/>
      <c r="W10" s="910">
        <f>+'4 - Cost Support'!T283</f>
        <v>0</v>
      </c>
      <c r="X10" s="910"/>
      <c r="Y10" s="910">
        <f>+'4 - Cost Support'!T288</f>
        <v>0</v>
      </c>
      <c r="Z10" s="587"/>
      <c r="AA10" s="587"/>
      <c r="AB10" s="587"/>
    </row>
    <row r="11" spans="1:28" ht="12.5">
      <c r="A11" s="587">
        <f>+A10+1</f>
        <v>2</v>
      </c>
      <c r="B11" s="587" t="s">
        <v>32</v>
      </c>
      <c r="C11" s="811" t="str">
        <f>"(Attachment 4, Line "&amp;'4 - Cost Support'!A244&amp;" etc.)"</f>
        <v>(Attachment 4, Line 89 etc.)</v>
      </c>
      <c r="D11" s="587"/>
      <c r="E11" s="721"/>
      <c r="F11" s="721"/>
      <c r="G11" s="911">
        <f>+'4 - Cost Support'!T244</f>
        <v>0</v>
      </c>
      <c r="H11" s="911"/>
      <c r="I11" s="911">
        <f>+'4 - Cost Support'!T249</f>
        <v>0</v>
      </c>
      <c r="J11" s="911"/>
      <c r="K11" s="911">
        <f>+'4 - Cost Support'!T254</f>
        <v>0</v>
      </c>
      <c r="L11" s="911"/>
      <c r="M11" s="911">
        <f>+'4 - Cost Support'!T259</f>
        <v>0</v>
      </c>
      <c r="N11" s="911"/>
      <c r="O11" s="911">
        <f>+'4 - Cost Support'!T264</f>
        <v>0</v>
      </c>
      <c r="P11" s="911"/>
      <c r="Q11" s="911">
        <f>+'4 - Cost Support'!T269</f>
        <v>0</v>
      </c>
      <c r="R11" s="911"/>
      <c r="S11" s="911">
        <f>+'4 - Cost Support'!T274</f>
        <v>0</v>
      </c>
      <c r="T11" s="911"/>
      <c r="U11" s="911">
        <f>+'4 - Cost Support'!T279</f>
        <v>0</v>
      </c>
      <c r="V11" s="911"/>
      <c r="W11" s="911">
        <f>+'4 - Cost Support'!T284</f>
        <v>0</v>
      </c>
      <c r="X11" s="911"/>
      <c r="Y11" s="911">
        <f>+'4 - Cost Support'!T289</f>
        <v>0</v>
      </c>
      <c r="Z11" s="587"/>
      <c r="AA11" s="587"/>
      <c r="AB11" s="587"/>
    </row>
    <row r="12" spans="1:28" ht="12.5">
      <c r="A12" s="587">
        <f>+A11+1</f>
        <v>3</v>
      </c>
      <c r="B12" s="587" t="s">
        <v>17</v>
      </c>
      <c r="C12" s="587" t="str">
        <f>"(Line "&amp;A10&amp;" + Line "&amp;A11&amp;")"</f>
        <v>(Line 1 + Line 2)</v>
      </c>
      <c r="D12" s="587"/>
      <c r="E12" s="721"/>
      <c r="F12" s="721"/>
      <c r="G12" s="910">
        <f>+G10-G11</f>
        <v>0</v>
      </c>
      <c r="H12" s="910"/>
      <c r="I12" s="910">
        <f>+I10-I11</f>
        <v>0</v>
      </c>
      <c r="J12" s="910"/>
      <c r="K12" s="910">
        <f>+K10-K11</f>
        <v>0</v>
      </c>
      <c r="L12" s="910"/>
      <c r="M12" s="910">
        <f>+M10-M11</f>
        <v>0</v>
      </c>
      <c r="N12" s="910"/>
      <c r="O12" s="910">
        <f>+O10-O11</f>
        <v>0</v>
      </c>
      <c r="P12" s="910"/>
      <c r="Q12" s="910">
        <f>+Q10-Q11</f>
        <v>0</v>
      </c>
      <c r="R12" s="910"/>
      <c r="S12" s="910">
        <f>+S10-S11</f>
        <v>0</v>
      </c>
      <c r="T12" s="910"/>
      <c r="U12" s="910">
        <f>+U10-U11</f>
        <v>0</v>
      </c>
      <c r="V12" s="910"/>
      <c r="W12" s="910">
        <f>+W10-W11</f>
        <v>0</v>
      </c>
      <c r="X12" s="910"/>
      <c r="Y12" s="910">
        <f>+Y10-Y11</f>
        <v>0</v>
      </c>
      <c r="Z12" s="587"/>
      <c r="AA12" s="587"/>
      <c r="AB12" s="587"/>
    </row>
    <row r="13" spans="1:28" ht="12.5">
      <c r="A13" s="587">
        <f t="shared" si="0" ref="A13:A18">+A12+1</f>
        <v>4</v>
      </c>
      <c r="B13" s="587" t="s">
        <v>42</v>
      </c>
      <c r="C13" s="811" t="str">
        <f>"(Attachment 4, Line "&amp;'4 - Cost Support'!A245&amp;" etc.)"</f>
        <v>(Attachment 4, Line 90 etc.)</v>
      </c>
      <c r="D13" s="587"/>
      <c r="E13" s="721"/>
      <c r="F13" s="721"/>
      <c r="G13" s="911">
        <f>+'4 - Cost Support'!T245</f>
        <v>0</v>
      </c>
      <c r="H13" s="911"/>
      <c r="I13" s="911">
        <f>+'4 - Cost Support'!T250</f>
        <v>0</v>
      </c>
      <c r="J13" s="911"/>
      <c r="K13" s="911">
        <f>+'4 - Cost Support'!T255</f>
        <v>0</v>
      </c>
      <c r="L13" s="911"/>
      <c r="M13" s="911">
        <f>+'4 - Cost Support'!T260</f>
        <v>0</v>
      </c>
      <c r="N13" s="911"/>
      <c r="O13" s="911">
        <f>+'4 - Cost Support'!T265</f>
        <v>0</v>
      </c>
      <c r="P13" s="911"/>
      <c r="Q13" s="911">
        <f>+'4 - Cost Support'!T270</f>
        <v>0</v>
      </c>
      <c r="R13" s="911"/>
      <c r="S13" s="911">
        <f>+'4 - Cost Support'!T275</f>
        <v>0</v>
      </c>
      <c r="T13" s="911"/>
      <c r="U13" s="911">
        <f>+'4 - Cost Support'!T280</f>
        <v>0</v>
      </c>
      <c r="V13" s="911"/>
      <c r="W13" s="911">
        <f>+'4 - Cost Support'!T285</f>
        <v>0</v>
      </c>
      <c r="X13" s="911"/>
      <c r="Y13" s="911">
        <f>+'4 - Cost Support'!T290</f>
        <v>0</v>
      </c>
      <c r="Z13" s="587"/>
      <c r="AA13" s="587"/>
      <c r="AB13" s="587"/>
    </row>
    <row r="14" spans="1:28" ht="12.5">
      <c r="A14" s="587">
        <f>+A13+1</f>
        <v>5</v>
      </c>
      <c r="B14" s="587" t="s">
        <v>72</v>
      </c>
      <c r="C14" s="587" t="str">
        <f>"(Line "&amp;A12&amp;" + Line "&amp;A13&amp;")"</f>
        <v>(Line 3 + Line 4)</v>
      </c>
      <c r="D14" s="587"/>
      <c r="E14" s="721"/>
      <c r="F14" s="721"/>
      <c r="G14" s="910">
        <f>+G12-G13</f>
        <v>0</v>
      </c>
      <c r="H14" s="910"/>
      <c r="I14" s="910">
        <f>+I12-I13</f>
        <v>0</v>
      </c>
      <c r="J14" s="910"/>
      <c r="K14" s="910">
        <f>+K12-K13</f>
        <v>0</v>
      </c>
      <c r="L14" s="910"/>
      <c r="M14" s="910">
        <f>+M12-M13</f>
        <v>0</v>
      </c>
      <c r="N14" s="910"/>
      <c r="O14" s="910">
        <f>+O12-O13</f>
        <v>0</v>
      </c>
      <c r="P14" s="910"/>
      <c r="Q14" s="910">
        <f>+Q12-Q13</f>
        <v>0</v>
      </c>
      <c r="R14" s="910"/>
      <c r="S14" s="910">
        <f>+S12-S13</f>
        <v>0</v>
      </c>
      <c r="T14" s="910"/>
      <c r="U14" s="910">
        <f>+U12-U13</f>
        <v>0</v>
      </c>
      <c r="V14" s="910"/>
      <c r="W14" s="910">
        <f>+W12-W13</f>
        <v>0</v>
      </c>
      <c r="X14" s="910"/>
      <c r="Y14" s="910">
        <f>+Y12-Y13</f>
        <v>0</v>
      </c>
      <c r="Z14" s="587"/>
      <c r="AA14" s="587"/>
      <c r="AB14" s="587"/>
    </row>
    <row r="15" spans="1:28" ht="12.5">
      <c r="A15" s="587">
        <f>+A14+1</f>
        <v>6</v>
      </c>
      <c r="B15" s="587" t="s">
        <v>677</v>
      </c>
      <c r="C15" s="587" t="s">
        <v>689</v>
      </c>
      <c r="D15" s="587"/>
      <c r="E15" s="587"/>
      <c r="F15" s="587"/>
      <c r="G15" s="777">
        <v>0</v>
      </c>
      <c r="H15" s="266"/>
      <c r="I15" s="777">
        <v>0</v>
      </c>
      <c r="J15" s="266"/>
      <c r="K15" s="777">
        <v>0</v>
      </c>
      <c r="L15" s="266"/>
      <c r="M15" s="777">
        <v>0</v>
      </c>
      <c r="N15" s="266"/>
      <c r="O15" s="777">
        <v>0</v>
      </c>
      <c r="P15" s="266"/>
      <c r="Q15" s="777">
        <v>0</v>
      </c>
      <c r="R15" s="266"/>
      <c r="S15" s="777">
        <v>0</v>
      </c>
      <c r="T15" s="266"/>
      <c r="U15" s="777">
        <v>0</v>
      </c>
      <c r="V15" s="266"/>
      <c r="W15" s="777">
        <v>0</v>
      </c>
      <c r="X15" s="266"/>
      <c r="Y15" s="777">
        <v>0</v>
      </c>
      <c r="Z15" s="587"/>
      <c r="AA15" s="587"/>
      <c r="AB15" s="587"/>
    </row>
    <row r="16" spans="1:28" s="770" customFormat="1" ht="12.5">
      <c r="A16" s="587">
        <f>+A15+1</f>
        <v>7</v>
      </c>
      <c r="B16" s="587" t="s">
        <v>690</v>
      </c>
      <c r="C16" s="811" t="str">
        <f>"(Appendix A, Line "&amp;'Appendix A'!A196&amp;")"</f>
        <v>(Appendix A, Line 111)</v>
      </c>
      <c r="D16" s="587"/>
      <c r="E16" s="587"/>
      <c r="F16" s="587"/>
      <c r="G16" s="791">
        <f>+'Appendix A'!$H$196</f>
        <v>0.47997666756474405</v>
      </c>
      <c r="H16" s="266"/>
      <c r="I16" s="791">
        <f>+'Appendix A'!$H$196</f>
        <v>0.47997666756474405</v>
      </c>
      <c r="J16" s="266"/>
      <c r="K16" s="791">
        <f>+'Appendix A'!$H$196</f>
        <v>0.47997666756474405</v>
      </c>
      <c r="L16" s="266"/>
      <c r="M16" s="791">
        <f>+'Appendix A'!$H$196</f>
        <v>0.47997666756474405</v>
      </c>
      <c r="N16" s="266"/>
      <c r="O16" s="791">
        <f>+'Appendix A'!$H$196</f>
        <v>0.47997666756474405</v>
      </c>
      <c r="P16" s="266"/>
      <c r="Q16" s="791">
        <f>+'Appendix A'!$H$196</f>
        <v>0.47997666756474405</v>
      </c>
      <c r="R16" s="266"/>
      <c r="S16" s="791">
        <f>+'Appendix A'!$H$196</f>
        <v>0.47997666756474405</v>
      </c>
      <c r="T16" s="266"/>
      <c r="U16" s="791">
        <f>+'Appendix A'!$H$196</f>
        <v>0.47997666756474405</v>
      </c>
      <c r="V16" s="266"/>
      <c r="W16" s="791">
        <f>+'Appendix A'!$H$196</f>
        <v>0.47997666756474405</v>
      </c>
      <c r="X16" s="266"/>
      <c r="Y16" s="791">
        <f>+'Appendix A'!$H$196</f>
        <v>0.47997666756474405</v>
      </c>
      <c r="Z16" s="587"/>
      <c r="AA16" s="587"/>
      <c r="AB16" s="587"/>
    </row>
    <row r="17" spans="1:28" s="770" customFormat="1" ht="12.5">
      <c r="A17" s="587">
        <f>+A16+1</f>
        <v>8</v>
      </c>
      <c r="B17" s="587" t="s">
        <v>143</v>
      </c>
      <c r="C17" s="811" t="str">
        <f>"(Appendix A, Line "&amp;'Appendix A'!A216&amp;")"</f>
        <v>(Appendix A, Line 126)</v>
      </c>
      <c r="D17" s="587"/>
      <c r="E17" s="720"/>
      <c r="F17" s="720"/>
      <c r="G17" s="793">
        <f>+'Appendix A'!$H$216</f>
        <v>1.2875829364358931</v>
      </c>
      <c r="H17" s="790"/>
      <c r="I17" s="793">
        <f>+'Appendix A'!$H$216</f>
        <v>1.2875829364358931</v>
      </c>
      <c r="J17" s="790"/>
      <c r="K17" s="793">
        <f>+'Appendix A'!$H$216</f>
        <v>1.2875829364358931</v>
      </c>
      <c r="L17" s="790"/>
      <c r="M17" s="793">
        <f>+'Appendix A'!$H$216</f>
        <v>1.2875829364358931</v>
      </c>
      <c r="N17" s="790"/>
      <c r="O17" s="793">
        <f>+'Appendix A'!$H$216</f>
        <v>1.2875829364358931</v>
      </c>
      <c r="P17" s="790"/>
      <c r="Q17" s="793">
        <f>+'Appendix A'!$H$216</f>
        <v>1.2875829364358931</v>
      </c>
      <c r="R17" s="790"/>
      <c r="S17" s="793">
        <f>+'Appendix A'!$H$216</f>
        <v>1.2875829364358931</v>
      </c>
      <c r="T17" s="790"/>
      <c r="U17" s="793">
        <f>+'Appendix A'!$H$216</f>
        <v>1.2875829364358931</v>
      </c>
      <c r="V17" s="790"/>
      <c r="W17" s="793">
        <f>+'Appendix A'!$H$216</f>
        <v>1.2875829364358931</v>
      </c>
      <c r="X17" s="790"/>
      <c r="Y17" s="793">
        <f>+'Appendix A'!$H$216</f>
        <v>1.2875829364358931</v>
      </c>
      <c r="Z17" s="587"/>
      <c r="AA17" s="587"/>
      <c r="AB17" s="587"/>
    </row>
    <row r="18" spans="1:28" s="770" customFormat="1" ht="25">
      <c r="A18" s="587">
        <f>+A17+1</f>
        <v>9</v>
      </c>
      <c r="B18" s="587" t="s">
        <v>691</v>
      </c>
      <c r="C18" s="773" t="str">
        <f>"(Line "&amp;A14&amp;" * Line "&amp;A15&amp;" * Line "&amp;A16&amp;" * Line "&amp;A17&amp;" )"</f>
        <v>(Line 5 * Line 6 * Line 7 * Line 8 )</v>
      </c>
      <c r="D18" s="587"/>
      <c r="E18" s="910">
        <f>+SUM(G18:Y18)</f>
        <v>0</v>
      </c>
      <c r="F18" s="910"/>
      <c r="G18" s="912">
        <f>+G14*G15*G16*G17</f>
        <v>0</v>
      </c>
      <c r="H18" s="913"/>
      <c r="I18" s="912">
        <f>+I14*I15*I16*I17</f>
        <v>0</v>
      </c>
      <c r="J18" s="913"/>
      <c r="K18" s="912">
        <f>+K14*K15*K16*K17</f>
        <v>0</v>
      </c>
      <c r="L18" s="913"/>
      <c r="M18" s="912">
        <f>+M14*M15*M16*M17</f>
        <v>0</v>
      </c>
      <c r="N18" s="913"/>
      <c r="O18" s="912">
        <f>+O14*O15*O16*O17</f>
        <v>0</v>
      </c>
      <c r="P18" s="913"/>
      <c r="Q18" s="912">
        <f>+Q14*Q15*Q16*Q17</f>
        <v>0</v>
      </c>
      <c r="R18" s="913"/>
      <c r="S18" s="912">
        <f>+S14*S15*S16*S17</f>
        <v>0</v>
      </c>
      <c r="T18" s="913"/>
      <c r="U18" s="912">
        <f>+U14*U15*U16*U17</f>
        <v>0</v>
      </c>
      <c r="V18" s="913"/>
      <c r="W18" s="912">
        <f>+W14*W15*W16*W17</f>
        <v>0</v>
      </c>
      <c r="X18" s="913"/>
      <c r="Y18" s="912">
        <f>+Y14*Y15*Y16*Y17</f>
        <v>0</v>
      </c>
      <c r="Z18" s="587"/>
      <c r="AA18" s="587"/>
      <c r="AB18" s="587"/>
    </row>
    <row r="19" spans="1:28" s="770" customFormat="1" ht="12.5">
      <c r="A19" s="587"/>
      <c r="B19" s="587"/>
      <c r="C19" s="587"/>
      <c r="D19" s="587"/>
      <c r="E19" s="587"/>
      <c r="F19" s="587"/>
      <c r="G19" s="791"/>
      <c r="H19" s="266"/>
      <c r="I19" s="791"/>
      <c r="J19" s="266"/>
      <c r="K19" s="791"/>
      <c r="L19" s="266"/>
      <c r="M19" s="791"/>
      <c r="N19" s="266"/>
      <c r="O19" s="791"/>
      <c r="P19" s="266"/>
      <c r="Q19" s="791"/>
      <c r="R19" s="266"/>
      <c r="S19" s="791"/>
      <c r="T19" s="266"/>
      <c r="U19" s="791"/>
      <c r="V19" s="266"/>
      <c r="W19" s="791"/>
      <c r="X19" s="266"/>
      <c r="Y19" s="791"/>
      <c r="Z19" s="587"/>
      <c r="AA19" s="587"/>
      <c r="AB19" s="587"/>
    </row>
    <row r="20" spans="1:28" ht="25">
      <c r="A20" s="587"/>
      <c r="B20" s="773" t="s">
        <v>692</v>
      </c>
      <c r="C20" s="587"/>
      <c r="D20" s="587"/>
      <c r="E20" s="587"/>
      <c r="F20" s="587"/>
      <c r="G20" s="792"/>
      <c r="H20" s="587"/>
      <c r="I20" s="792"/>
      <c r="J20" s="587"/>
      <c r="K20" s="792"/>
      <c r="L20" s="587"/>
      <c r="M20" s="792"/>
      <c r="N20" s="587"/>
      <c r="O20" s="792"/>
      <c r="P20" s="587"/>
      <c r="Q20" s="792"/>
      <c r="R20" s="587"/>
      <c r="S20" s="792"/>
      <c r="T20" s="587"/>
      <c r="U20" s="792"/>
      <c r="V20" s="587"/>
      <c r="W20" s="792"/>
      <c r="X20" s="587"/>
      <c r="Y20" s="792"/>
      <c r="Z20" s="587"/>
      <c r="AA20" s="587"/>
      <c r="AB20" s="587"/>
    </row>
    <row r="21" spans="1:28" ht="12.5">
      <c r="A21" s="587"/>
      <c r="B21" s="587"/>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row>
    <row r="22" spans="1:28" ht="12.5">
      <c r="A22" s="587"/>
      <c r="B22" s="587"/>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row>
    <row r="23" spans="1:28" ht="12.5">
      <c r="A23" s="587"/>
      <c r="B23" s="587"/>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row>
    <row r="24" spans="1:28" ht="12.5">
      <c r="A24" s="587"/>
      <c r="B24" s="587"/>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row>
    <row r="25" spans="1:28" ht="12.5">
      <c r="A25" s="587"/>
      <c r="B25" s="587"/>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row>
    <row r="26" spans="1:28" ht="12.5">
      <c r="A26" s="587"/>
      <c r="B26" s="587"/>
      <c r="C26" s="587"/>
      <c r="D26" s="587"/>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row>
    <row r="27" spans="1:28" ht="12.5">
      <c r="A27" s="587"/>
      <c r="B27" s="587"/>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row>
    <row r="28" spans="1:28" ht="12.5">
      <c r="A28" s="587"/>
      <c r="B28" s="587"/>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row>
    <row r="29" spans="1:28" ht="12.5">
      <c r="A29" s="587"/>
      <c r="B29" s="587"/>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row>
    <row r="30" spans="1:28" ht="12.5">
      <c r="A30" s="587"/>
      <c r="B30" s="587"/>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row>
    <row r="31" spans="1:28" ht="12.5">
      <c r="A31" s="587"/>
      <c r="B31" s="587"/>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row>
    <row r="32" spans="1:28" ht="12.5">
      <c r="A32" s="587"/>
      <c r="B32" s="587"/>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row>
    <row r="33" spans="1:28" ht="12.5">
      <c r="A33" s="587"/>
      <c r="B33" s="587"/>
      <c r="C33" s="587"/>
      <c r="D33" s="587"/>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row>
    <row r="34" spans="1:28" ht="12.5">
      <c r="A34" s="587"/>
      <c r="B34" s="587"/>
      <c r="C34" s="587"/>
      <c r="D34" s="587"/>
      <c r="E34" s="587"/>
      <c r="F34" s="587"/>
      <c r="G34" s="587"/>
      <c r="H34" s="587"/>
      <c r="I34" s="587"/>
      <c r="J34" s="587"/>
      <c r="K34" s="587"/>
      <c r="L34" s="587"/>
      <c r="M34" s="587"/>
      <c r="N34" s="587"/>
      <c r="O34" s="587"/>
      <c r="P34" s="587"/>
      <c r="Q34" s="587"/>
      <c r="R34" s="587"/>
      <c r="S34" s="587"/>
      <c r="T34" s="587"/>
      <c r="U34" s="587"/>
      <c r="V34" s="587"/>
      <c r="W34" s="587"/>
      <c r="X34" s="587"/>
      <c r="Y34" s="587"/>
      <c r="Z34" s="587"/>
      <c r="AA34" s="587"/>
      <c r="AB34" s="587"/>
    </row>
    <row r="35" spans="1:28" ht="12.5">
      <c r="A35" s="587"/>
      <c r="B35" s="587"/>
      <c r="C35" s="587"/>
      <c r="D35" s="587"/>
      <c r="E35" s="587"/>
      <c r="F35" s="587"/>
      <c r="G35" s="587"/>
      <c r="H35" s="587"/>
      <c r="I35" s="587"/>
      <c r="J35" s="587"/>
      <c r="K35" s="587"/>
      <c r="L35" s="587"/>
      <c r="M35" s="587"/>
      <c r="N35" s="587"/>
      <c r="O35" s="587"/>
      <c r="P35" s="587"/>
      <c r="Q35" s="587"/>
      <c r="R35" s="587"/>
      <c r="S35" s="587"/>
      <c r="T35" s="587"/>
      <c r="U35" s="587"/>
      <c r="V35" s="587"/>
      <c r="W35" s="587"/>
      <c r="X35" s="587"/>
      <c r="Y35" s="587"/>
      <c r="Z35" s="587"/>
      <c r="AA35" s="587"/>
      <c r="AB35" s="587"/>
    </row>
    <row r="36" spans="1:28" ht="12.5">
      <c r="A36" s="587"/>
      <c r="B36" s="587"/>
      <c r="C36" s="587"/>
      <c r="D36" s="587"/>
      <c r="E36" s="587"/>
      <c r="F36" s="587"/>
      <c r="G36" s="587"/>
      <c r="H36" s="587"/>
      <c r="I36" s="587"/>
      <c r="J36" s="587"/>
      <c r="K36" s="587"/>
      <c r="L36" s="587"/>
      <c r="M36" s="587"/>
      <c r="N36" s="587"/>
      <c r="O36" s="587"/>
      <c r="P36" s="587"/>
      <c r="Q36" s="587"/>
      <c r="R36" s="587"/>
      <c r="S36" s="587"/>
      <c r="T36" s="587"/>
      <c r="U36" s="587"/>
      <c r="V36" s="587"/>
      <c r="W36" s="587"/>
      <c r="X36" s="587"/>
      <c r="Y36" s="587"/>
      <c r="Z36" s="587"/>
      <c r="AA36" s="587"/>
      <c r="AB36" s="587"/>
    </row>
    <row r="37" spans="1:28" ht="12.5">
      <c r="A37" s="587"/>
      <c r="B37" s="587"/>
      <c r="C37" s="587"/>
      <c r="D37" s="587"/>
      <c r="E37" s="587"/>
      <c r="F37" s="587"/>
      <c r="G37" s="587"/>
      <c r="H37" s="587"/>
      <c r="I37" s="587"/>
      <c r="J37" s="587"/>
      <c r="K37" s="587"/>
      <c r="L37" s="587"/>
      <c r="M37" s="587"/>
      <c r="N37" s="587"/>
      <c r="O37" s="587"/>
      <c r="P37" s="587"/>
      <c r="Q37" s="587"/>
      <c r="R37" s="587"/>
      <c r="S37" s="587"/>
      <c r="T37" s="587"/>
      <c r="U37" s="587"/>
      <c r="V37" s="587"/>
      <c r="W37" s="587"/>
      <c r="X37" s="587"/>
      <c r="Y37" s="587"/>
      <c r="Z37" s="587"/>
      <c r="AA37" s="587"/>
      <c r="AB37" s="587"/>
    </row>
    <row r="38" spans="1:28" ht="12.5">
      <c r="A38" s="587"/>
      <c r="B38" s="587"/>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row>
    <row r="39" spans="1:28" ht="12.5">
      <c r="A39" s="587"/>
      <c r="B39" s="587"/>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row>
    <row r="40" spans="1:28" ht="12.5">
      <c r="A40" s="587"/>
      <c r="B40" s="587"/>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row>
    <row r="41" spans="1:28" ht="12.5">
      <c r="A41" s="587"/>
      <c r="B41" s="587"/>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row>
    <row r="42" spans="1:28" ht="12.5">
      <c r="A42" s="587"/>
      <c r="B42" s="587"/>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row>
    <row r="43" spans="1:28" ht="12.5">
      <c r="A43" s="587"/>
      <c r="B43" s="587"/>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row>
    <row r="44" spans="1:28" ht="12.5">
      <c r="A44" s="587"/>
      <c r="B44" s="587"/>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row>
    <row r="45" spans="1:28" ht="12.5">
      <c r="A45" s="587"/>
      <c r="B45" s="587"/>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row>
    <row r="46" spans="1:28" ht="12.5">
      <c r="A46" s="587"/>
      <c r="B46" s="587"/>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587"/>
    </row>
    <row r="47" spans="1:28" ht="12.5">
      <c r="A47" s="587"/>
      <c r="B47" s="587"/>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row>
    <row r="48" spans="1:28" ht="12.5">
      <c r="A48" s="587"/>
      <c r="B48" s="587"/>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row>
    <row r="49" spans="1:28" ht="12.5">
      <c r="A49" s="587"/>
      <c r="B49" s="587"/>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row>
    <row r="50" spans="1:28" ht="12.5">
      <c r="A50" s="587"/>
      <c r="B50" s="587"/>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row>
    <row r="51" spans="1:28" ht="12.5">
      <c r="A51" s="587"/>
      <c r="B51" s="587"/>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row>
    <row r="52" spans="1:28" ht="12.5">
      <c r="A52" s="587"/>
      <c r="B52" s="587"/>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row>
    <row r="53" spans="1:28" ht="12.5">
      <c r="A53" s="587"/>
      <c r="B53" s="587"/>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row>
    <row r="54" spans="1:28" ht="12.5">
      <c r="A54" s="587"/>
      <c r="B54" s="587"/>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row>
    <row r="55" spans="1:28" ht="12.5">
      <c r="A55" s="587"/>
      <c r="B55" s="587"/>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row>
    <row r="56" spans="1:28" ht="12.5">
      <c r="A56" s="587"/>
      <c r="B56" s="587"/>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row>
    <row r="57" spans="1:28" ht="12.5">
      <c r="A57" s="587"/>
      <c r="B57" s="587"/>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row>
    <row r="58" spans="1:28" ht="12.5">
      <c r="A58" s="587"/>
      <c r="B58" s="587"/>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row>
    <row r="59" spans="1:28" ht="12.5">
      <c r="A59" s="587"/>
      <c r="B59" s="587"/>
      <c r="C59" s="587"/>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row>
    <row r="60" spans="1:28" ht="12.5">
      <c r="A60" s="587"/>
      <c r="B60" s="587"/>
      <c r="C60" s="587"/>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row>
    <row r="61" spans="1:28" ht="12.5">
      <c r="A61" s="587"/>
      <c r="B61" s="587"/>
      <c r="C61" s="587"/>
      <c r="D61" s="587"/>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row>
    <row r="62" spans="1:28" ht="12.5">
      <c r="A62" s="587"/>
      <c r="B62" s="587"/>
      <c r="C62" s="587"/>
      <c r="D62" s="587"/>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row>
  </sheetData>
  <pageMargins left="0.7" right="0.7" top="0.75" bottom="0.75" header="0.3" footer="0.3"/>
  <pageSetup orientation="landscape" scale="50" r:id="rId1"/>
  <customProperties>
    <customPr name="EpmWorksheetKeyString_GUID" r:id="rId2"/>
    <customPr name="_pios_id" r:id="rId3"/>
  </customPropertie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Y32"/>
  <sheetViews>
    <sheetView zoomScaleSheetLayoutView="80" workbookViewId="0" topLeftCell="A1"/>
  </sheetViews>
  <sheetFormatPr defaultRowHeight="12.75"/>
  <cols>
    <col min="1" max="1" width="5.57142857142857" customWidth="1"/>
    <col min="2" max="2" width="35.5714285714286" customWidth="1"/>
    <col min="3" max="3" width="17.1428571428571" customWidth="1"/>
    <col min="4" max="4" width="11.7142857142857" customWidth="1"/>
    <col min="5" max="5" width="13.2857142857143" customWidth="1"/>
    <col min="6" max="6" width="6" customWidth="1"/>
    <col min="7" max="7" width="14.4285714285714" customWidth="1"/>
    <col min="8" max="8" width="4.71428571428571" customWidth="1"/>
    <col min="9" max="9" width="12.5714285714286" customWidth="1"/>
    <col min="10" max="10" width="4.85714285714286" customWidth="1"/>
    <col min="11" max="11" width="12.1428571428571" customWidth="1"/>
    <col min="12" max="12" width="4.85714285714286" customWidth="1"/>
    <col min="13" max="13" width="10.2857142857143" customWidth="1"/>
    <col min="14" max="14" width="4.57142857142857" customWidth="1"/>
    <col min="15" max="15" width="9.14285714285714" customWidth="1"/>
    <col min="16" max="16" width="4.28571428571429" customWidth="1"/>
    <col min="17" max="17" width="9.14285714285714" customWidth="1"/>
    <col min="18" max="18" width="3.71428571428571" customWidth="1"/>
    <col min="19" max="19" width="9.14285714285714" customWidth="1"/>
    <col min="20" max="20" width="4.71428571428571" customWidth="1"/>
    <col min="21" max="21" width="9.14285714285714" customWidth="1"/>
    <col min="22" max="22" width="4.71428571428571" customWidth="1"/>
    <col min="23" max="23" width="9.14285714285714" customWidth="1"/>
    <col min="24" max="24" width="4.57142857142857" customWidth="1"/>
    <col min="25" max="25" width="14.2857142857143" customWidth="1"/>
  </cols>
  <sheetData>
    <row r="1" spans="1:25" ht="18">
      <c r="A1" s="975"/>
      <c r="B1" s="975"/>
      <c r="C1" s="975"/>
      <c r="D1" s="975"/>
      <c r="E1" s="975"/>
      <c r="F1" s="975"/>
      <c r="G1" s="975"/>
      <c r="H1" s="975"/>
      <c r="I1" s="975"/>
      <c r="J1" s="975"/>
      <c r="K1" s="1019" t="str">
        <f>+'7A - Project ROE Adder'!J1</f>
        <v>Dayton Power and Light</v>
      </c>
      <c r="L1" s="975"/>
      <c r="M1" s="975"/>
      <c r="N1" s="975"/>
      <c r="O1" s="975"/>
      <c r="P1" s="975"/>
      <c r="Q1" s="975"/>
      <c r="R1" s="975"/>
      <c r="S1" s="975"/>
      <c r="T1" s="975"/>
      <c r="U1" s="975"/>
      <c r="V1" s="975"/>
      <c r="W1" s="975"/>
      <c r="X1" s="975"/>
      <c r="Y1" s="975"/>
    </row>
    <row r="2" spans="1:25" ht="18">
      <c r="A2" s="975"/>
      <c r="B2" s="975"/>
      <c r="C2" s="975"/>
      <c r="D2" s="975"/>
      <c r="E2" s="975"/>
      <c r="F2" s="975"/>
      <c r="G2" s="975"/>
      <c r="H2" s="975"/>
      <c r="I2" s="975"/>
      <c r="J2" s="975"/>
      <c r="K2" s="1019" t="str">
        <f>+'7A - Project ROE Adder'!J2</f>
        <v xml:space="preserve">ATTACHMENT H-15A </v>
      </c>
      <c r="L2" s="975"/>
      <c r="M2" s="975"/>
      <c r="N2" s="975"/>
      <c r="O2" s="975"/>
      <c r="P2" s="975"/>
      <c r="Q2" s="975"/>
      <c r="R2" s="975"/>
      <c r="S2" s="975"/>
      <c r="T2" s="975"/>
      <c r="U2" s="975"/>
      <c r="V2" s="975"/>
      <c r="W2" s="975"/>
      <c r="X2" s="975"/>
      <c r="Y2" s="975"/>
    </row>
    <row r="3" spans="1:25" ht="18">
      <c r="A3" s="975"/>
      <c r="B3" s="975"/>
      <c r="C3" s="975"/>
      <c r="D3" s="975"/>
      <c r="E3" s="975"/>
      <c r="F3" s="975"/>
      <c r="G3" s="975"/>
      <c r="H3" s="975"/>
      <c r="I3" s="975"/>
      <c r="J3" s="975"/>
      <c r="K3" s="1019" t="s">
        <v>693</v>
      </c>
      <c r="L3" s="975"/>
      <c r="M3" s="975"/>
      <c r="N3" s="975"/>
      <c r="O3" s="975"/>
      <c r="P3" s="975"/>
      <c r="Q3" s="975"/>
      <c r="R3" s="975"/>
      <c r="S3" s="975"/>
      <c r="T3" s="975"/>
      <c r="U3" s="975"/>
      <c r="V3" s="975"/>
      <c r="W3" s="975"/>
      <c r="X3" s="975"/>
      <c r="Y3" s="925"/>
    </row>
    <row r="4" ht="12.5"/>
    <row r="5" spans="1:25" ht="15.5">
      <c r="A5" s="975"/>
      <c r="B5" s="216" t="s">
        <v>370</v>
      </c>
      <c r="C5" s="975"/>
      <c r="D5" s="975"/>
      <c r="E5" s="975"/>
      <c r="F5" s="975"/>
      <c r="G5" s="975"/>
      <c r="H5" s="975"/>
      <c r="I5" s="975"/>
      <c r="J5" s="975"/>
      <c r="K5" s="975"/>
      <c r="L5" s="975"/>
      <c r="M5" s="975"/>
      <c r="N5" s="975"/>
      <c r="O5" s="975"/>
      <c r="P5" s="975"/>
      <c r="Q5" s="975"/>
      <c r="R5" s="975"/>
      <c r="S5" s="975"/>
      <c r="T5" s="975"/>
      <c r="U5" s="975"/>
      <c r="V5" s="975"/>
      <c r="W5" s="975"/>
      <c r="X5" s="975"/>
      <c r="Y5" s="975"/>
    </row>
    <row r="6" spans="1:25" ht="15.5">
      <c r="A6" s="85"/>
      <c r="B6" s="822" t="s">
        <v>694</v>
      </c>
      <c r="C6" s="277"/>
      <c r="D6" s="780"/>
      <c r="E6" s="285"/>
      <c r="F6" s="779"/>
      <c r="G6" s="285"/>
      <c r="H6" s="285"/>
      <c r="I6" s="285"/>
      <c r="J6" s="778"/>
      <c r="K6" s="781"/>
      <c r="L6" s="284"/>
      <c r="M6" s="277"/>
      <c r="N6" s="265"/>
      <c r="O6" s="265"/>
      <c r="P6" s="265"/>
      <c r="Q6" s="587"/>
      <c r="R6" s="587"/>
      <c r="S6" s="587"/>
      <c r="T6" s="587"/>
      <c r="U6" s="587"/>
      <c r="V6" s="587"/>
      <c r="W6" s="587"/>
      <c r="X6" s="587"/>
      <c r="Y6" s="587"/>
    </row>
    <row r="7" spans="1:25" ht="12.5">
      <c r="A7" s="587"/>
      <c r="B7" s="587"/>
      <c r="C7" s="587"/>
      <c r="D7" s="587"/>
      <c r="E7" s="587"/>
      <c r="F7" s="587"/>
      <c r="G7" s="1029" t="s">
        <v>678</v>
      </c>
      <c r="H7" s="587"/>
      <c r="I7" s="1029" t="s">
        <v>679</v>
      </c>
      <c r="J7" s="587"/>
      <c r="K7" s="1029" t="s">
        <v>680</v>
      </c>
      <c r="L7" s="587"/>
      <c r="M7" s="1029" t="s">
        <v>681</v>
      </c>
      <c r="N7" s="587"/>
      <c r="O7" s="1029" t="s">
        <v>682</v>
      </c>
      <c r="P7" s="587"/>
      <c r="Q7" s="1029" t="s">
        <v>683</v>
      </c>
      <c r="R7" s="587"/>
      <c r="S7" s="1029" t="s">
        <v>684</v>
      </c>
      <c r="T7" s="587"/>
      <c r="U7" s="1029" t="s">
        <v>685</v>
      </c>
      <c r="V7" s="587"/>
      <c r="W7" s="1029" t="s">
        <v>686</v>
      </c>
      <c r="X7" s="587"/>
      <c r="Y7" s="1029" t="s">
        <v>687</v>
      </c>
    </row>
    <row r="8" spans="1:25" ht="50">
      <c r="A8" s="719" t="s">
        <v>673</v>
      </c>
      <c r="B8" s="587"/>
      <c r="C8" s="587"/>
      <c r="D8" s="587"/>
      <c r="E8" s="771" t="s">
        <v>65</v>
      </c>
      <c r="F8" s="587"/>
      <c r="G8" s="787" t="s">
        <v>695</v>
      </c>
      <c r="H8" s="587"/>
      <c r="I8" s="772" t="s">
        <v>688</v>
      </c>
      <c r="J8" s="587"/>
      <c r="K8" s="772" t="s">
        <v>688</v>
      </c>
      <c r="L8" s="587"/>
      <c r="M8" s="772" t="s">
        <v>688</v>
      </c>
      <c r="N8" s="587"/>
      <c r="O8" s="772" t="s">
        <v>688</v>
      </c>
      <c r="P8" s="587"/>
      <c r="Q8" s="772" t="s">
        <v>688</v>
      </c>
      <c r="R8" s="587"/>
      <c r="S8" s="772" t="s">
        <v>688</v>
      </c>
      <c r="T8" s="587"/>
      <c r="U8" s="772" t="s">
        <v>688</v>
      </c>
      <c r="V8" s="587"/>
      <c r="W8" s="772" t="s">
        <v>688</v>
      </c>
      <c r="X8" s="587"/>
      <c r="Y8" s="772" t="s">
        <v>688</v>
      </c>
    </row>
    <row r="9" spans="1:25" ht="12.5">
      <c r="A9" s="587"/>
      <c r="B9" s="587" t="s">
        <v>696</v>
      </c>
      <c r="C9" s="587"/>
      <c r="D9" s="587"/>
      <c r="E9" s="587"/>
      <c r="F9" s="587"/>
      <c r="G9" s="964" t="s">
        <v>697</v>
      </c>
      <c r="H9" s="587"/>
      <c r="I9" s="815"/>
      <c r="J9" s="587"/>
      <c r="K9" s="815"/>
      <c r="L9" s="587"/>
      <c r="M9" s="815"/>
      <c r="N9" s="587"/>
      <c r="O9" s="815"/>
      <c r="P9" s="587"/>
      <c r="Q9" s="815"/>
      <c r="R9" s="587"/>
      <c r="S9" s="815"/>
      <c r="T9" s="587"/>
      <c r="U9" s="815"/>
      <c r="V9" s="587"/>
      <c r="W9" s="815"/>
      <c r="X9" s="587"/>
      <c r="Y9" s="815"/>
    </row>
    <row r="10" spans="1:25" ht="12.5">
      <c r="A10" s="587">
        <v>1</v>
      </c>
      <c r="B10" s="587" t="s">
        <v>23</v>
      </c>
      <c r="C10" s="811" t="str">
        <f>"(Attachment 4, Line "&amp;'4 - Cost Support'!A296&amp;" etc.)"</f>
        <v>(Attachment 4, Line 118 etc.)</v>
      </c>
      <c r="D10" s="587"/>
      <c r="E10" s="721"/>
      <c r="F10" s="721"/>
      <c r="G10" s="910">
        <f>+'4 - Cost Support'!T296</f>
        <v>8203295.735261539</v>
      </c>
      <c r="H10" s="910"/>
      <c r="I10" s="910">
        <f>+'4 - Cost Support'!T301</f>
        <v>0</v>
      </c>
      <c r="J10" s="910"/>
      <c r="K10" s="910">
        <f>+'4 - Cost Support'!T306</f>
        <v>0</v>
      </c>
      <c r="L10" s="910"/>
      <c r="M10" s="910">
        <f>+'4 - Cost Support'!T311</f>
        <v>0</v>
      </c>
      <c r="N10" s="910"/>
      <c r="O10" s="910">
        <f>+'4 - Cost Support'!T316</f>
        <v>0</v>
      </c>
      <c r="P10" s="910"/>
      <c r="Q10" s="910">
        <f>+'4 - Cost Support'!T321</f>
        <v>0</v>
      </c>
      <c r="R10" s="910"/>
      <c r="S10" s="910">
        <f>+'4 - Cost Support'!T326</f>
        <v>0</v>
      </c>
      <c r="T10" s="910"/>
      <c r="U10" s="910">
        <f>+'4 - Cost Support'!T331</f>
        <v>0</v>
      </c>
      <c r="V10" s="910"/>
      <c r="W10" s="910">
        <f>+'4 - Cost Support'!T336</f>
        <v>0</v>
      </c>
      <c r="X10" s="910"/>
      <c r="Y10" s="910">
        <f>+'4 - Cost Support'!T341</f>
        <v>0</v>
      </c>
    </row>
    <row r="11" spans="1:25" ht="12.5">
      <c r="A11" s="587">
        <f>+A10+1</f>
        <v>2</v>
      </c>
      <c r="B11" s="720" t="s">
        <v>32</v>
      </c>
      <c r="C11" s="812" t="str">
        <f>"(Attachment 4, Line "&amp;'4 - Cost Support'!A297&amp;" etc.)"</f>
        <v>(Attachment 4, Line 119 etc.)</v>
      </c>
      <c r="D11" s="720"/>
      <c r="E11" s="775"/>
      <c r="F11" s="775"/>
      <c r="G11" s="911">
        <f>+'4 - Cost Support'!T297</f>
        <v>0</v>
      </c>
      <c r="H11" s="911"/>
      <c r="I11" s="911">
        <f>+'4 - Cost Support'!T302</f>
        <v>0</v>
      </c>
      <c r="J11" s="911"/>
      <c r="K11" s="911">
        <f>+'4 - Cost Support'!T307</f>
        <v>0</v>
      </c>
      <c r="L11" s="911"/>
      <c r="M11" s="911">
        <f>+'4 - Cost Support'!T312</f>
        <v>0</v>
      </c>
      <c r="N11" s="911"/>
      <c r="O11" s="911">
        <f>+'4 - Cost Support'!T317</f>
        <v>0</v>
      </c>
      <c r="P11" s="911"/>
      <c r="Q11" s="911">
        <f>+'4 - Cost Support'!T322</f>
        <v>0</v>
      </c>
      <c r="R11" s="911"/>
      <c r="S11" s="911">
        <f>+'4 - Cost Support'!T327</f>
        <v>0</v>
      </c>
      <c r="T11" s="911"/>
      <c r="U11" s="911">
        <f>+'4 - Cost Support'!T332</f>
        <v>0</v>
      </c>
      <c r="V11" s="911"/>
      <c r="W11" s="911">
        <f>+'4 - Cost Support'!T337</f>
        <v>0</v>
      </c>
      <c r="X11" s="911"/>
      <c r="Y11" s="911">
        <f>+'4 - Cost Support'!T342</f>
        <v>0</v>
      </c>
    </row>
    <row r="12" spans="1:25" ht="12.5">
      <c r="A12" s="587">
        <f>+A11+1</f>
        <v>3</v>
      </c>
      <c r="B12" s="587" t="s">
        <v>17</v>
      </c>
      <c r="C12" s="587" t="str">
        <f>"(Line "&amp;A10&amp;" + "&amp;A11&amp;")"</f>
        <v>(Line 1 + 2)</v>
      </c>
      <c r="D12" s="587"/>
      <c r="E12" s="721"/>
      <c r="F12" s="721"/>
      <c r="G12" s="910">
        <f>+G10-G11</f>
        <v>8203295.735261539</v>
      </c>
      <c r="H12" s="910"/>
      <c r="I12" s="910">
        <f>+I10-I11</f>
        <v>0</v>
      </c>
      <c r="J12" s="910"/>
      <c r="K12" s="910">
        <f>+K10-K11</f>
        <v>0</v>
      </c>
      <c r="L12" s="910"/>
      <c r="M12" s="910">
        <f>+M10-M11</f>
        <v>0</v>
      </c>
      <c r="N12" s="910"/>
      <c r="O12" s="910">
        <f>+O10-O11</f>
        <v>0</v>
      </c>
      <c r="P12" s="910"/>
      <c r="Q12" s="910">
        <f>+Q10-Q11</f>
        <v>0</v>
      </c>
      <c r="R12" s="910"/>
      <c r="S12" s="910">
        <f>+S10-S11</f>
        <v>0</v>
      </c>
      <c r="T12" s="910"/>
      <c r="U12" s="910">
        <f>+U10-U11</f>
        <v>0</v>
      </c>
      <c r="V12" s="910"/>
      <c r="W12" s="910">
        <f>+W10-W11</f>
        <v>0</v>
      </c>
      <c r="X12" s="910"/>
      <c r="Y12" s="910">
        <f>+Y10-Y11</f>
        <v>0</v>
      </c>
    </row>
    <row r="13" spans="1:25" ht="12.5">
      <c r="A13" s="587"/>
      <c r="B13" s="587"/>
      <c r="C13" s="587"/>
      <c r="D13" s="587"/>
      <c r="E13" s="587"/>
      <c r="F13" s="587"/>
      <c r="G13" s="587"/>
      <c r="H13" s="587"/>
      <c r="I13" s="587"/>
      <c r="J13" s="587"/>
      <c r="K13" s="587"/>
      <c r="L13" s="587"/>
      <c r="M13" s="587"/>
      <c r="N13" s="587"/>
      <c r="O13" s="587"/>
      <c r="P13" s="587"/>
      <c r="Q13" s="587"/>
      <c r="R13" s="587"/>
      <c r="S13" s="587"/>
      <c r="T13" s="587"/>
      <c r="U13" s="587"/>
      <c r="V13" s="587"/>
      <c r="W13" s="587"/>
      <c r="X13" s="587"/>
      <c r="Y13" s="587"/>
    </row>
    <row r="14" spans="1:25" ht="25">
      <c r="A14" s="587">
        <f>+A12+1</f>
        <v>4</v>
      </c>
      <c r="B14" s="788" t="s">
        <v>698</v>
      </c>
      <c r="C14" s="812" t="str">
        <f>"(Appendix A, Line "&amp;'Appendix A'!A274&amp;")"</f>
        <v>(Appendix A, Line 163)</v>
      </c>
      <c r="D14" s="720"/>
      <c r="E14" s="720"/>
      <c r="F14" s="720"/>
      <c r="G14" s="833">
        <f>+'Appendix A'!$H$274</f>
        <v>0.1630929489533762</v>
      </c>
      <c r="H14" s="833"/>
      <c r="I14" s="833">
        <f>+'Appendix A'!$H$274</f>
        <v>0.1630929489533762</v>
      </c>
      <c r="J14" s="833"/>
      <c r="K14" s="833">
        <f>+'Appendix A'!$H$274</f>
        <v>0.1630929489533762</v>
      </c>
      <c r="L14" s="833"/>
      <c r="M14" s="833">
        <f>+'Appendix A'!$H$274</f>
        <v>0.1630929489533762</v>
      </c>
      <c r="N14" s="833"/>
      <c r="O14" s="833">
        <f>+'Appendix A'!$H$274</f>
        <v>0.1630929489533762</v>
      </c>
      <c r="P14" s="833"/>
      <c r="Q14" s="833">
        <f>+'Appendix A'!$H$274</f>
        <v>0.1630929489533762</v>
      </c>
      <c r="R14" s="833"/>
      <c r="S14" s="833">
        <f>+'Appendix A'!$H$274</f>
        <v>0.1630929489533762</v>
      </c>
      <c r="T14" s="833"/>
      <c r="U14" s="833">
        <f>+'Appendix A'!$H$274</f>
        <v>0.1630929489533762</v>
      </c>
      <c r="V14" s="833"/>
      <c r="W14" s="833">
        <f>+'Appendix A'!$H$274</f>
        <v>0.1630929489533762</v>
      </c>
      <c r="X14" s="833"/>
      <c r="Y14" s="833">
        <f>+'Appendix A'!$H$274</f>
        <v>0.1630929489533762</v>
      </c>
    </row>
    <row r="15" spans="1:25" s="770" customFormat="1" ht="25">
      <c r="A15" s="587">
        <f>+A14+1</f>
        <v>5</v>
      </c>
      <c r="B15" s="773" t="s">
        <v>699</v>
      </c>
      <c r="C15" s="587" t="str">
        <f>"(Line "&amp;A12&amp;" * Line "&amp;A14&amp;")"</f>
        <v>(Line 3 * Line 4)</v>
      </c>
      <c r="D15" s="587"/>
      <c r="E15" s="910"/>
      <c r="F15" s="910"/>
      <c r="G15" s="910">
        <f>+G12*G14</f>
        <v>1337899.6926004589</v>
      </c>
      <c r="H15" s="910"/>
      <c r="I15" s="910">
        <f>+I12*I14</f>
        <v>0</v>
      </c>
      <c r="J15" s="910"/>
      <c r="K15" s="910">
        <f>+K12*K14</f>
        <v>0</v>
      </c>
      <c r="L15" s="910"/>
      <c r="M15" s="910">
        <f>+M12*M14</f>
        <v>0</v>
      </c>
      <c r="N15" s="910"/>
      <c r="O15" s="910">
        <f>+O12*O14</f>
        <v>0</v>
      </c>
      <c r="P15" s="910"/>
      <c r="Q15" s="910">
        <f>+Q12*Q14</f>
        <v>0</v>
      </c>
      <c r="R15" s="910"/>
      <c r="S15" s="910">
        <f>+S12*S14</f>
        <v>0</v>
      </c>
      <c r="T15" s="910"/>
      <c r="U15" s="910">
        <f>+U12*U14</f>
        <v>0</v>
      </c>
      <c r="V15" s="910"/>
      <c r="W15" s="910">
        <f>+W12*W14</f>
        <v>0</v>
      </c>
      <c r="X15" s="910"/>
      <c r="Y15" s="910">
        <f>+Y12*Y14</f>
        <v>0</v>
      </c>
    </row>
    <row r="16" spans="1:25" ht="12.5">
      <c r="A16" s="975">
        <f>+A15+1</f>
        <v>6</v>
      </c>
      <c r="B16" s="587" t="s">
        <v>613</v>
      </c>
      <c r="C16" s="811" t="str">
        <f>"(Attachment 4, Line "&amp;'4 - Cost Support'!A298&amp;" etc.)"</f>
        <v>(Attachment 4, Line 120 etc.)</v>
      </c>
      <c r="D16" s="975"/>
      <c r="E16" s="914"/>
      <c r="F16" s="914"/>
      <c r="G16" s="914">
        <f>+'4 - Cost Support'!T298</f>
        <v>0</v>
      </c>
      <c r="H16" s="914"/>
      <c r="I16" s="914">
        <f>+'4 - Cost Support'!T303</f>
        <v>0</v>
      </c>
      <c r="J16" s="914"/>
      <c r="K16" s="914">
        <f>+'4 - Cost Support'!T308</f>
        <v>0</v>
      </c>
      <c r="L16" s="914"/>
      <c r="M16" s="914">
        <f>+'4 - Cost Support'!T313</f>
        <v>0</v>
      </c>
      <c r="N16" s="914"/>
      <c r="O16" s="914">
        <f>+'4 - Cost Support'!T318</f>
        <v>0</v>
      </c>
      <c r="P16" s="914"/>
      <c r="Q16" s="914">
        <f>+'4 - Cost Support'!T323</f>
        <v>0</v>
      </c>
      <c r="R16" s="914"/>
      <c r="S16" s="914">
        <f>+'4 - Cost Support'!T328</f>
        <v>0</v>
      </c>
      <c r="T16" s="914"/>
      <c r="U16" s="914">
        <f>+'4 - Cost Support'!T333</f>
        <v>0</v>
      </c>
      <c r="V16" s="914"/>
      <c r="W16" s="914">
        <f>+'4 - Cost Support'!T338</f>
        <v>0</v>
      </c>
      <c r="X16" s="914"/>
      <c r="Y16" s="914">
        <f>+'4 - Cost Support'!T343</f>
        <v>0</v>
      </c>
    </row>
    <row r="17" spans="1:25" ht="12.5">
      <c r="A17" s="975">
        <f>+A16+1</f>
        <v>7</v>
      </c>
      <c r="B17" s="720" t="s">
        <v>700</v>
      </c>
      <c r="C17" s="720" t="s">
        <v>701</v>
      </c>
      <c r="D17" s="789"/>
      <c r="E17" s="915"/>
      <c r="F17" s="915"/>
      <c r="G17" s="916">
        <v>0</v>
      </c>
      <c r="H17" s="915"/>
      <c r="I17" s="916">
        <v>0</v>
      </c>
      <c r="J17" s="915"/>
      <c r="K17" s="916">
        <v>0</v>
      </c>
      <c r="L17" s="915"/>
      <c r="M17" s="916">
        <v>0</v>
      </c>
      <c r="N17" s="915"/>
      <c r="O17" s="916">
        <v>0</v>
      </c>
      <c r="P17" s="915"/>
      <c r="Q17" s="916">
        <v>0</v>
      </c>
      <c r="R17" s="915"/>
      <c r="S17" s="916">
        <v>0</v>
      </c>
      <c r="T17" s="915"/>
      <c r="U17" s="916">
        <v>0</v>
      </c>
      <c r="V17" s="915"/>
      <c r="W17" s="916">
        <v>0</v>
      </c>
      <c r="X17" s="915"/>
      <c r="Y17" s="916">
        <v>0</v>
      </c>
    </row>
    <row r="18" spans="1:25" ht="12.5">
      <c r="A18" s="975"/>
      <c r="B18" s="975"/>
      <c r="C18" s="975"/>
      <c r="D18" s="975"/>
      <c r="E18" s="914"/>
      <c r="F18" s="914"/>
      <c r="G18" s="914"/>
      <c r="H18" s="914"/>
      <c r="I18" s="914"/>
      <c r="J18" s="914"/>
      <c r="K18" s="914"/>
      <c r="L18" s="914"/>
      <c r="M18" s="914"/>
      <c r="N18" s="914"/>
      <c r="O18" s="914"/>
      <c r="P18" s="914"/>
      <c r="Q18" s="914"/>
      <c r="R18" s="914"/>
      <c r="S18" s="914"/>
      <c r="T18" s="914"/>
      <c r="U18" s="914"/>
      <c r="V18" s="914"/>
      <c r="W18" s="914"/>
      <c r="X18" s="914"/>
      <c r="Y18" s="914"/>
    </row>
    <row r="19" spans="1:25" ht="13">
      <c r="A19" s="975">
        <f>+A17+1</f>
        <v>8</v>
      </c>
      <c r="B19" s="587" t="s">
        <v>702</v>
      </c>
      <c r="C19" s="587" t="str">
        <f>"(Line "&amp;A15&amp;" + Line "&amp;A16&amp;" + Line "&amp;A17&amp;")"</f>
        <v>(Line 5 + Line 6 + Line 7)</v>
      </c>
      <c r="D19" s="975"/>
      <c r="E19" s="917">
        <f>+SUM(G19:Y19)</f>
        <v>1337899.6926004589</v>
      </c>
      <c r="F19" s="914"/>
      <c r="G19" s="914">
        <f>+G15+G16+G17</f>
        <v>1337899.6926004589</v>
      </c>
      <c r="H19" s="914"/>
      <c r="I19" s="914">
        <f>+I15+I16+I17</f>
        <v>0</v>
      </c>
      <c r="J19" s="914"/>
      <c r="K19" s="914">
        <f>+K15+K16+K17</f>
        <v>0</v>
      </c>
      <c r="L19" s="914"/>
      <c r="M19" s="914">
        <f>+M15+M16+M17</f>
        <v>0</v>
      </c>
      <c r="N19" s="914"/>
      <c r="O19" s="914">
        <f>+O15+O16+O17</f>
        <v>0</v>
      </c>
      <c r="P19" s="914"/>
      <c r="Q19" s="914">
        <f>+Q15+Q16+Q17</f>
        <v>0</v>
      </c>
      <c r="R19" s="914"/>
      <c r="S19" s="914">
        <f>+S15+S16+S17</f>
        <v>0</v>
      </c>
      <c r="T19" s="914"/>
      <c r="U19" s="914">
        <f>+U15+U16+U17</f>
        <v>0</v>
      </c>
      <c r="V19" s="914"/>
      <c r="W19" s="914">
        <f>+W15+W16+W17</f>
        <v>0</v>
      </c>
      <c r="X19" s="914"/>
      <c r="Y19" s="914">
        <f>+Y15+Y16+Y17</f>
        <v>0</v>
      </c>
    </row>
    <row r="20" spans="1:25" ht="12.5">
      <c r="A20" s="975"/>
      <c r="B20" s="975"/>
      <c r="C20" s="975"/>
      <c r="D20" s="975"/>
      <c r="E20" s="914"/>
      <c r="F20" s="914"/>
      <c r="G20" s="914"/>
      <c r="H20" s="914"/>
      <c r="I20" s="914"/>
      <c r="J20" s="914"/>
      <c r="K20" s="914"/>
      <c r="L20" s="914"/>
      <c r="M20" s="914"/>
      <c r="N20" s="914"/>
      <c r="O20" s="914"/>
      <c r="P20" s="914"/>
      <c r="Q20" s="914"/>
      <c r="R20" s="914"/>
      <c r="S20" s="914"/>
      <c r="T20" s="914"/>
      <c r="U20" s="914"/>
      <c r="V20" s="914"/>
      <c r="W20" s="914"/>
      <c r="X20" s="914"/>
      <c r="Y20" s="914"/>
    </row>
    <row r="21" spans="1:25" ht="12.5">
      <c r="A21" s="975">
        <f>+A19+1</f>
        <v>9</v>
      </c>
      <c r="B21" s="587" t="s">
        <v>703</v>
      </c>
      <c r="C21" s="811" t="str">
        <f>"(Attachment 6B, Line "&amp;'6B - Schedule 12 True-Up'!B40&amp;")"</f>
        <v>(Attachment 6B, Line E)</v>
      </c>
      <c r="D21" s="975"/>
      <c r="E21" s="916">
        <v>0</v>
      </c>
      <c r="F21" s="914"/>
      <c r="G21" s="911">
        <f>+G19/$E$19*$E$21</f>
        <v>0</v>
      </c>
      <c r="H21" s="914"/>
      <c r="I21" s="911">
        <f>+I19/$E$19*$E$21</f>
        <v>0</v>
      </c>
      <c r="J21" s="914"/>
      <c r="K21" s="911">
        <f>+K19/$E$19*$E$21</f>
        <v>0</v>
      </c>
      <c r="L21" s="914"/>
      <c r="M21" s="911">
        <f>+M19/$E$19*$E$21</f>
        <v>0</v>
      </c>
      <c r="N21" s="914"/>
      <c r="O21" s="911">
        <f>+O19/$E$19*$E$21</f>
        <v>0</v>
      </c>
      <c r="P21" s="914"/>
      <c r="Q21" s="911">
        <f>+Q19/$E$19*$E$21</f>
        <v>0</v>
      </c>
      <c r="R21" s="914"/>
      <c r="S21" s="911">
        <f>+S19/$E$19*$E$21</f>
        <v>0</v>
      </c>
      <c r="T21" s="914"/>
      <c r="U21" s="911">
        <f>+U19/$E$19*$E$21</f>
        <v>0</v>
      </c>
      <c r="V21" s="914"/>
      <c r="W21" s="911">
        <f>+W19/$E$19*$E$21</f>
        <v>0</v>
      </c>
      <c r="X21" s="914"/>
      <c r="Y21" s="911">
        <f>+Y19/$E$19*$E$21</f>
        <v>0</v>
      </c>
    </row>
    <row r="22" spans="1:25" ht="12.5">
      <c r="A22" s="975"/>
      <c r="B22" s="587" t="s">
        <v>704</v>
      </c>
      <c r="C22" s="975"/>
      <c r="D22" s="975"/>
      <c r="E22" s="914"/>
      <c r="F22" s="914"/>
      <c r="G22" s="914"/>
      <c r="H22" s="914"/>
      <c r="I22" s="914"/>
      <c r="J22" s="914"/>
      <c r="K22" s="914"/>
      <c r="L22" s="914"/>
      <c r="M22" s="914"/>
      <c r="N22" s="914"/>
      <c r="O22" s="914"/>
      <c r="P22" s="914"/>
      <c r="Q22" s="914"/>
      <c r="R22" s="914"/>
      <c r="S22" s="914"/>
      <c r="T22" s="914"/>
      <c r="U22" s="914"/>
      <c r="V22" s="914"/>
      <c r="W22" s="914"/>
      <c r="X22" s="914"/>
      <c r="Y22" s="914"/>
    </row>
    <row r="23" spans="1:25" ht="13">
      <c r="A23" s="975">
        <f>+A21+1</f>
        <v>10</v>
      </c>
      <c r="B23" s="587" t="s">
        <v>705</v>
      </c>
      <c r="C23" s="587" t="str">
        <f>"(Line "&amp;A19&amp;" + Line "&amp;A21&amp;")"</f>
        <v>(Line 8 + Line 9)</v>
      </c>
      <c r="D23" s="975"/>
      <c r="E23" s="917">
        <f>+E19+E21</f>
        <v>1337899.6926004589</v>
      </c>
      <c r="F23" s="914"/>
      <c r="G23" s="914">
        <f>+G19+G21</f>
        <v>1337899.6926004589</v>
      </c>
      <c r="H23" s="914"/>
      <c r="I23" s="914">
        <f>+I19+I21</f>
        <v>0</v>
      </c>
      <c r="J23" s="914"/>
      <c r="K23" s="914">
        <f>+K19+K21</f>
        <v>0</v>
      </c>
      <c r="L23" s="914"/>
      <c r="M23" s="914">
        <f>+M19+M21</f>
        <v>0</v>
      </c>
      <c r="N23" s="914"/>
      <c r="O23" s="914">
        <f>+O19+O21</f>
        <v>0</v>
      </c>
      <c r="P23" s="914"/>
      <c r="Q23" s="914">
        <f>+Q19+Q21</f>
        <v>0</v>
      </c>
      <c r="R23" s="914"/>
      <c r="S23" s="914">
        <f>+S19+S21</f>
        <v>0</v>
      </c>
      <c r="T23" s="914"/>
      <c r="U23" s="914">
        <f>+U19+U21</f>
        <v>0</v>
      </c>
      <c r="V23" s="914"/>
      <c r="W23" s="914">
        <f>+W19+W21</f>
        <v>0</v>
      </c>
      <c r="X23" s="914"/>
      <c r="Y23" s="914">
        <f>+Y19+Y21</f>
        <v>0</v>
      </c>
    </row>
    <row r="24" spans="1:25" ht="12.5">
      <c r="A24" s="975"/>
      <c r="B24" s="587" t="s">
        <v>706</v>
      </c>
      <c r="C24" s="975"/>
      <c r="D24" s="975"/>
      <c r="E24" s="975"/>
      <c r="F24" s="975"/>
      <c r="G24" s="975"/>
      <c r="H24" s="975"/>
      <c r="I24" s="975"/>
      <c r="J24" s="975"/>
      <c r="K24" s="975"/>
      <c r="L24" s="975"/>
      <c r="M24" s="975"/>
      <c r="N24" s="975"/>
      <c r="O24" s="975"/>
      <c r="P24" s="975"/>
      <c r="Q24" s="975"/>
      <c r="R24" s="975"/>
      <c r="S24" s="975"/>
      <c r="T24" s="975"/>
      <c r="U24" s="975"/>
      <c r="V24" s="975"/>
      <c r="W24" s="975"/>
      <c r="X24" s="975"/>
      <c r="Y24" s="975"/>
    </row>
    <row r="25" ht="12.5"/>
    <row r="26" spans="1:25" ht="12.5">
      <c r="A26" s="975">
        <f>+A23+1</f>
        <v>11</v>
      </c>
      <c r="B26" s="587" t="s">
        <v>707</v>
      </c>
      <c r="C26" s="975"/>
      <c r="D26" s="975"/>
      <c r="E26" s="975"/>
      <c r="F26" s="975"/>
      <c r="G26" s="957">
        <v>0.099299999999999999</v>
      </c>
      <c r="H26" s="958"/>
      <c r="I26" s="957">
        <v>0</v>
      </c>
      <c r="J26" s="958"/>
      <c r="K26" s="957">
        <v>0</v>
      </c>
      <c r="L26" s="958"/>
      <c r="M26" s="957">
        <v>0</v>
      </c>
      <c r="N26" s="958"/>
      <c r="O26" s="957">
        <v>0</v>
      </c>
      <c r="P26" s="958"/>
      <c r="Q26" s="957">
        <v>0</v>
      </c>
      <c r="R26" s="958"/>
      <c r="S26" s="957">
        <v>0</v>
      </c>
      <c r="T26" s="958"/>
      <c r="U26" s="957">
        <v>0</v>
      </c>
      <c r="V26" s="958"/>
      <c r="W26" s="957">
        <v>0</v>
      </c>
      <c r="X26" s="958"/>
      <c r="Y26" s="957">
        <v>0</v>
      </c>
    </row>
    <row r="27" ht="12.5"/>
    <row r="28" spans="1:25" ht="13">
      <c r="A28" s="975">
        <f>+A26+1</f>
        <v>12</v>
      </c>
      <c r="B28" s="587" t="s">
        <v>708</v>
      </c>
      <c r="C28" s="587" t="str">
        <f>"(Line "&amp;A23&amp;" * Line "&amp;A26&amp;")"</f>
        <v>(Line 10 * Line 11)</v>
      </c>
      <c r="D28" s="975"/>
      <c r="E28" s="917">
        <f>+SUM(G28:Y28)</f>
        <v>132853.43947522558</v>
      </c>
      <c r="F28" s="975"/>
      <c r="G28" s="943">
        <f>+G23*G26</f>
        <v>132853.43947522558</v>
      </c>
      <c r="H28" s="943"/>
      <c r="I28" s="943">
        <f>+I23*I26</f>
        <v>0</v>
      </c>
      <c r="J28" s="943"/>
      <c r="K28" s="943">
        <f>+K23*K26</f>
        <v>0</v>
      </c>
      <c r="L28" s="943"/>
      <c r="M28" s="943">
        <f>+M23*M26</f>
        <v>0</v>
      </c>
      <c r="N28" s="943"/>
      <c r="O28" s="943">
        <f>+O23*O26</f>
        <v>0</v>
      </c>
      <c r="P28" s="943"/>
      <c r="Q28" s="943">
        <f>+Q23*Q26</f>
        <v>0</v>
      </c>
      <c r="R28" s="943"/>
      <c r="S28" s="943">
        <f>+S23*S26</f>
        <v>0</v>
      </c>
      <c r="T28" s="943"/>
      <c r="U28" s="943">
        <f>+U23*U26</f>
        <v>0</v>
      </c>
      <c r="V28" s="943"/>
      <c r="W28" s="943">
        <f>+W23*W26</f>
        <v>0</v>
      </c>
      <c r="X28" s="943"/>
      <c r="Y28" s="943">
        <f>+Y23*Y26</f>
        <v>0</v>
      </c>
    </row>
    <row r="29" ht="12.5"/>
    <row r="30" ht="12.5"/>
    <row r="31" ht="12.5"/>
    <row r="32" spans="1:25" ht="12.5">
      <c r="A32" s="975"/>
      <c r="B32" s="975" t="s">
        <v>709</v>
      </c>
      <c r="C32" s="975"/>
      <c r="D32" s="975"/>
      <c r="E32" s="975"/>
      <c r="F32" s="975"/>
      <c r="G32" s="975"/>
      <c r="H32" s="975"/>
      <c r="I32" s="975"/>
      <c r="J32" s="975"/>
      <c r="K32" s="975"/>
      <c r="L32" s="975"/>
      <c r="M32" s="975"/>
      <c r="N32" s="975"/>
      <c r="O32" s="975"/>
      <c r="P32" s="975"/>
      <c r="Q32" s="975"/>
      <c r="R32" s="975"/>
      <c r="S32" s="975"/>
      <c r="T32" s="975"/>
      <c r="U32" s="975"/>
      <c r="V32" s="975"/>
      <c r="W32" s="975"/>
      <c r="X32" s="975"/>
      <c r="Y32" s="975"/>
    </row>
  </sheetData>
  <pageMargins left="0.7" right="0.7" top="0.75" bottom="0.75" header="0.3" footer="0.3"/>
  <pageSetup orientation="landscape" scale="49" r:id="rId1"/>
  <customProperties>
    <customPr name="EpmWorksheetKeyString_GUID" r:id="rId2"/>
    <customPr name="_pios_id" r:id="rId3"/>
  </customPropertie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H44"/>
  <sheetViews>
    <sheetView zoomScaleSheetLayoutView="80" workbookViewId="0" topLeftCell="A1"/>
  </sheetViews>
  <sheetFormatPr defaultRowHeight="12.75"/>
  <cols>
    <col min="1" max="1" width="40.1428571428571" customWidth="1"/>
    <col min="2" max="2" width="41.7142857142857" customWidth="1"/>
    <col min="3" max="3" width="17.1428571428571" customWidth="1"/>
    <col min="4" max="4" width="9" style="999" bestFit="1" customWidth="1"/>
    <col min="5" max="5" width="7.14285714285714" bestFit="1" customWidth="1"/>
    <col min="6" max="6" width="19.4285714285714" customWidth="1"/>
    <col min="7" max="8" width="9.14285714285714" customWidth="1"/>
  </cols>
  <sheetData>
    <row r="1" spans="1:7" ht="18">
      <c r="A1" s="975"/>
      <c r="B1" s="647" t="s">
        <v>0</v>
      </c>
      <c r="C1" s="975"/>
      <c r="E1" s="975"/>
      <c r="F1" s="975"/>
      <c r="G1" s="975"/>
    </row>
    <row r="2" spans="1:7" s="717" customFormat="1" ht="18">
      <c r="A2" s="975"/>
      <c r="B2" s="647" t="str">
        <f>+'Appendix A'!A4</f>
        <v xml:space="preserve">ATTACHMENT H-15A </v>
      </c>
      <c r="C2" s="975"/>
      <c r="D2" s="999"/>
      <c r="E2" s="975"/>
      <c r="F2" s="975"/>
      <c r="G2" s="975"/>
    </row>
    <row r="3" spans="1:7" ht="18">
      <c r="A3" s="975"/>
      <c r="B3" s="647" t="s">
        <v>710</v>
      </c>
      <c r="C3" s="975"/>
      <c r="E3" s="975"/>
      <c r="F3" s="975"/>
      <c r="G3" s="975"/>
    </row>
    <row r="4" spans="1:7" ht="21.75" customHeight="1">
      <c r="A4" s="975"/>
      <c r="B4" s="974" t="s">
        <v>829</v>
      </c>
      <c r="C4" s="975"/>
      <c r="E4" s="975"/>
      <c r="F4" s="925"/>
      <c r="G4" s="975"/>
    </row>
    <row r="5" ht="12.5"/>
    <row r="6" spans="1:7" ht="12.5">
      <c r="A6" s="1186"/>
      <c r="B6" s="1186"/>
      <c r="C6" s="1186"/>
      <c r="D6" s="1186"/>
      <c r="E6" s="1186"/>
      <c r="F6" s="1186"/>
      <c r="G6" s="1186"/>
    </row>
    <row r="7" spans="1:7" ht="12.5">
      <c r="A7" s="1187"/>
      <c r="B7" s="1187"/>
      <c r="C7" s="1187"/>
      <c r="D7" s="1187"/>
      <c r="E7" s="1187"/>
      <c r="F7" s="1187"/>
      <c r="G7" s="1187"/>
    </row>
    <row r="8" spans="1:7" ht="12.5">
      <c r="A8" s="587"/>
      <c r="B8" s="587"/>
      <c r="C8" s="266"/>
      <c r="D8" s="1000"/>
      <c r="E8" s="587"/>
      <c r="F8" s="587"/>
      <c r="G8" s="587"/>
    </row>
    <row r="9" spans="1:7" ht="15.5">
      <c r="A9" s="599" t="s">
        <v>451</v>
      </c>
      <c r="B9" s="600" t="s">
        <v>711</v>
      </c>
      <c r="C9" s="600" t="s">
        <v>712</v>
      </c>
      <c r="D9" s="1001"/>
      <c r="E9" s="216"/>
      <c r="F9" s="587"/>
      <c r="G9" s="587"/>
    </row>
    <row r="10" spans="1:7" ht="15.5">
      <c r="A10" s="601"/>
      <c r="B10" s="601"/>
      <c r="C10" s="601"/>
      <c r="D10" s="1001"/>
      <c r="E10" s="216"/>
      <c r="F10" s="587"/>
      <c r="G10" s="587"/>
    </row>
    <row r="11" spans="1:7" ht="15.5">
      <c r="A11" s="599" t="s">
        <v>713</v>
      </c>
      <c r="B11" s="602"/>
      <c r="C11" s="603"/>
      <c r="D11" s="1001"/>
      <c r="E11" s="216"/>
      <c r="F11" s="587"/>
      <c r="G11" s="587"/>
    </row>
    <row r="12" spans="1:7" ht="15.5">
      <c r="A12" s="604">
        <v>350</v>
      </c>
      <c r="B12" s="602" t="s">
        <v>714</v>
      </c>
      <c r="C12" s="605" t="s">
        <v>715</v>
      </c>
      <c r="D12" s="1001"/>
      <c r="E12" s="216"/>
      <c r="F12" s="587"/>
      <c r="G12" s="587"/>
    </row>
    <row r="13" spans="1:7" ht="15.5">
      <c r="A13" s="604">
        <v>352</v>
      </c>
      <c r="B13" s="602" t="s">
        <v>716</v>
      </c>
      <c r="C13" s="736">
        <v>0.019199999999999998</v>
      </c>
      <c r="E13" s="216"/>
      <c r="F13" s="587"/>
      <c r="G13" s="587"/>
    </row>
    <row r="14" spans="1:7" ht="15.5">
      <c r="A14" s="604">
        <v>353</v>
      </c>
      <c r="B14" s="602" t="s">
        <v>717</v>
      </c>
      <c r="C14" s="736">
        <v>0.020899999999999998</v>
      </c>
      <c r="E14" s="606"/>
      <c r="F14" s="587"/>
      <c r="G14" s="587"/>
    </row>
    <row r="15" spans="1:7" ht="15.5">
      <c r="A15" s="604">
        <v>354</v>
      </c>
      <c r="B15" s="602" t="s">
        <v>718</v>
      </c>
      <c r="C15" s="736">
        <v>0.019199999999999998</v>
      </c>
      <c r="E15" s="606"/>
      <c r="F15" s="587"/>
      <c r="G15" s="587"/>
    </row>
    <row r="16" spans="1:7" ht="15.5">
      <c r="A16" s="604">
        <v>355</v>
      </c>
      <c r="B16" s="602" t="s">
        <v>719</v>
      </c>
      <c r="C16" s="736">
        <v>0.024500000000000001</v>
      </c>
      <c r="E16" s="606"/>
      <c r="F16" s="587"/>
      <c r="G16" s="587"/>
    </row>
    <row r="17" spans="1:7" ht="15.5">
      <c r="A17" s="604">
        <v>356</v>
      </c>
      <c r="B17" s="602" t="s">
        <v>720</v>
      </c>
      <c r="C17" s="736">
        <v>0.024500000000000001</v>
      </c>
      <c r="E17" s="606"/>
      <c r="F17" s="587"/>
      <c r="G17" s="587"/>
    </row>
    <row r="18" spans="1:7" ht="15.5">
      <c r="A18" s="604">
        <v>357</v>
      </c>
      <c r="B18" s="602" t="s">
        <v>721</v>
      </c>
      <c r="C18" s="736">
        <v>0.013299999999999999</v>
      </c>
      <c r="E18" s="606"/>
      <c r="F18" s="587"/>
      <c r="G18" s="587"/>
    </row>
    <row r="19" spans="1:7" ht="15.5">
      <c r="A19" s="604">
        <v>358</v>
      </c>
      <c r="B19" s="602" t="s">
        <v>722</v>
      </c>
      <c r="C19" s="736">
        <v>0.018200000000000001</v>
      </c>
      <c r="E19" s="606"/>
      <c r="F19" s="587"/>
      <c r="G19" s="587"/>
    </row>
    <row r="20" spans="1:7" ht="15.5">
      <c r="A20" s="604">
        <v>359</v>
      </c>
      <c r="B20" s="602" t="s">
        <v>723</v>
      </c>
      <c r="C20" s="736">
        <v>0.0125</v>
      </c>
      <c r="E20" s="606"/>
      <c r="F20" s="587"/>
      <c r="G20" s="587"/>
    </row>
    <row r="21" spans="1:7" ht="15.5">
      <c r="A21" s="604"/>
      <c r="B21" s="602"/>
      <c r="C21" s="605"/>
      <c r="D21" s="56"/>
      <c r="E21" s="606"/>
      <c r="F21" s="587"/>
      <c r="G21" s="587"/>
    </row>
    <row r="22" spans="1:7" ht="15.5">
      <c r="A22" s="607" t="s">
        <v>993</v>
      </c>
      <c r="B22" s="602"/>
      <c r="C22" s="608"/>
      <c r="D22" s="56"/>
      <c r="E22" s="606"/>
      <c r="F22" s="587"/>
      <c r="G22" s="587"/>
    </row>
    <row r="23" spans="1:7" ht="15.5">
      <c r="A23" s="604">
        <v>302</v>
      </c>
      <c r="B23" s="602" t="s">
        <v>724</v>
      </c>
      <c r="C23" s="605" t="s">
        <v>715</v>
      </c>
      <c r="D23" s="56"/>
      <c r="E23" s="606"/>
      <c r="F23" s="587"/>
      <c r="G23" s="587"/>
    </row>
    <row r="24" spans="1:7" ht="15.5">
      <c r="A24" s="604">
        <v>303</v>
      </c>
      <c r="B24" s="602" t="s">
        <v>725</v>
      </c>
      <c r="C24" s="736">
        <v>0.1429</v>
      </c>
      <c r="D24" s="56"/>
      <c r="E24" s="606"/>
      <c r="F24" s="587"/>
      <c r="G24" s="587"/>
    </row>
    <row r="25" spans="1:7" ht="15.5">
      <c r="A25" s="604">
        <v>390</v>
      </c>
      <c r="B25" s="609" t="s">
        <v>716</v>
      </c>
      <c r="C25" s="736">
        <v>0.033300000000000003</v>
      </c>
      <c r="D25" s="56"/>
      <c r="E25" s="606"/>
      <c r="F25" s="587"/>
      <c r="G25" s="587"/>
    </row>
    <row r="26" spans="1:7" ht="15.5">
      <c r="A26" s="1078">
        <v>362.10</v>
      </c>
      <c r="B26" s="609" t="s">
        <v>726</v>
      </c>
      <c r="C26" s="736">
        <v>0.04</v>
      </c>
      <c r="D26" s="56"/>
      <c r="E26" s="606"/>
      <c r="F26" s="587"/>
      <c r="G26" s="587"/>
    </row>
    <row r="27" spans="1:8" ht="15.5">
      <c r="A27" s="1078">
        <v>362.10</v>
      </c>
      <c r="B27" s="609" t="s">
        <v>727</v>
      </c>
      <c r="C27" s="736">
        <v>0.1429</v>
      </c>
      <c r="D27" s="56"/>
      <c r="E27" s="606"/>
      <c r="F27" s="587"/>
      <c r="G27" s="587"/>
      <c r="H27" s="975"/>
    </row>
    <row r="28" spans="1:8" ht="15.5">
      <c r="A28" s="1078">
        <v>362.20</v>
      </c>
      <c r="B28" s="609" t="s">
        <v>728</v>
      </c>
      <c r="C28" s="736">
        <v>0.12</v>
      </c>
      <c r="D28" s="56"/>
      <c r="E28" s="606"/>
      <c r="F28" s="587"/>
      <c r="G28" s="587"/>
      <c r="H28" s="975"/>
    </row>
    <row r="29" spans="1:8" ht="15.5">
      <c r="A29" s="1078">
        <v>362.20</v>
      </c>
      <c r="B29" s="609" t="s">
        <v>729</v>
      </c>
      <c r="C29" s="736">
        <v>0.12</v>
      </c>
      <c r="D29" s="56"/>
      <c r="E29" s="606"/>
      <c r="F29" s="587"/>
      <c r="G29" s="587"/>
      <c r="H29" s="975"/>
    </row>
    <row r="30" spans="1:8" ht="15.5">
      <c r="A30" s="1078">
        <v>362.20</v>
      </c>
      <c r="B30" s="609" t="s">
        <v>730</v>
      </c>
      <c r="C30" s="736">
        <v>0.12</v>
      </c>
      <c r="D30" s="56"/>
      <c r="E30" s="606"/>
      <c r="F30" s="587"/>
      <c r="G30" s="587"/>
      <c r="H30" s="975"/>
    </row>
    <row r="31" spans="1:8" ht="15.5">
      <c r="A31" s="1078">
        <v>362.20</v>
      </c>
      <c r="B31" s="609" t="s">
        <v>731</v>
      </c>
      <c r="C31" s="736">
        <v>0.12</v>
      </c>
      <c r="D31" s="56"/>
      <c r="E31" s="606"/>
      <c r="F31" s="587"/>
      <c r="G31" s="587"/>
      <c r="H31" s="975"/>
    </row>
    <row r="32" spans="1:7" ht="15.5">
      <c r="A32" s="604">
        <v>393</v>
      </c>
      <c r="B32" s="609" t="s">
        <v>732</v>
      </c>
      <c r="C32" s="736">
        <v>0.0385</v>
      </c>
      <c r="D32" s="1001"/>
      <c r="E32" s="216"/>
      <c r="F32" s="587"/>
      <c r="G32" s="587"/>
    </row>
    <row r="33" spans="1:7" ht="15.5">
      <c r="A33" s="604">
        <v>394</v>
      </c>
      <c r="B33" s="609" t="s">
        <v>733</v>
      </c>
      <c r="C33" s="736">
        <v>0.036499999999999998</v>
      </c>
      <c r="D33" s="1001"/>
      <c r="E33" s="216"/>
      <c r="F33" s="587"/>
      <c r="G33" s="587"/>
    </row>
    <row r="34" spans="1:7" ht="15.5">
      <c r="A34" s="604">
        <v>395</v>
      </c>
      <c r="B34" s="609" t="s">
        <v>734</v>
      </c>
      <c r="C34" s="736">
        <v>0.04</v>
      </c>
      <c r="D34" s="1001"/>
      <c r="E34" s="216"/>
      <c r="F34" s="587"/>
      <c r="G34" s="587"/>
    </row>
    <row r="35" spans="1:7" ht="15.5">
      <c r="A35" s="604">
        <v>396</v>
      </c>
      <c r="B35" s="609" t="s">
        <v>735</v>
      </c>
      <c r="C35" s="736">
        <v>0.05</v>
      </c>
      <c r="D35" s="1001"/>
      <c r="E35" s="216"/>
      <c r="F35" s="587"/>
      <c r="G35" s="587"/>
    </row>
    <row r="36" spans="1:7" ht="15.5">
      <c r="A36" s="1078">
        <v>362.70</v>
      </c>
      <c r="B36" s="602" t="s">
        <v>736</v>
      </c>
      <c r="C36" s="736">
        <v>0.05</v>
      </c>
      <c r="D36" s="1001"/>
      <c r="E36" s="216"/>
      <c r="F36" s="587"/>
      <c r="G36" s="587"/>
    </row>
    <row r="37" spans="1:7" ht="15.5">
      <c r="A37" s="604">
        <v>398</v>
      </c>
      <c r="B37" s="609" t="s">
        <v>737</v>
      </c>
      <c r="C37" s="736">
        <v>0.0625</v>
      </c>
      <c r="D37" s="1001"/>
      <c r="E37" s="216"/>
      <c r="F37" s="587"/>
      <c r="G37" s="587"/>
    </row>
    <row r="38" spans="1:7" ht="15.5">
      <c r="A38" s="602"/>
      <c r="B38" s="602"/>
      <c r="C38" s="602"/>
      <c r="D38" s="1002"/>
      <c r="E38" s="610"/>
      <c r="F38" s="587"/>
      <c r="G38" s="587"/>
    </row>
    <row r="39" spans="1:7" ht="15.5">
      <c r="A39" s="611" t="s">
        <v>738</v>
      </c>
      <c r="B39" s="602"/>
      <c r="C39" s="602"/>
      <c r="D39" s="1002"/>
      <c r="E39" s="602"/>
      <c r="F39" s="216"/>
      <c r="G39" s="216"/>
    </row>
    <row r="40" spans="1:7" ht="15.5">
      <c r="A40" s="602" t="s">
        <v>739</v>
      </c>
      <c r="B40" s="602"/>
      <c r="C40" s="602"/>
      <c r="D40" s="1002"/>
      <c r="E40" s="602"/>
      <c r="F40" s="216"/>
      <c r="G40" s="216"/>
    </row>
    <row r="41" spans="1:7" ht="14">
      <c r="A41" s="593"/>
      <c r="B41" s="591"/>
      <c r="C41" s="592"/>
      <c r="D41" s="1003"/>
      <c r="E41" s="594"/>
      <c r="F41" s="587"/>
      <c r="G41" s="587"/>
    </row>
    <row r="42" spans="1:7" ht="14">
      <c r="A42" s="593"/>
      <c r="B42" s="595"/>
      <c r="C42" s="591"/>
      <c r="D42" s="1004"/>
      <c r="E42" s="594"/>
      <c r="F42" s="587"/>
      <c r="G42" s="587"/>
    </row>
    <row r="43" spans="1:7" ht="14">
      <c r="A43" s="1188"/>
      <c r="B43" s="1189"/>
      <c r="C43" s="1189"/>
      <c r="D43" s="1000"/>
      <c r="E43" s="587"/>
      <c r="F43" s="587"/>
      <c r="G43" s="587"/>
    </row>
    <row r="44" spans="1:7" ht="14">
      <c r="A44" s="596"/>
      <c r="B44" s="1030"/>
      <c r="C44" s="597"/>
      <c r="D44" s="1000"/>
      <c r="E44" s="587"/>
      <c r="F44" s="587"/>
      <c r="G44" s="587"/>
    </row>
  </sheetData>
  <mergeCells count="3">
    <mergeCell ref="A6:G6"/>
    <mergeCell ref="A7:G7"/>
    <mergeCell ref="A43:C43"/>
  </mergeCells>
  <pageMargins left="0.7" right="0.7" top="0.75" bottom="0.75" header="0.3" footer="0.3"/>
  <pageSetup orientation="landscape" scale="76" r:id="rId1"/>
  <customProperties>
    <customPr name="EpmWorksheetKeyString_GUID" r:id="rId2"/>
    <customPr name="_pios_id" r:id="rId3"/>
  </customPropertie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2:AA81"/>
  <sheetViews>
    <sheetView zoomScale="70" zoomScaleNormal="70" zoomScaleSheetLayoutView="80" workbookViewId="0" topLeftCell="A1"/>
  </sheetViews>
  <sheetFormatPr defaultRowHeight="12.75"/>
  <cols>
    <col min="1" max="1" width="5.14285714285714" style="640" customWidth="1"/>
    <col min="2" max="2" width="46" customWidth="1"/>
    <col min="3" max="4" width="29" customWidth="1"/>
    <col min="5" max="7" width="18.1428571428571" customWidth="1"/>
    <col min="8" max="8" width="14.1428571428571" customWidth="1"/>
    <col min="9" max="10" width="16.2857142857143" customWidth="1"/>
    <col min="11" max="11" width="15.7142857142857" customWidth="1"/>
    <col min="12" max="12" width="16" customWidth="1"/>
    <col min="13" max="13" width="14.8571428571429" customWidth="1"/>
    <col min="14" max="14" width="16.7142857142857" customWidth="1"/>
    <col min="15" max="15" width="14.8571428571429" customWidth="1"/>
    <col min="16" max="16" width="17.1428571428571" customWidth="1"/>
    <col min="17" max="17" width="13.4285714285714" customWidth="1"/>
    <col min="18" max="18" width="15.2857142857143" customWidth="1"/>
    <col min="19" max="19" width="13.5714285714286" customWidth="1"/>
    <col min="20" max="20" width="15.7142857142857" customWidth="1"/>
    <col min="21" max="21" width="16.5714285714286" customWidth="1"/>
    <col min="22" max="22" width="14.2857142857143" customWidth="1"/>
    <col min="23" max="23" width="13.8571428571429" customWidth="1"/>
    <col min="24" max="24" width="13.5714285714286" customWidth="1"/>
    <col min="25" max="25" width="17.1428571428571" customWidth="1"/>
    <col min="26" max="26" width="17.5714285714286" customWidth="1"/>
    <col min="27" max="27" width="9.14285714285714" customWidth="1"/>
  </cols>
  <sheetData>
    <row r="2" spans="1:19" ht="20">
      <c r="A2" s="975"/>
      <c r="B2" s="975"/>
      <c r="C2" s="975"/>
      <c r="D2" s="975"/>
      <c r="E2" s="975"/>
      <c r="F2" s="975"/>
      <c r="G2" s="975"/>
      <c r="H2" s="975"/>
      <c r="I2" s="737" t="str">
        <f>+'Appendix A'!A3</f>
        <v>Dayton Power and Light</v>
      </c>
      <c r="J2" s="975"/>
      <c r="K2" s="975"/>
      <c r="L2" s="975"/>
      <c r="M2" s="975"/>
      <c r="N2" s="975"/>
      <c r="O2" s="975"/>
      <c r="P2" s="975"/>
      <c r="Q2" s="975"/>
      <c r="R2" s="975"/>
      <c r="S2" s="975"/>
    </row>
    <row r="3" spans="1:19" ht="20">
      <c r="A3" s="975"/>
      <c r="B3" s="975"/>
      <c r="C3" s="975"/>
      <c r="D3" s="975"/>
      <c r="E3" s="975"/>
      <c r="F3" s="975"/>
      <c r="G3" s="975"/>
      <c r="H3" s="975"/>
      <c r="I3" s="737" t="str">
        <f>+'Appendix A'!A4</f>
        <v xml:space="preserve">ATTACHMENT H-15A </v>
      </c>
      <c r="J3" s="975"/>
      <c r="K3" s="975"/>
      <c r="L3" s="975"/>
      <c r="M3" s="975"/>
      <c r="N3" s="975"/>
      <c r="O3" s="975"/>
      <c r="P3" s="925"/>
      <c r="Q3" s="975"/>
      <c r="R3" s="975"/>
      <c r="S3" s="975"/>
    </row>
    <row r="4" spans="1:19" ht="30" customHeight="1">
      <c r="A4" s="975"/>
      <c r="B4" s="1191" t="s">
        <v>974</v>
      </c>
      <c r="C4" s="1191"/>
      <c r="D4" s="975"/>
      <c r="E4" s="975"/>
      <c r="F4" s="975"/>
      <c r="G4" s="975"/>
      <c r="H4" s="975"/>
      <c r="I4" s="737" t="s">
        <v>822</v>
      </c>
      <c r="J4" s="975"/>
      <c r="K4" s="975"/>
      <c r="L4" s="975"/>
      <c r="M4" s="975"/>
      <c r="N4" s="975"/>
      <c r="O4" s="975"/>
      <c r="P4" s="975"/>
      <c r="Q4" s="975"/>
      <c r="R4" s="975"/>
      <c r="S4" s="975"/>
    </row>
    <row r="5" spans="1:19" s="718" customFormat="1" ht="20">
      <c r="A5" s="975"/>
      <c r="B5" s="975"/>
      <c r="C5" s="975"/>
      <c r="D5" s="975"/>
      <c r="E5" s="975"/>
      <c r="F5" s="975"/>
      <c r="G5" s="975"/>
      <c r="H5" s="975"/>
      <c r="I5" s="737" t="s">
        <v>740</v>
      </c>
      <c r="J5" s="975"/>
      <c r="K5" s="975"/>
      <c r="L5" s="975"/>
      <c r="M5" s="975"/>
      <c r="N5" s="975"/>
      <c r="O5" s="975"/>
      <c r="P5" s="975"/>
      <c r="Q5" s="975"/>
      <c r="R5" s="975"/>
      <c r="S5" s="975"/>
    </row>
    <row r="6" spans="1:19" s="718" customFormat="1" ht="20">
      <c r="A6" s="556" t="s">
        <v>370</v>
      </c>
      <c r="B6" s="975"/>
      <c r="C6" s="975"/>
      <c r="D6" s="975"/>
      <c r="E6" s="975"/>
      <c r="F6" s="975"/>
      <c r="G6" s="975"/>
      <c r="H6" s="975"/>
      <c r="I6" s="737"/>
      <c r="J6" s="975"/>
      <c r="K6" s="975"/>
      <c r="L6" s="975"/>
      <c r="M6" s="975"/>
      <c r="N6" s="975"/>
      <c r="O6" s="975"/>
      <c r="P6" s="975"/>
      <c r="Q6" s="975"/>
      <c r="R6" s="975"/>
      <c r="S6" s="975"/>
    </row>
    <row r="7" spans="1:26" ht="12.5">
      <c r="A7" s="637"/>
      <c r="B7" s="1117" t="s">
        <v>903</v>
      </c>
      <c r="C7" s="1117" t="s">
        <v>904</v>
      </c>
      <c r="D7" s="1117" t="s">
        <v>905</v>
      </c>
      <c r="E7" s="1117" t="s">
        <v>906</v>
      </c>
      <c r="F7" s="1117" t="s">
        <v>907</v>
      </c>
      <c r="G7" s="1117" t="s">
        <v>908</v>
      </c>
      <c r="H7" s="1117" t="s">
        <v>909</v>
      </c>
      <c r="I7" s="1117" t="s">
        <v>910</v>
      </c>
      <c r="J7" s="1117" t="s">
        <v>911</v>
      </c>
      <c r="K7" s="1117" t="s">
        <v>912</v>
      </c>
      <c r="L7" s="1117" t="s">
        <v>913</v>
      </c>
      <c r="M7" s="1117" t="s">
        <v>914</v>
      </c>
      <c r="N7" s="1117" t="s">
        <v>915</v>
      </c>
      <c r="O7" s="1117" t="s">
        <v>916</v>
      </c>
      <c r="P7" s="1117" t="s">
        <v>917</v>
      </c>
      <c r="Q7" s="1117" t="s">
        <v>918</v>
      </c>
      <c r="R7" s="1117" t="s">
        <v>919</v>
      </c>
      <c r="S7" s="1117" t="s">
        <v>920</v>
      </c>
      <c r="T7" s="1117" t="s">
        <v>921</v>
      </c>
      <c r="U7" s="1117" t="s">
        <v>922</v>
      </c>
      <c r="V7" s="1117" t="s">
        <v>923</v>
      </c>
      <c r="W7" s="1117" t="s">
        <v>924</v>
      </c>
      <c r="X7" s="1117" t="s">
        <v>925</v>
      </c>
      <c r="Y7" s="1117" t="s">
        <v>926</v>
      </c>
      <c r="Z7" s="1117" t="s">
        <v>927</v>
      </c>
    </row>
    <row r="8" spans="1:26" ht="93">
      <c r="A8" s="636" t="s">
        <v>763</v>
      </c>
      <c r="B8" s="636" t="s">
        <v>711</v>
      </c>
      <c r="C8" s="691" t="s">
        <v>928</v>
      </c>
      <c r="D8" s="691" t="s">
        <v>929</v>
      </c>
      <c r="E8" s="691" t="s">
        <v>930</v>
      </c>
      <c r="F8" s="691" t="s">
        <v>931</v>
      </c>
      <c r="G8" s="691" t="s">
        <v>932</v>
      </c>
      <c r="H8" s="691" t="s">
        <v>741</v>
      </c>
      <c r="I8" s="691" t="s">
        <v>933</v>
      </c>
      <c r="J8" s="691" t="s">
        <v>934</v>
      </c>
      <c r="K8" s="691" t="s">
        <v>935</v>
      </c>
      <c r="L8" s="691" t="s">
        <v>742</v>
      </c>
      <c r="M8" s="691" t="s">
        <v>743</v>
      </c>
      <c r="N8" s="691" t="s">
        <v>936</v>
      </c>
      <c r="O8" s="691" t="s">
        <v>937</v>
      </c>
      <c r="P8" s="691" t="s">
        <v>938</v>
      </c>
      <c r="Q8" s="691" t="s">
        <v>939</v>
      </c>
      <c r="R8" s="691" t="s">
        <v>940</v>
      </c>
      <c r="S8" s="691" t="s">
        <v>941</v>
      </c>
      <c r="T8" s="691" t="s">
        <v>942</v>
      </c>
      <c r="U8" s="691" t="s">
        <v>943</v>
      </c>
      <c r="V8" s="691" t="s">
        <v>944</v>
      </c>
      <c r="W8" s="691" t="s">
        <v>945</v>
      </c>
      <c r="X8" s="691" t="s">
        <v>946</v>
      </c>
      <c r="Y8" s="691" t="s">
        <v>947</v>
      </c>
      <c r="Z8" s="691" t="s">
        <v>948</v>
      </c>
    </row>
    <row r="9" spans="1:26" ht="31">
      <c r="A9" s="216"/>
      <c r="B9" s="1119" t="s">
        <v>949</v>
      </c>
      <c r="C9" s="696"/>
      <c r="D9" s="696"/>
      <c r="E9" s="1042"/>
      <c r="F9" s="1042"/>
      <c r="G9" s="1042"/>
      <c r="H9" s="1042"/>
      <c r="I9" s="1042"/>
      <c r="J9" s="1042"/>
      <c r="K9" s="1042"/>
      <c r="L9" s="1042"/>
      <c r="M9" s="1042"/>
      <c r="N9" s="1042"/>
      <c r="O9" s="1042"/>
      <c r="P9" s="1042"/>
      <c r="Q9" s="1042"/>
      <c r="R9" s="1042"/>
      <c r="S9" s="1042"/>
      <c r="T9" s="1042"/>
      <c r="U9" s="1042"/>
      <c r="V9" s="1042"/>
      <c r="W9" s="1042"/>
      <c r="X9" s="1042"/>
      <c r="Y9" s="1042"/>
      <c r="Z9" s="1042"/>
    </row>
    <row r="10" spans="1:26" ht="15.5">
      <c r="A10" s="216"/>
      <c r="B10" s="216"/>
      <c r="C10" s="216"/>
      <c r="D10" s="216"/>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row>
    <row r="11" spans="1:26" ht="15.5">
      <c r="A11" s="216"/>
      <c r="B11" s="216" t="s">
        <v>950</v>
      </c>
      <c r="C11" s="216"/>
      <c r="D11" s="216"/>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row>
    <row r="12" spans="1:26" ht="15.5">
      <c r="A12" s="216">
        <v>1</v>
      </c>
      <c r="B12" s="1120" t="s">
        <v>744</v>
      </c>
      <c r="C12" s="1013">
        <v>0</v>
      </c>
      <c r="D12" s="940">
        <f>+C12*$I$80</f>
        <v>0</v>
      </c>
      <c r="E12" s="940">
        <f>+C12-D12</f>
        <v>0</v>
      </c>
      <c r="F12" s="1013">
        <v>0</v>
      </c>
      <c r="G12" s="940">
        <v>255625</v>
      </c>
      <c r="H12" s="49">
        <v>0.14549999999999999</v>
      </c>
      <c r="I12" s="940">
        <f>+G12*H12</f>
        <v>37193.4375</v>
      </c>
      <c r="J12" s="1121" t="s">
        <v>951</v>
      </c>
      <c r="K12" s="940">
        <v>0</v>
      </c>
      <c r="L12" s="940">
        <f>+I12-K12</f>
        <v>37193.4375</v>
      </c>
      <c r="M12" s="940">
        <f>+I12/10</f>
        <v>3719.34375</v>
      </c>
      <c r="N12" s="940">
        <f>+L12-M12</f>
        <v>33474.09375</v>
      </c>
      <c r="O12" s="940">
        <f>+I12/10</f>
        <v>3719.34375</v>
      </c>
      <c r="P12" s="940">
        <f>+N12-O12</f>
        <v>29754.75</v>
      </c>
      <c r="Q12" s="940">
        <f>+P12/5</f>
        <v>5950.95</v>
      </c>
      <c r="R12" s="940">
        <f>+P12-Q12</f>
        <v>23803.80</v>
      </c>
      <c r="S12" s="940">
        <f>+$P12/5</f>
        <v>5950.95</v>
      </c>
      <c r="T12" s="940">
        <f>+R12-S12</f>
        <v>17852.849999999999</v>
      </c>
      <c r="U12" s="940">
        <f>+$P12/5</f>
        <v>5950.95</v>
      </c>
      <c r="V12" s="940">
        <f>+T12-U12</f>
        <v>11901.899999999998</v>
      </c>
      <c r="W12" s="940">
        <f>+$P12/5</f>
        <v>5950.95</v>
      </c>
      <c r="X12" s="940">
        <f>+V12-W12</f>
        <v>5950.949999999998</v>
      </c>
      <c r="Y12" s="940">
        <f>+$P12/5</f>
        <v>5950.95</v>
      </c>
      <c r="Z12" s="940">
        <f>+X12-Y12</f>
        <v>0</v>
      </c>
    </row>
    <row r="13" spans="1:26" ht="15.5">
      <c r="A13" s="216">
        <f>+A12+1</f>
        <v>2</v>
      </c>
      <c r="B13" s="1120" t="s">
        <v>745</v>
      </c>
      <c r="C13" s="1014">
        <v>0</v>
      </c>
      <c r="D13" s="940">
        <f t="shared" si="0" ref="D13:D23">+C13*$I$80</f>
        <v>0</v>
      </c>
      <c r="E13" s="940">
        <f t="shared" si="1" ref="E13:E23">+C13-D13</f>
        <v>0</v>
      </c>
      <c r="F13" s="1014">
        <v>0</v>
      </c>
      <c r="G13" s="941">
        <v>1883790</v>
      </c>
      <c r="H13" s="49">
        <v>0.14549999999999999</v>
      </c>
      <c r="I13" s="940">
        <f t="shared" si="2" ref="I13:I22">+G13*H13</f>
        <v>274091.44500000001</v>
      </c>
      <c r="J13" s="1122" t="s">
        <v>951</v>
      </c>
      <c r="K13" s="941">
        <v>0</v>
      </c>
      <c r="L13" s="569">
        <f t="shared" si="3" ref="L13:L23">+I13-K13</f>
        <v>274091.44500000001</v>
      </c>
      <c r="M13" s="940">
        <f t="shared" si="4" ref="M13:M23">+I13/10</f>
        <v>27409.144500000002</v>
      </c>
      <c r="N13" s="569">
        <f t="shared" si="5" ref="N13:N23">+L13-M13</f>
        <v>246682.30050000001</v>
      </c>
      <c r="O13" s="940">
        <f t="shared" si="6" ref="O13:O23">+I13/10</f>
        <v>27409.144500000002</v>
      </c>
      <c r="P13" s="569">
        <f t="shared" si="7" ref="P13:P23">+N13-O13</f>
        <v>219273.15600000002</v>
      </c>
      <c r="Q13" s="940">
        <f>+P13/5</f>
        <v>43854.631200000003</v>
      </c>
      <c r="R13" s="569">
        <f t="shared" si="8" ref="R13:R23">+P13-Q13</f>
        <v>175418.52480000001</v>
      </c>
      <c r="S13" s="940">
        <f t="shared" si="9" ref="S13:Y23">+$P13/5</f>
        <v>43854.631200000003</v>
      </c>
      <c r="T13" s="569">
        <f t="shared" si="10" ref="T13:T23">+R13-S13</f>
        <v>131563.89360000001</v>
      </c>
      <c r="U13" s="940">
        <f>+$P13/5</f>
        <v>43854.631200000003</v>
      </c>
      <c r="V13" s="569">
        <f t="shared" si="11" ref="V13:V23">+T13-U13</f>
        <v>87709.262400000007</v>
      </c>
      <c r="W13" s="940">
        <f>+$P13/5</f>
        <v>43854.631200000003</v>
      </c>
      <c r="X13" s="569">
        <f t="shared" si="12" ref="X13:X23">+V13-W13</f>
        <v>43854.631200000003</v>
      </c>
      <c r="Y13" s="940">
        <f>+$P13/5</f>
        <v>43854.631200000003</v>
      </c>
      <c r="Z13" s="569">
        <f t="shared" si="13" ref="Z13:Z23">+X13-Y13</f>
        <v>0</v>
      </c>
    </row>
    <row r="14" spans="1:26" ht="15.5">
      <c r="A14" s="216">
        <f t="shared" si="14" ref="A14:A23">+A13+1</f>
        <v>3</v>
      </c>
      <c r="B14" s="1120" t="s">
        <v>746</v>
      </c>
      <c r="C14" s="1014">
        <v>0</v>
      </c>
      <c r="D14" s="940">
        <f>+C14*$I$80</f>
        <v>0</v>
      </c>
      <c r="E14" s="940">
        <f>+C14-D14</f>
        <v>0</v>
      </c>
      <c r="F14" s="1014">
        <v>0</v>
      </c>
      <c r="G14" s="941">
        <v>374514</v>
      </c>
      <c r="H14" s="49">
        <v>0.14549999999999999</v>
      </c>
      <c r="I14" s="940">
        <f>+G14*H14</f>
        <v>54491.786999999997</v>
      </c>
      <c r="J14" s="1121" t="s">
        <v>951</v>
      </c>
      <c r="K14" s="941">
        <v>0</v>
      </c>
      <c r="L14" s="569">
        <f>+I14-K14</f>
        <v>54491.786999999997</v>
      </c>
      <c r="M14" s="940">
        <f>+I14/10</f>
        <v>5449.1786999999995</v>
      </c>
      <c r="N14" s="569">
        <f>+L14-M14</f>
        <v>49042.6083</v>
      </c>
      <c r="O14" s="940">
        <f>+I14/10</f>
        <v>5449.1786999999995</v>
      </c>
      <c r="P14" s="569">
        <f>+N14-O14</f>
        <v>43593.429600000003</v>
      </c>
      <c r="Q14" s="940">
        <f t="shared" si="15" ref="Q14:Q23">+P14/5</f>
        <v>8718.6859199999999</v>
      </c>
      <c r="R14" s="569">
        <f>+P14-Q14</f>
        <v>34874.74368</v>
      </c>
      <c r="S14" s="940">
        <f>+$P14/5</f>
        <v>8718.6859199999999</v>
      </c>
      <c r="T14" s="569">
        <f>+R14-S14</f>
        <v>26156.05776</v>
      </c>
      <c r="U14" s="940">
        <f>+$P14/5</f>
        <v>8718.6859199999999</v>
      </c>
      <c r="V14" s="569">
        <f>+T14-U14</f>
        <v>17437.37184</v>
      </c>
      <c r="W14" s="940">
        <f>+$P14/5</f>
        <v>8718.6859199999999</v>
      </c>
      <c r="X14" s="569">
        <f>+V14-W14</f>
        <v>8718.6859199999999</v>
      </c>
      <c r="Y14" s="940">
        <f>+$P14/5</f>
        <v>8718.6859199999999</v>
      </c>
      <c r="Z14" s="569">
        <f>+X14-Y14</f>
        <v>0</v>
      </c>
    </row>
    <row r="15" spans="1:26" ht="15.5">
      <c r="A15" s="216">
        <f>+A14+1</f>
        <v>4</v>
      </c>
      <c r="B15" s="1120" t="s">
        <v>747</v>
      </c>
      <c r="C15" s="1014">
        <v>0</v>
      </c>
      <c r="D15" s="940">
        <f>+C15*$I$80</f>
        <v>0</v>
      </c>
      <c r="E15" s="940">
        <f>+C15-D15</f>
        <v>0</v>
      </c>
      <c r="F15" s="1014">
        <v>0</v>
      </c>
      <c r="G15" s="941">
        <v>-706618</v>
      </c>
      <c r="H15" s="49">
        <v>0.14549999999999999</v>
      </c>
      <c r="I15" s="940">
        <f>+G15*H15</f>
        <v>-102812.91899999999</v>
      </c>
      <c r="J15" s="1122" t="s">
        <v>951</v>
      </c>
      <c r="K15" s="941">
        <v>0</v>
      </c>
      <c r="L15" s="569">
        <f>+I15-K15</f>
        <v>-102812.91899999999</v>
      </c>
      <c r="M15" s="940">
        <f>+I15/10</f>
        <v>-10281.2919</v>
      </c>
      <c r="N15" s="569">
        <f>+L15-M15</f>
        <v>-92531.627099999998</v>
      </c>
      <c r="O15" s="940">
        <f>+I15/10</f>
        <v>-10281.2919</v>
      </c>
      <c r="P15" s="569">
        <f>+N15-O15</f>
        <v>-82250.335200000001</v>
      </c>
      <c r="Q15" s="940">
        <f>+P15/5</f>
        <v>-16450.067040000002</v>
      </c>
      <c r="R15" s="569">
        <f>+P15-Q15</f>
        <v>-65800.268160000007</v>
      </c>
      <c r="S15" s="940">
        <f>+$P15/5</f>
        <v>-16450.067040000002</v>
      </c>
      <c r="T15" s="569">
        <f>+R15-S15</f>
        <v>-49350.201120000005</v>
      </c>
      <c r="U15" s="940">
        <f>+$P15/5</f>
        <v>-16450.067040000002</v>
      </c>
      <c r="V15" s="569">
        <f>+T15-U15</f>
        <v>-32900.134080000003</v>
      </c>
      <c r="W15" s="940">
        <f>+$P15/5</f>
        <v>-16450.067040000002</v>
      </c>
      <c r="X15" s="569">
        <f>+V15-W15</f>
        <v>-16450.067040000002</v>
      </c>
      <c r="Y15" s="940">
        <f>+$P15/5</f>
        <v>-16450.067040000002</v>
      </c>
      <c r="Z15" s="569">
        <f>+X15-Y15</f>
        <v>0</v>
      </c>
    </row>
    <row r="16" spans="1:26" ht="15.5">
      <c r="A16" s="216">
        <f>+A15+1</f>
        <v>5</v>
      </c>
      <c r="B16" s="1120" t="s">
        <v>748</v>
      </c>
      <c r="C16" s="1014">
        <v>0</v>
      </c>
      <c r="D16" s="940">
        <f>+C16*$I$80</f>
        <v>0</v>
      </c>
      <c r="E16" s="940">
        <f>+C16-D16</f>
        <v>0</v>
      </c>
      <c r="F16" s="1014">
        <v>0</v>
      </c>
      <c r="G16" s="941">
        <v>583378</v>
      </c>
      <c r="H16" s="49">
        <v>0.14549999999999999</v>
      </c>
      <c r="I16" s="940">
        <f>+G16*H16</f>
        <v>84881.498999999996</v>
      </c>
      <c r="J16" s="1121" t="s">
        <v>951</v>
      </c>
      <c r="K16" s="941">
        <v>0</v>
      </c>
      <c r="L16" s="569">
        <f>+I16-K16</f>
        <v>84881.498999999996</v>
      </c>
      <c r="M16" s="940">
        <f>+I16/10</f>
        <v>8488.1499000000003</v>
      </c>
      <c r="N16" s="569">
        <f>+L16-M16</f>
        <v>76393.349099999992</v>
      </c>
      <c r="O16" s="940">
        <f>+I16/10</f>
        <v>8488.1499000000003</v>
      </c>
      <c r="P16" s="569">
        <f>+N16-O16</f>
        <v>67905.199199999988</v>
      </c>
      <c r="Q16" s="940">
        <f>+P16/5</f>
        <v>13581.039839999998</v>
      </c>
      <c r="R16" s="569">
        <f>+P16-Q16</f>
        <v>54324.159359999991</v>
      </c>
      <c r="S16" s="940">
        <f>+$P16/5</f>
        <v>13581.039839999998</v>
      </c>
      <c r="T16" s="569">
        <f>+R16-S16</f>
        <v>40743.119519999993</v>
      </c>
      <c r="U16" s="940">
        <f>+$P16/5</f>
        <v>13581.039839999998</v>
      </c>
      <c r="V16" s="569">
        <f>+T16-U16</f>
        <v>27162.079679999995</v>
      </c>
      <c r="W16" s="940">
        <f>+$P16/5</f>
        <v>13581.039839999998</v>
      </c>
      <c r="X16" s="569">
        <f>+V16-W16</f>
        <v>13581.039839999998</v>
      </c>
      <c r="Y16" s="940">
        <f>+$P16/5</f>
        <v>13581.039839999998</v>
      </c>
      <c r="Z16" s="569">
        <f>+X16-Y16</f>
        <v>0</v>
      </c>
    </row>
    <row r="17" spans="1:26" ht="15.5">
      <c r="A17" s="216">
        <f>+A16+1</f>
        <v>6</v>
      </c>
      <c r="B17" s="1120" t="s">
        <v>749</v>
      </c>
      <c r="C17" s="1014">
        <v>0</v>
      </c>
      <c r="D17" s="940">
        <f>+C17*$I$80</f>
        <v>0</v>
      </c>
      <c r="E17" s="940">
        <f>+C17-D17</f>
        <v>0</v>
      </c>
      <c r="F17" s="1014">
        <v>0</v>
      </c>
      <c r="G17" s="941">
        <v>375192</v>
      </c>
      <c r="H17" s="49">
        <v>0.14549999999999999</v>
      </c>
      <c r="I17" s="940">
        <f>+G17*H17</f>
        <v>54590.435999999994</v>
      </c>
      <c r="J17" s="1122" t="s">
        <v>951</v>
      </c>
      <c r="K17" s="941">
        <v>0</v>
      </c>
      <c r="L17" s="569">
        <f>+I17-K17</f>
        <v>54590.435999999994</v>
      </c>
      <c r="M17" s="940">
        <f>+I17/10</f>
        <v>5459.0435999999991</v>
      </c>
      <c r="N17" s="569">
        <f>+L17-M17</f>
        <v>49131.392399999997</v>
      </c>
      <c r="O17" s="940">
        <f>+I17/10</f>
        <v>5459.0435999999991</v>
      </c>
      <c r="P17" s="569">
        <f>+N17-O17</f>
        <v>43672.3488</v>
      </c>
      <c r="Q17" s="940">
        <f>+P17/5</f>
        <v>8734.46976</v>
      </c>
      <c r="R17" s="569">
        <f>+P17-Q17</f>
        <v>34937.87904</v>
      </c>
      <c r="S17" s="940">
        <f>+$P17/5</f>
        <v>8734.46976</v>
      </c>
      <c r="T17" s="569">
        <f>+R17-S17</f>
        <v>26203.40928</v>
      </c>
      <c r="U17" s="940">
        <f>+$P17/5</f>
        <v>8734.46976</v>
      </c>
      <c r="V17" s="569">
        <f>+T17-U17</f>
        <v>17468.93952</v>
      </c>
      <c r="W17" s="940">
        <f>+$P17/5</f>
        <v>8734.46976</v>
      </c>
      <c r="X17" s="569">
        <f>+V17-W17</f>
        <v>8734.46976</v>
      </c>
      <c r="Y17" s="940">
        <f>+$P17/5</f>
        <v>8734.46976</v>
      </c>
      <c r="Z17" s="569">
        <f>+X17-Y17</f>
        <v>0</v>
      </c>
    </row>
    <row r="18" spans="1:26" ht="15.5">
      <c r="A18" s="216">
        <f>+A17+1</f>
        <v>7</v>
      </c>
      <c r="B18" s="1120" t="s">
        <v>750</v>
      </c>
      <c r="C18" s="1014">
        <v>0</v>
      </c>
      <c r="D18" s="940">
        <f>+C18*$I$80</f>
        <v>0</v>
      </c>
      <c r="E18" s="940">
        <f>+C18-D18</f>
        <v>0</v>
      </c>
      <c r="F18" s="1014">
        <v>0</v>
      </c>
      <c r="G18" s="941">
        <v>466620</v>
      </c>
      <c r="H18" s="49">
        <v>0.14549999999999999</v>
      </c>
      <c r="I18" s="940">
        <f>+G18*H18</f>
        <v>67893.209999999992</v>
      </c>
      <c r="J18" s="1121" t="s">
        <v>951</v>
      </c>
      <c r="K18" s="941">
        <v>0</v>
      </c>
      <c r="L18" s="569">
        <f>+I18-K18</f>
        <v>67893.209999999992</v>
      </c>
      <c r="M18" s="940">
        <f>+I18/10</f>
        <v>6789.320999999999</v>
      </c>
      <c r="N18" s="569">
        <f>+L18-M18</f>
        <v>61103.888999999996</v>
      </c>
      <c r="O18" s="940">
        <f>+I18/10</f>
        <v>6789.320999999999</v>
      </c>
      <c r="P18" s="569">
        <f>+N18-O18</f>
        <v>54314.567999999999</v>
      </c>
      <c r="Q18" s="940">
        <f>+P18/5</f>
        <v>10862.9136</v>
      </c>
      <c r="R18" s="569">
        <f>+P18-Q18</f>
        <v>43451.654399999999</v>
      </c>
      <c r="S18" s="940">
        <f>+$P18/5</f>
        <v>10862.9136</v>
      </c>
      <c r="T18" s="569">
        <f>+R18-S18</f>
        <v>32588.7408</v>
      </c>
      <c r="U18" s="940">
        <f>+$P18/5</f>
        <v>10862.9136</v>
      </c>
      <c r="V18" s="569">
        <f>+T18-U18</f>
        <v>21725.8272</v>
      </c>
      <c r="W18" s="940">
        <f>+$P18/5</f>
        <v>10862.9136</v>
      </c>
      <c r="X18" s="569">
        <f>+V18-W18</f>
        <v>10862.9136</v>
      </c>
      <c r="Y18" s="940">
        <f>+$P18/5</f>
        <v>10862.9136</v>
      </c>
      <c r="Z18" s="569">
        <f>+X18-Y18</f>
        <v>0</v>
      </c>
    </row>
    <row r="19" spans="1:26" ht="15.5">
      <c r="A19" s="216">
        <f>+A18+1</f>
        <v>8</v>
      </c>
      <c r="B19" s="1120" t="s">
        <v>751</v>
      </c>
      <c r="C19" s="1014">
        <v>0</v>
      </c>
      <c r="D19" s="940">
        <f>+C19*$I$80</f>
        <v>0</v>
      </c>
      <c r="E19" s="940">
        <f>+C19-D19</f>
        <v>0</v>
      </c>
      <c r="F19" s="1014">
        <v>0</v>
      </c>
      <c r="G19" s="941">
        <v>147603</v>
      </c>
      <c r="H19" s="49">
        <v>0.14180000000000001</v>
      </c>
      <c r="I19" s="940">
        <f>+G19*H19</f>
        <v>20930.1054</v>
      </c>
      <c r="J19" s="1122" t="s">
        <v>951</v>
      </c>
      <c r="K19" s="941">
        <v>0</v>
      </c>
      <c r="L19" s="569">
        <f>+I19-K19</f>
        <v>20930.1054</v>
      </c>
      <c r="M19" s="940">
        <f>+I19/10</f>
        <v>2093.0105400000002</v>
      </c>
      <c r="N19" s="569">
        <f>+L19-M19</f>
        <v>18837.094860000001</v>
      </c>
      <c r="O19" s="940">
        <f>+I19/10</f>
        <v>2093.0105400000002</v>
      </c>
      <c r="P19" s="569">
        <f>+N19-O19</f>
        <v>16744.084320000002</v>
      </c>
      <c r="Q19" s="940">
        <f>+P19/5</f>
        <v>3348.8168640000004</v>
      </c>
      <c r="R19" s="569">
        <f>+P19-Q19</f>
        <v>13395.267456000001</v>
      </c>
      <c r="S19" s="940">
        <f>+$P19/5</f>
        <v>3348.8168640000004</v>
      </c>
      <c r="T19" s="569">
        <f>+R19-S19</f>
        <v>10046.450592000001</v>
      </c>
      <c r="U19" s="940">
        <f>+$P19/5</f>
        <v>3348.8168640000004</v>
      </c>
      <c r="V19" s="569">
        <f>+T19-U19</f>
        <v>6697.6337280000007</v>
      </c>
      <c r="W19" s="940">
        <f>+$P19/5</f>
        <v>3348.8168640000004</v>
      </c>
      <c r="X19" s="569">
        <f>+V19-W19</f>
        <v>3348.8168640000004</v>
      </c>
      <c r="Y19" s="940">
        <f>+$P19/5</f>
        <v>3348.8168640000004</v>
      </c>
      <c r="Z19" s="569">
        <f>+X19-Y19</f>
        <v>0</v>
      </c>
    </row>
    <row r="20" spans="1:26" ht="15.5">
      <c r="A20" s="216">
        <f>+A19+1</f>
        <v>9</v>
      </c>
      <c r="B20" s="1120" t="s">
        <v>752</v>
      </c>
      <c r="C20" s="1014">
        <v>0</v>
      </c>
      <c r="D20" s="940">
        <f>+C20*$I$80</f>
        <v>0</v>
      </c>
      <c r="E20" s="940">
        <f>+C20-D20</f>
        <v>0</v>
      </c>
      <c r="F20" s="1014">
        <v>0</v>
      </c>
      <c r="G20" s="941">
        <v>0</v>
      </c>
      <c r="H20" s="49">
        <v>0</v>
      </c>
      <c r="I20" s="940">
        <f>+G20*H20</f>
        <v>0</v>
      </c>
      <c r="J20" s="1121" t="s">
        <v>951</v>
      </c>
      <c r="K20" s="941">
        <v>0</v>
      </c>
      <c r="L20" s="569">
        <f>+I20-K20</f>
        <v>0</v>
      </c>
      <c r="M20" s="940">
        <f>+I20/10</f>
        <v>0</v>
      </c>
      <c r="N20" s="569">
        <f>+L20-M20</f>
        <v>0</v>
      </c>
      <c r="O20" s="940">
        <f>+I20/10</f>
        <v>0</v>
      </c>
      <c r="P20" s="569">
        <f>+N20-O20</f>
        <v>0</v>
      </c>
      <c r="Q20" s="940">
        <f>+P20/5</f>
        <v>0</v>
      </c>
      <c r="R20" s="569">
        <f>+P20-Q20</f>
        <v>0</v>
      </c>
      <c r="S20" s="940">
        <f>+$P20/5</f>
        <v>0</v>
      </c>
      <c r="T20" s="569">
        <f>+R20-S20</f>
        <v>0</v>
      </c>
      <c r="U20" s="940">
        <f>+$P20/5</f>
        <v>0</v>
      </c>
      <c r="V20" s="569">
        <f>+T20-U20</f>
        <v>0</v>
      </c>
      <c r="W20" s="940">
        <f>+$P20/5</f>
        <v>0</v>
      </c>
      <c r="X20" s="569">
        <f>+V20-W20</f>
        <v>0</v>
      </c>
      <c r="Y20" s="940">
        <f>+$P20/5</f>
        <v>0</v>
      </c>
      <c r="Z20" s="569">
        <f>+X20-Y20</f>
        <v>0</v>
      </c>
    </row>
    <row r="21" spans="1:26" ht="17.5" customHeight="1">
      <c r="A21" s="216">
        <f>+A20+1</f>
        <v>10</v>
      </c>
      <c r="B21" s="1120" t="s">
        <v>753</v>
      </c>
      <c r="C21" s="1014">
        <v>0</v>
      </c>
      <c r="D21" s="940">
        <f>+C21*$I$80</f>
        <v>0</v>
      </c>
      <c r="E21" s="940">
        <f>+C21-D21</f>
        <v>0</v>
      </c>
      <c r="F21" s="1014">
        <v>0</v>
      </c>
      <c r="G21" s="941">
        <v>515334</v>
      </c>
      <c r="H21" s="49">
        <v>0</v>
      </c>
      <c r="I21" s="940">
        <f>+G21*H21</f>
        <v>0</v>
      </c>
      <c r="J21" s="1122" t="s">
        <v>951</v>
      </c>
      <c r="K21" s="941">
        <v>0</v>
      </c>
      <c r="L21" s="569">
        <f>+I21-K21</f>
        <v>0</v>
      </c>
      <c r="M21" s="940">
        <f>+I21/10</f>
        <v>0</v>
      </c>
      <c r="N21" s="569">
        <f>+L21-M21</f>
        <v>0</v>
      </c>
      <c r="O21" s="940">
        <f>+I21/10</f>
        <v>0</v>
      </c>
      <c r="P21" s="569">
        <f>+N21-O21</f>
        <v>0</v>
      </c>
      <c r="Q21" s="940">
        <f>+P21/5</f>
        <v>0</v>
      </c>
      <c r="R21" s="569">
        <f>+P21-Q21</f>
        <v>0</v>
      </c>
      <c r="S21" s="940">
        <f>+$P21/5</f>
        <v>0</v>
      </c>
      <c r="T21" s="569">
        <f>+R21-S21</f>
        <v>0</v>
      </c>
      <c r="U21" s="940">
        <f>+$P21/5</f>
        <v>0</v>
      </c>
      <c r="V21" s="569">
        <f>+T21-U21</f>
        <v>0</v>
      </c>
      <c r="W21" s="940">
        <f>+$P21/5</f>
        <v>0</v>
      </c>
      <c r="X21" s="569">
        <f>+V21-W21</f>
        <v>0</v>
      </c>
      <c r="Y21" s="940">
        <f>+$P21/5</f>
        <v>0</v>
      </c>
      <c r="Z21" s="569">
        <f>+X21-Y21</f>
        <v>0</v>
      </c>
    </row>
    <row r="22" spans="1:26" ht="15.5">
      <c r="A22" s="216">
        <f>+A21+1</f>
        <v>11</v>
      </c>
      <c r="B22" s="1120" t="s">
        <v>754</v>
      </c>
      <c r="C22" s="1014">
        <v>0</v>
      </c>
      <c r="D22" s="940">
        <f>+C22*$I$80</f>
        <v>0</v>
      </c>
      <c r="E22" s="940">
        <f>+C22-D22</f>
        <v>0</v>
      </c>
      <c r="F22" s="1014">
        <v>0</v>
      </c>
      <c r="G22" s="941">
        <v>-89600</v>
      </c>
      <c r="H22" s="49">
        <v>0.14549999999999999</v>
      </c>
      <c r="I22" s="940">
        <f>+G22*H22</f>
        <v>-13036.80</v>
      </c>
      <c r="J22" s="1121" t="s">
        <v>951</v>
      </c>
      <c r="K22" s="941">
        <v>0</v>
      </c>
      <c r="L22" s="569">
        <f>+I22-K22</f>
        <v>-13036.80</v>
      </c>
      <c r="M22" s="940">
        <f>+I22/10</f>
        <v>-1303.6799999999998</v>
      </c>
      <c r="N22" s="569">
        <f>+L22-M22</f>
        <v>-11733.12</v>
      </c>
      <c r="O22" s="940">
        <f>+I22/10</f>
        <v>-1303.6799999999998</v>
      </c>
      <c r="P22" s="569">
        <f>+N22-O22</f>
        <v>-10429.439999999999</v>
      </c>
      <c r="Q22" s="940">
        <f>+P22/5</f>
        <v>-2085.8879999999999</v>
      </c>
      <c r="R22" s="569">
        <f>+P22-Q22</f>
        <v>-8343.5519999999997</v>
      </c>
      <c r="S22" s="940">
        <f>+$P22/5</f>
        <v>-2085.8879999999999</v>
      </c>
      <c r="T22" s="569">
        <f>+R22-S22</f>
        <v>-6257.6639999999998</v>
      </c>
      <c r="U22" s="940">
        <f>+$P22/5</f>
        <v>-2085.8879999999999</v>
      </c>
      <c r="V22" s="569">
        <f>+T22-U22</f>
        <v>-4171.7759999999998</v>
      </c>
      <c r="W22" s="940">
        <f>+$P22/5</f>
        <v>-2085.8879999999999</v>
      </c>
      <c r="X22" s="569">
        <f>+V22-W22</f>
        <v>-2085.8879999999999</v>
      </c>
      <c r="Y22" s="940">
        <f>+$P22/5</f>
        <v>-2085.8879999999999</v>
      </c>
      <c r="Z22" s="569">
        <f>+X22-Y22</f>
        <v>0</v>
      </c>
    </row>
    <row r="23" spans="1:26" ht="15.5">
      <c r="A23" s="216">
        <f>+A22+1</f>
        <v>12</v>
      </c>
      <c r="B23" s="1120" t="s">
        <v>755</v>
      </c>
      <c r="C23" s="1015">
        <v>0</v>
      </c>
      <c r="D23" s="967">
        <f>+C23*$I$80</f>
        <v>0</v>
      </c>
      <c r="E23" s="967">
        <f>+C23-D23</f>
        <v>0</v>
      </c>
      <c r="F23" s="1015">
        <v>0</v>
      </c>
      <c r="G23" s="966">
        <v>98236</v>
      </c>
      <c r="H23" s="49" t="s">
        <v>756</v>
      </c>
      <c r="I23" s="1015">
        <v>15523</v>
      </c>
      <c r="J23" s="1122" t="s">
        <v>951</v>
      </c>
      <c r="K23" s="966">
        <v>0</v>
      </c>
      <c r="L23" s="1123">
        <f>+I23-K23</f>
        <v>15523</v>
      </c>
      <c r="M23" s="967">
        <f>+I23/10</f>
        <v>1552.30</v>
      </c>
      <c r="N23" s="1123">
        <f>+L23-M23</f>
        <v>13970.70</v>
      </c>
      <c r="O23" s="967">
        <f>+I23/10</f>
        <v>1552.30</v>
      </c>
      <c r="P23" s="1123">
        <f>+N23-O23</f>
        <v>12418.40</v>
      </c>
      <c r="Q23" s="967">
        <f>+P23/5</f>
        <v>2483.6800000000003</v>
      </c>
      <c r="R23" s="1123">
        <f>+P23-Q23</f>
        <v>9934.7200000000012</v>
      </c>
      <c r="S23" s="967">
        <f>+$P23/5</f>
        <v>2483.6800000000003</v>
      </c>
      <c r="T23" s="1123">
        <f>+R23-S23</f>
        <v>7451.0400000000009</v>
      </c>
      <c r="U23" s="967">
        <f>+$P23/5</f>
        <v>2483.6800000000003</v>
      </c>
      <c r="V23" s="1123">
        <f>+T23-U23</f>
        <v>4967.3600000000006</v>
      </c>
      <c r="W23" s="967">
        <f>+$P23/5</f>
        <v>2483.6800000000003</v>
      </c>
      <c r="X23" s="1123">
        <f>+V23-W23</f>
        <v>2483.6800000000003</v>
      </c>
      <c r="Y23" s="967">
        <f>+$P23/5</f>
        <v>2483.6800000000003</v>
      </c>
      <c r="Z23" s="1123">
        <f>+X23-Y23</f>
        <v>0</v>
      </c>
    </row>
    <row r="24" spans="1:26" ht="15.5">
      <c r="A24" s="216">
        <f>+A23+1</f>
        <v>13</v>
      </c>
      <c r="B24" s="692" t="s">
        <v>952</v>
      </c>
      <c r="C24" s="918">
        <f>+SUM(C12:C23)</f>
        <v>0</v>
      </c>
      <c r="D24" s="918">
        <f>+SUM(D12:D23)</f>
        <v>0</v>
      </c>
      <c r="E24" s="918">
        <f>+SUM(E12:E23)</f>
        <v>0</v>
      </c>
      <c r="F24" s="918">
        <f>+SUM(F12:F23)</f>
        <v>0</v>
      </c>
      <c r="G24" s="918">
        <f>+SUM(G12:G23)</f>
        <v>3904074</v>
      </c>
      <c r="H24" s="693"/>
      <c r="I24" s="918">
        <f t="shared" si="16" ref="I24:Z24">+SUM(I12:I23)</f>
        <v>493745.2009</v>
      </c>
      <c r="J24" s="918"/>
      <c r="K24" s="918">
        <f>+SUM(K12:K23)</f>
        <v>0</v>
      </c>
      <c r="L24" s="918">
        <f>+SUM(L12:L23)</f>
        <v>493745.2009</v>
      </c>
      <c r="M24" s="918">
        <f>+SUM(M12:M23)</f>
        <v>49374.520089999998</v>
      </c>
      <c r="N24" s="918">
        <f>+SUM(N12:N23)</f>
        <v>444370.68081000005</v>
      </c>
      <c r="O24" s="941">
        <f>+SUM(O12:O23)</f>
        <v>49374.520089999998</v>
      </c>
      <c r="P24" s="918">
        <f>+SUM(P12:P23)</f>
        <v>394996.16071999999</v>
      </c>
      <c r="Q24" s="941">
        <f>+SUM(Q12:Q23)</f>
        <v>78999.23214399998</v>
      </c>
      <c r="R24" s="918">
        <f>+SUM(R12:R23)</f>
        <v>315996.92857599992</v>
      </c>
      <c r="S24" s="941">
        <f>+SUM(S12:S23)</f>
        <v>78999.23214399998</v>
      </c>
      <c r="T24" s="918">
        <f>+SUM(T12:T23)</f>
        <v>236997.69643200003</v>
      </c>
      <c r="U24" s="941">
        <f>+SUM(U12:U23)</f>
        <v>78999.23214399998</v>
      </c>
      <c r="V24" s="918">
        <f>+SUM(V12:V23)</f>
        <v>157998.46428799996</v>
      </c>
      <c r="W24" s="941">
        <f>+SUM(W12:W23)</f>
        <v>78999.23214399998</v>
      </c>
      <c r="X24" s="918">
        <f>+SUM(X12:X23)</f>
        <v>78999.23214399998</v>
      </c>
      <c r="Y24" s="941">
        <f>+SUM(Y12:Y23)</f>
        <v>78999.23214399998</v>
      </c>
      <c r="Z24" s="918">
        <f>+SUM(Z12:Z23)</f>
        <v>0</v>
      </c>
    </row>
    <row r="25" spans="1:26" ht="18.5">
      <c r="A25" s="216"/>
      <c r="B25" s="694"/>
      <c r="C25" s="919"/>
      <c r="D25" s="919"/>
      <c r="E25" s="919"/>
      <c r="F25" s="919"/>
      <c r="G25" s="919"/>
      <c r="H25" s="693"/>
      <c r="I25" s="969"/>
      <c r="J25" s="969"/>
      <c r="K25" s="969"/>
      <c r="L25" s="969"/>
      <c r="M25" s="969"/>
      <c r="N25" s="969"/>
      <c r="O25" s="966"/>
      <c r="P25" s="969"/>
      <c r="Q25" s="966"/>
      <c r="R25" s="969"/>
      <c r="S25" s="966"/>
      <c r="T25" s="969"/>
      <c r="U25" s="966"/>
      <c r="V25" s="969"/>
      <c r="W25" s="966"/>
      <c r="X25" s="969"/>
      <c r="Y25" s="966"/>
      <c r="Z25" s="969"/>
    </row>
    <row r="26" spans="1:26" ht="18.5">
      <c r="A26" s="216"/>
      <c r="B26" s="692" t="s">
        <v>953</v>
      </c>
      <c r="C26" s="919"/>
      <c r="D26" s="919"/>
      <c r="E26" s="919"/>
      <c r="F26" s="919"/>
      <c r="G26" s="919"/>
      <c r="H26" s="693"/>
      <c r="I26" s="969"/>
      <c r="J26" s="969"/>
      <c r="K26" s="969"/>
      <c r="L26" s="969"/>
      <c r="M26" s="969"/>
      <c r="N26" s="969"/>
      <c r="O26" s="966"/>
      <c r="P26" s="969"/>
      <c r="Q26" s="966"/>
      <c r="R26" s="969"/>
      <c r="S26" s="966"/>
      <c r="T26" s="969"/>
      <c r="U26" s="966"/>
      <c r="V26" s="969"/>
      <c r="W26" s="966"/>
      <c r="X26" s="969"/>
      <c r="Y26" s="966"/>
      <c r="Z26" s="969"/>
    </row>
    <row r="27" spans="1:26" ht="15.5">
      <c r="A27" s="216">
        <f>+A24+1</f>
        <v>14</v>
      </c>
      <c r="B27" s="1124" t="s">
        <v>954</v>
      </c>
      <c r="C27" s="1014">
        <v>0</v>
      </c>
      <c r="D27" s="940">
        <f t="shared" si="17" ref="D27:D28">+C27*$I$80</f>
        <v>0</v>
      </c>
      <c r="E27" s="940">
        <f t="shared" si="18" ref="E27:E28">+C27-D27</f>
        <v>0</v>
      </c>
      <c r="F27" s="1014">
        <v>0</v>
      </c>
      <c r="G27" s="940">
        <f t="shared" si="19" ref="G27:G28">+E27+F27</f>
        <v>0</v>
      </c>
      <c r="H27" s="1125">
        <v>0</v>
      </c>
      <c r="I27" s="940">
        <f t="shared" si="20" ref="I27">+G27*H27</f>
        <v>0</v>
      </c>
      <c r="J27" s="1014"/>
      <c r="K27" s="918">
        <v>0</v>
      </c>
      <c r="L27" s="569">
        <f>+I27-K27</f>
        <v>0</v>
      </c>
      <c r="M27" s="871">
        <v>0</v>
      </c>
      <c r="N27" s="569">
        <f>+K27-M27</f>
        <v>0</v>
      </c>
      <c r="O27" s="871">
        <v>0</v>
      </c>
      <c r="P27" s="569">
        <f>+M27-O27</f>
        <v>0</v>
      </c>
      <c r="Q27" s="871">
        <v>0</v>
      </c>
      <c r="R27" s="569">
        <f>+O27-Q27</f>
        <v>0</v>
      </c>
      <c r="S27" s="1013">
        <v>0</v>
      </c>
      <c r="T27" s="569">
        <f>+Q27-S27</f>
        <v>0</v>
      </c>
      <c r="U27" s="1013">
        <v>0</v>
      </c>
      <c r="V27" s="569">
        <f t="shared" si="21" ref="V27:V28">+T27-U27</f>
        <v>0</v>
      </c>
      <c r="W27" s="1013">
        <v>0</v>
      </c>
      <c r="X27" s="569">
        <f>+U27-W27</f>
        <v>0</v>
      </c>
      <c r="Y27" s="940">
        <f t="shared" si="22" ref="Y27:Y28">+$P27/5</f>
        <v>0</v>
      </c>
      <c r="Z27" s="569">
        <f>+W27-Y27</f>
        <v>0</v>
      </c>
    </row>
    <row r="28" spans="1:26" ht="15.5">
      <c r="A28" s="216">
        <f>+A27+1</f>
        <v>15</v>
      </c>
      <c r="B28" s="1124" t="s">
        <v>954</v>
      </c>
      <c r="C28" s="1015">
        <v>0</v>
      </c>
      <c r="D28" s="967">
        <f>+C28*$I$80</f>
        <v>0</v>
      </c>
      <c r="E28" s="967">
        <f>+C28-D28</f>
        <v>0</v>
      </c>
      <c r="F28" s="1015">
        <v>0</v>
      </c>
      <c r="G28" s="967">
        <f>+E28+F28</f>
        <v>0</v>
      </c>
      <c r="H28" s="1126" t="s">
        <v>756</v>
      </c>
      <c r="I28" s="1015">
        <v>0</v>
      </c>
      <c r="J28" s="1014"/>
      <c r="K28" s="969">
        <v>0</v>
      </c>
      <c r="L28" s="1123">
        <f>+I28-K28</f>
        <v>0</v>
      </c>
      <c r="M28" s="1127">
        <v>0</v>
      </c>
      <c r="N28" s="1123">
        <f>+K28-M28</f>
        <v>0</v>
      </c>
      <c r="O28" s="1127">
        <v>0</v>
      </c>
      <c r="P28" s="1123">
        <f>+M28-O28</f>
        <v>0</v>
      </c>
      <c r="Q28" s="1127">
        <v>0</v>
      </c>
      <c r="R28" s="1123">
        <f>+O28-Q28</f>
        <v>0</v>
      </c>
      <c r="S28" s="1128">
        <v>0</v>
      </c>
      <c r="T28" s="1123">
        <f>+Q28-S28</f>
        <v>0</v>
      </c>
      <c r="U28" s="1128">
        <v>0</v>
      </c>
      <c r="V28" s="1123">
        <f>+T28-U28</f>
        <v>0</v>
      </c>
      <c r="W28" s="1128">
        <v>0</v>
      </c>
      <c r="X28" s="1123">
        <f>+U28-W28</f>
        <v>0</v>
      </c>
      <c r="Y28" s="967">
        <f>+$P28/5</f>
        <v>0</v>
      </c>
      <c r="Z28" s="1123">
        <f>+W28-Y28</f>
        <v>0</v>
      </c>
    </row>
    <row r="29" spans="1:26" ht="15.5">
      <c r="A29" s="216">
        <f>+A28+1</f>
        <v>16</v>
      </c>
      <c r="B29" s="695" t="s">
        <v>955</v>
      </c>
      <c r="C29" s="918">
        <f>+C27+C28</f>
        <v>0</v>
      </c>
      <c r="D29" s="918">
        <f>+D27+D28</f>
        <v>0</v>
      </c>
      <c r="E29" s="918">
        <f>+E27+E28</f>
        <v>0</v>
      </c>
      <c r="F29" s="918">
        <f>+F27+F28</f>
        <v>0</v>
      </c>
      <c r="G29" s="918">
        <f>+G27+G28</f>
        <v>0</v>
      </c>
      <c r="H29" s="49"/>
      <c r="I29" s="918">
        <f>+I27+I28</f>
        <v>0</v>
      </c>
      <c r="J29" s="918"/>
      <c r="K29" s="918">
        <f t="shared" si="23" ref="K29:U29">+K27+K28</f>
        <v>0</v>
      </c>
      <c r="L29" s="569">
        <f>+L27+L28</f>
        <v>0</v>
      </c>
      <c r="M29" s="569">
        <f>+M27+M28</f>
        <v>0</v>
      </c>
      <c r="N29" s="569">
        <f>+N27+N28</f>
        <v>0</v>
      </c>
      <c r="O29" s="569">
        <f>+O27+O28</f>
        <v>0</v>
      </c>
      <c r="P29" s="569">
        <f>+P27+P28</f>
        <v>0</v>
      </c>
      <c r="Q29" s="569">
        <f>+Q27+Q28</f>
        <v>0</v>
      </c>
      <c r="R29" s="569">
        <f>+R27+R28</f>
        <v>0</v>
      </c>
      <c r="S29" s="569">
        <f>+S27+S28</f>
        <v>0</v>
      </c>
      <c r="T29" s="569">
        <f>+T27+T28</f>
        <v>0</v>
      </c>
      <c r="U29" s="569">
        <f>+U27+U28</f>
        <v>0</v>
      </c>
      <c r="V29" s="918">
        <f t="shared" si="24" ref="V29">+SUM(V17:V28)</f>
        <v>204686.44873599996</v>
      </c>
      <c r="W29" s="569">
        <f>+W27+W28</f>
        <v>0</v>
      </c>
      <c r="X29" s="569">
        <f>+X27+X28</f>
        <v>0</v>
      </c>
      <c r="Y29" s="569">
        <f>+Y27+Y28</f>
        <v>0</v>
      </c>
      <c r="Z29" s="569">
        <f>+Z27+Z28</f>
        <v>0</v>
      </c>
    </row>
    <row r="30" spans="1:26" ht="15.5">
      <c r="A30" s="216"/>
      <c r="B30" s="695"/>
      <c r="C30" s="918"/>
      <c r="D30" s="918"/>
      <c r="E30" s="918"/>
      <c r="F30" s="918"/>
      <c r="G30" s="918"/>
      <c r="H30" s="49"/>
      <c r="I30" s="918"/>
      <c r="J30" s="918"/>
      <c r="K30" s="918"/>
      <c r="L30" s="569"/>
      <c r="M30" s="569"/>
      <c r="N30" s="569"/>
      <c r="O30" s="569"/>
      <c r="P30" s="569"/>
      <c r="Q30" s="569"/>
      <c r="R30" s="569"/>
      <c r="S30" s="569"/>
      <c r="T30" s="569"/>
      <c r="U30" s="569"/>
      <c r="V30" s="569"/>
      <c r="W30" s="569"/>
      <c r="X30" s="569"/>
      <c r="Y30" s="569"/>
      <c r="Z30" s="569"/>
    </row>
    <row r="31" spans="1:26" ht="15.5">
      <c r="A31" s="216"/>
      <c r="B31" s="695" t="s">
        <v>956</v>
      </c>
      <c r="C31" s="918"/>
      <c r="D31" s="918"/>
      <c r="E31" s="918"/>
      <c r="F31" s="918"/>
      <c r="G31" s="918"/>
      <c r="H31" s="49"/>
      <c r="I31" s="918"/>
      <c r="J31" s="918"/>
      <c r="K31" s="918"/>
      <c r="L31" s="569"/>
      <c r="M31" s="569"/>
      <c r="N31" s="569"/>
      <c r="O31" s="569"/>
      <c r="P31" s="569"/>
      <c r="Q31" s="569"/>
      <c r="R31" s="569"/>
      <c r="S31" s="569"/>
      <c r="T31" s="569"/>
      <c r="U31" s="569"/>
      <c r="V31" s="569"/>
      <c r="W31" s="569"/>
      <c r="X31" s="569"/>
      <c r="Y31" s="569"/>
      <c r="Z31" s="569"/>
    </row>
    <row r="32" spans="1:26" ht="15.5">
      <c r="A32" s="216">
        <f>+A29+1</f>
        <v>17</v>
      </c>
      <c r="B32" s="1124" t="s">
        <v>954</v>
      </c>
      <c r="C32" s="1014">
        <v>0</v>
      </c>
      <c r="D32" s="940">
        <f t="shared" si="25" ref="D32:D35">+C32*$I$80</f>
        <v>0</v>
      </c>
      <c r="E32" s="940">
        <f t="shared" si="26" ref="E32:E35">+C32-D32</f>
        <v>0</v>
      </c>
      <c r="F32" s="1014">
        <v>0</v>
      </c>
      <c r="G32" s="941">
        <v>0</v>
      </c>
      <c r="H32" s="1125">
        <v>0</v>
      </c>
      <c r="I32" s="940">
        <f t="shared" si="27" ref="I32:I34">+G32*H32</f>
        <v>0</v>
      </c>
      <c r="J32" s="1014"/>
      <c r="K32" s="918">
        <v>0</v>
      </c>
      <c r="L32" s="569">
        <f t="shared" si="28" ref="L32:L35">+I32-K32</f>
        <v>0</v>
      </c>
      <c r="M32" s="871">
        <v>0</v>
      </c>
      <c r="N32" s="569">
        <f t="shared" si="29" ref="N32:N35">+L32-M32</f>
        <v>0</v>
      </c>
      <c r="O32" s="871">
        <v>0</v>
      </c>
      <c r="P32" s="569">
        <f t="shared" si="30" ref="P32:P35">+N32-O32</f>
        <v>0</v>
      </c>
      <c r="Q32" s="871">
        <v>0</v>
      </c>
      <c r="R32" s="569">
        <f t="shared" si="31" ref="R32:R35">+P32-Q32</f>
        <v>0</v>
      </c>
      <c r="S32" s="871">
        <v>0</v>
      </c>
      <c r="T32" s="569">
        <f t="shared" si="32" ref="T32:T35">+R32-S32</f>
        <v>0</v>
      </c>
      <c r="U32" s="871">
        <v>0</v>
      </c>
      <c r="V32" s="569">
        <f t="shared" si="33" ref="V32:V35">+T32-U32</f>
        <v>0</v>
      </c>
      <c r="W32" s="871">
        <v>0</v>
      </c>
      <c r="X32" s="569">
        <f t="shared" si="34" ref="X32:X35">+V32-W32</f>
        <v>0</v>
      </c>
      <c r="Y32" s="940">
        <f>+$P32/5</f>
        <v>0</v>
      </c>
      <c r="Z32" s="569">
        <f t="shared" si="35" ref="Z32:Z35">+X32-Y32</f>
        <v>0</v>
      </c>
    </row>
    <row r="33" spans="1:26" ht="15.5">
      <c r="A33" s="216">
        <f>+A32+1</f>
        <v>18</v>
      </c>
      <c r="B33" s="1124" t="s">
        <v>954</v>
      </c>
      <c r="C33" s="1014">
        <v>0</v>
      </c>
      <c r="D33" s="940">
        <f>+C33*$I$80</f>
        <v>0</v>
      </c>
      <c r="E33" s="940">
        <f>+C33-D33</f>
        <v>0</v>
      </c>
      <c r="F33" s="1014">
        <v>0</v>
      </c>
      <c r="G33" s="941">
        <v>0</v>
      </c>
      <c r="H33" s="1125">
        <v>0</v>
      </c>
      <c r="I33" s="940">
        <f>+G33*H33</f>
        <v>0</v>
      </c>
      <c r="J33" s="1014"/>
      <c r="K33" s="918">
        <v>0</v>
      </c>
      <c r="L33" s="569">
        <f>+I33-K33</f>
        <v>0</v>
      </c>
      <c r="M33" s="871">
        <v>0</v>
      </c>
      <c r="N33" s="569">
        <f>+L33-M33</f>
        <v>0</v>
      </c>
      <c r="O33" s="871">
        <v>0</v>
      </c>
      <c r="P33" s="569">
        <f>+N33-O33</f>
        <v>0</v>
      </c>
      <c r="Q33" s="871">
        <v>0</v>
      </c>
      <c r="R33" s="569">
        <f>+P33-Q33</f>
        <v>0</v>
      </c>
      <c r="S33" s="871">
        <v>0</v>
      </c>
      <c r="T33" s="569">
        <f>+R33-S33</f>
        <v>0</v>
      </c>
      <c r="U33" s="871">
        <v>0</v>
      </c>
      <c r="V33" s="569">
        <f>+T33-U33</f>
        <v>0</v>
      </c>
      <c r="W33" s="871">
        <v>0</v>
      </c>
      <c r="X33" s="569">
        <f>+V33-W33</f>
        <v>0</v>
      </c>
      <c r="Y33" s="940">
        <f t="shared" si="36" ref="Y33:Y35">+$P33/5</f>
        <v>0</v>
      </c>
      <c r="Z33" s="569">
        <f>+X33-Y33</f>
        <v>0</v>
      </c>
    </row>
    <row r="34" spans="1:26" ht="15.5">
      <c r="A34" s="216">
        <f>+A33+1</f>
        <v>19</v>
      </c>
      <c r="B34" s="1124" t="s">
        <v>954</v>
      </c>
      <c r="C34" s="1014">
        <v>0</v>
      </c>
      <c r="D34" s="940">
        <f>+C34*$I$80</f>
        <v>0</v>
      </c>
      <c r="E34" s="940">
        <f>+C34-D34</f>
        <v>0</v>
      </c>
      <c r="F34" s="1014">
        <v>0</v>
      </c>
      <c r="G34" s="941">
        <v>0</v>
      </c>
      <c r="H34" s="1125">
        <v>0</v>
      </c>
      <c r="I34" s="940">
        <f>+G34*H34</f>
        <v>0</v>
      </c>
      <c r="J34" s="1014"/>
      <c r="K34" s="918">
        <v>0</v>
      </c>
      <c r="L34" s="569">
        <f>+I34-K34</f>
        <v>0</v>
      </c>
      <c r="M34" s="871">
        <v>0</v>
      </c>
      <c r="N34" s="569">
        <f>+L34-M34</f>
        <v>0</v>
      </c>
      <c r="O34" s="871">
        <v>0</v>
      </c>
      <c r="P34" s="569">
        <f>+N34-O34</f>
        <v>0</v>
      </c>
      <c r="Q34" s="871">
        <v>0</v>
      </c>
      <c r="R34" s="569">
        <f>+P34-Q34</f>
        <v>0</v>
      </c>
      <c r="S34" s="871">
        <v>0</v>
      </c>
      <c r="T34" s="569">
        <f>+R34-S34</f>
        <v>0</v>
      </c>
      <c r="U34" s="871">
        <v>0</v>
      </c>
      <c r="V34" s="569">
        <f>+T34-U34</f>
        <v>0</v>
      </c>
      <c r="W34" s="871">
        <v>0</v>
      </c>
      <c r="X34" s="569">
        <f>+V34-W34</f>
        <v>0</v>
      </c>
      <c r="Y34" s="940">
        <f>+$P34/5</f>
        <v>0</v>
      </c>
      <c r="Z34" s="569">
        <f>+X34-Y34</f>
        <v>0</v>
      </c>
    </row>
    <row r="35" spans="1:26" ht="15.5">
      <c r="A35" s="216">
        <f>+A34+1</f>
        <v>20</v>
      </c>
      <c r="B35" s="1124" t="s">
        <v>954</v>
      </c>
      <c r="C35" s="1015">
        <v>0</v>
      </c>
      <c r="D35" s="967">
        <f>+C35*$I$80</f>
        <v>0</v>
      </c>
      <c r="E35" s="967">
        <f>+C35-D35</f>
        <v>0</v>
      </c>
      <c r="F35" s="1015">
        <v>0</v>
      </c>
      <c r="G35" s="966">
        <v>0</v>
      </c>
      <c r="H35" s="1126" t="s">
        <v>756</v>
      </c>
      <c r="I35" s="1015">
        <v>0</v>
      </c>
      <c r="J35" s="1014"/>
      <c r="K35" s="969">
        <v>0</v>
      </c>
      <c r="L35" s="1123">
        <f>+I35-K35</f>
        <v>0</v>
      </c>
      <c r="M35" s="1127">
        <v>0</v>
      </c>
      <c r="N35" s="1123">
        <f>+L35-M35</f>
        <v>0</v>
      </c>
      <c r="O35" s="1127">
        <v>0</v>
      </c>
      <c r="P35" s="1123">
        <f>+N35-O35</f>
        <v>0</v>
      </c>
      <c r="Q35" s="1127">
        <v>0</v>
      </c>
      <c r="R35" s="1123">
        <f>+P35-Q35</f>
        <v>0</v>
      </c>
      <c r="S35" s="1127">
        <v>0</v>
      </c>
      <c r="T35" s="1123">
        <f>+R35-S35</f>
        <v>0</v>
      </c>
      <c r="U35" s="1127">
        <v>0</v>
      </c>
      <c r="V35" s="1123">
        <f>+T35-U35</f>
        <v>0</v>
      </c>
      <c r="W35" s="1127">
        <v>0</v>
      </c>
      <c r="X35" s="1123">
        <f>+V35-W35</f>
        <v>0</v>
      </c>
      <c r="Y35" s="967">
        <f>+$P35/5</f>
        <v>0</v>
      </c>
      <c r="Z35" s="1123">
        <f>+X35-Y35</f>
        <v>0</v>
      </c>
    </row>
    <row r="36" spans="1:26" ht="15.5">
      <c r="A36" s="216">
        <f>+A35+1</f>
        <v>21</v>
      </c>
      <c r="B36" s="695" t="s">
        <v>957</v>
      </c>
      <c r="C36" s="918">
        <f>+C34+C35</f>
        <v>0</v>
      </c>
      <c r="D36" s="918">
        <f>+D34+D35</f>
        <v>0</v>
      </c>
      <c r="E36" s="918">
        <f>+SUM(E32:E35)</f>
        <v>0</v>
      </c>
      <c r="F36" s="918">
        <f>+SUM(F32:F35)</f>
        <v>0</v>
      </c>
      <c r="G36" s="918">
        <f>+SUM(G32:G35)</f>
        <v>0</v>
      </c>
      <c r="H36" s="693"/>
      <c r="I36" s="918">
        <f>+SUM(I32:I35)</f>
        <v>0</v>
      </c>
      <c r="J36" s="918"/>
      <c r="K36" s="918">
        <f t="shared" si="37" ref="K36:Z36">+SUM(K32:K35)</f>
        <v>0</v>
      </c>
      <c r="L36" s="918">
        <f>+SUM(L32:L35)</f>
        <v>0</v>
      </c>
      <c r="M36" s="918">
        <f>+SUM(M32:M35)</f>
        <v>0</v>
      </c>
      <c r="N36" s="918">
        <f>+SUM(N32:N35)</f>
        <v>0</v>
      </c>
      <c r="O36" s="918">
        <f>+SUM(O32:O35)</f>
        <v>0</v>
      </c>
      <c r="P36" s="918">
        <f>+SUM(P32:P35)</f>
        <v>0</v>
      </c>
      <c r="Q36" s="918">
        <f>+SUM(Q32:Q35)</f>
        <v>0</v>
      </c>
      <c r="R36" s="918">
        <f>+SUM(R32:R35)</f>
        <v>0</v>
      </c>
      <c r="S36" s="918">
        <f>+SUM(S32:S35)</f>
        <v>0</v>
      </c>
      <c r="T36" s="918">
        <f>+SUM(T32:T35)</f>
        <v>0</v>
      </c>
      <c r="U36" s="918">
        <f>+SUM(U32:U35)</f>
        <v>0</v>
      </c>
      <c r="V36" s="918">
        <f>+SUM(V32:V35)</f>
        <v>0</v>
      </c>
      <c r="W36" s="918">
        <f>+SUM(W32:W35)</f>
        <v>0</v>
      </c>
      <c r="X36" s="918">
        <f>+SUM(X32:X35)</f>
        <v>0</v>
      </c>
      <c r="Y36" s="918">
        <f>+SUM(Y32:Y35)</f>
        <v>0</v>
      </c>
      <c r="Z36" s="918">
        <f>+SUM(Z32:Z35)</f>
        <v>0</v>
      </c>
    </row>
    <row r="37" spans="1:26" ht="15.5">
      <c r="A37" s="216"/>
      <c r="B37" s="695"/>
      <c r="C37" s="695"/>
      <c r="D37" s="695"/>
      <c r="E37" s="918"/>
      <c r="F37" s="918"/>
      <c r="G37" s="918"/>
      <c r="H37" s="693"/>
      <c r="I37" s="918"/>
      <c r="J37" s="918"/>
      <c r="K37" s="918"/>
      <c r="L37" s="569"/>
      <c r="M37" s="569"/>
      <c r="N37" s="569"/>
      <c r="O37" s="569"/>
      <c r="P37" s="569"/>
      <c r="Q37" s="569"/>
      <c r="R37" s="569"/>
      <c r="S37" s="569"/>
      <c r="T37" s="569"/>
      <c r="U37" s="569"/>
      <c r="V37" s="569"/>
      <c r="W37" s="569"/>
      <c r="X37" s="569"/>
      <c r="Y37" s="569"/>
      <c r="Z37" s="569"/>
    </row>
    <row r="38" spans="1:26" ht="31">
      <c r="A38" s="216">
        <f>+A36+1</f>
        <v>22</v>
      </c>
      <c r="B38" s="695" t="s">
        <v>958</v>
      </c>
      <c r="C38" s="695"/>
      <c r="D38" s="695"/>
      <c r="E38" s="918">
        <f>+E24+E29+E36</f>
        <v>0</v>
      </c>
      <c r="F38" s="918"/>
      <c r="G38" s="918">
        <f>+G24+G29+G36</f>
        <v>3904074</v>
      </c>
      <c r="H38" s="693"/>
      <c r="I38" s="918">
        <f>+I24+I29+I36</f>
        <v>493745.2009</v>
      </c>
      <c r="J38" s="918"/>
      <c r="K38" s="918">
        <f>+K24+K29+K36</f>
        <v>0</v>
      </c>
      <c r="L38" s="918">
        <f t="shared" si="38" ref="L38:Z38">+L24+L29+L36</f>
        <v>493745.2009</v>
      </c>
      <c r="M38" s="918">
        <f>+M24+M29+M36</f>
        <v>49374.520089999998</v>
      </c>
      <c r="N38" s="918">
        <f>+N24+N29+N36</f>
        <v>444370.68081000005</v>
      </c>
      <c r="O38" s="918">
        <f>+O24+O29+O36</f>
        <v>49374.520089999998</v>
      </c>
      <c r="P38" s="918">
        <f>+P24+P29+P36</f>
        <v>394996.16071999999</v>
      </c>
      <c r="Q38" s="918">
        <f>+Q24+Q29+Q36</f>
        <v>78999.23214399998</v>
      </c>
      <c r="R38" s="918">
        <f>+R24+R29+R36</f>
        <v>315996.92857599992</v>
      </c>
      <c r="S38" s="918">
        <f>+S24+S29+S36</f>
        <v>78999.23214399998</v>
      </c>
      <c r="T38" s="918">
        <f>+T24+T29+T36</f>
        <v>236997.69643200003</v>
      </c>
      <c r="U38" s="918">
        <f>+U24+U29+U36</f>
        <v>78999.23214399998</v>
      </c>
      <c r="V38" s="918">
        <f>+V24+V29+V36</f>
        <v>362684.91302399989</v>
      </c>
      <c r="W38" s="918">
        <f>+W24+W29+W36</f>
        <v>78999.23214399998</v>
      </c>
      <c r="X38" s="918">
        <f>+X24+X29+X36</f>
        <v>78999.23214399998</v>
      </c>
      <c r="Y38" s="918">
        <f>+Y24+Y29+Y36</f>
        <v>78999.23214399998</v>
      </c>
      <c r="Z38" s="918">
        <f>+Z24+Z29+Z36</f>
        <v>0</v>
      </c>
    </row>
    <row r="39" spans="1:26" ht="15.5">
      <c r="A39" s="216">
        <f>+A38+1</f>
        <v>23</v>
      </c>
      <c r="B39" s="695" t="s">
        <v>959</v>
      </c>
      <c r="C39" s="695"/>
      <c r="D39" s="695"/>
      <c r="E39" s="969">
        <v>0</v>
      </c>
      <c r="F39" s="969"/>
      <c r="G39" s="969">
        <v>1037791.82278481</v>
      </c>
      <c r="H39" s="693"/>
      <c r="I39" s="969">
        <v>131248.72428987341</v>
      </c>
      <c r="J39" s="918"/>
      <c r="K39" s="969"/>
      <c r="L39" s="969">
        <v>131248.72428987341</v>
      </c>
      <c r="M39" s="569"/>
      <c r="N39" s="969">
        <v>118123.85186088608</v>
      </c>
      <c r="O39" s="569"/>
      <c r="P39" s="969">
        <v>104998.97943189873</v>
      </c>
      <c r="Q39" s="569"/>
      <c r="R39" s="969">
        <v>83999.183545518958</v>
      </c>
      <c r="S39" s="569"/>
      <c r="T39" s="969">
        <v>62999.38765913924</v>
      </c>
      <c r="U39" s="569"/>
      <c r="V39" s="969">
        <v>96409.913588658193</v>
      </c>
      <c r="W39" s="569"/>
      <c r="X39" s="969">
        <v>20999.795886379739</v>
      </c>
      <c r="Y39" s="569"/>
      <c r="Z39" s="969">
        <v>0</v>
      </c>
    </row>
    <row r="40" spans="1:26" ht="31">
      <c r="A40" s="216">
        <f>+A39+1</f>
        <v>24</v>
      </c>
      <c r="B40" s="695" t="s">
        <v>960</v>
      </c>
      <c r="C40" s="695"/>
      <c r="D40" s="695"/>
      <c r="E40" s="918">
        <f>+E38+E39</f>
        <v>0</v>
      </c>
      <c r="F40" s="969"/>
      <c r="G40" s="918">
        <f>+G38+G39</f>
        <v>4941865.8227848103</v>
      </c>
      <c r="H40" s="693"/>
      <c r="I40" s="918">
        <f>+I38+I39</f>
        <v>624993.92518987344</v>
      </c>
      <c r="J40" s="918"/>
      <c r="K40" s="918"/>
      <c r="L40" s="918">
        <f>+L38+L39</f>
        <v>624993.92518987344</v>
      </c>
      <c r="M40" s="569"/>
      <c r="N40" s="918">
        <f>+N38+N39</f>
        <v>562494.53267088614</v>
      </c>
      <c r="O40" s="569"/>
      <c r="P40" s="918">
        <f>+P38+P39</f>
        <v>499995.14015189873</v>
      </c>
      <c r="Q40" s="569"/>
      <c r="R40" s="918">
        <f>+R38+R39</f>
        <v>399996.11212151888</v>
      </c>
      <c r="S40" s="569"/>
      <c r="T40" s="918">
        <f>+T38+T39</f>
        <v>299997.08409113926</v>
      </c>
      <c r="U40" s="569"/>
      <c r="V40" s="918">
        <f>+V38+V39</f>
        <v>459094.8266126581</v>
      </c>
      <c r="W40" s="569"/>
      <c r="X40" s="918">
        <f>+X38+X39</f>
        <v>99999.028030379719</v>
      </c>
      <c r="Y40" s="569"/>
      <c r="Z40" s="918">
        <f>+Z38+Z39</f>
        <v>0</v>
      </c>
    </row>
    <row r="41" spans="1:26" ht="15.5">
      <c r="A41" s="216"/>
      <c r="B41" s="695"/>
      <c r="C41" s="695"/>
      <c r="D41" s="695"/>
      <c r="E41" s="918"/>
      <c r="F41" s="918"/>
      <c r="G41" s="918"/>
      <c r="H41" s="693"/>
      <c r="I41" s="918"/>
      <c r="J41" s="918"/>
      <c r="K41" s="918"/>
      <c r="L41" s="569"/>
      <c r="M41" s="569"/>
      <c r="N41" s="569"/>
      <c r="O41" s="569"/>
      <c r="P41" s="569"/>
      <c r="Q41" s="569"/>
      <c r="R41" s="569"/>
      <c r="S41" s="569"/>
      <c r="T41" s="569"/>
      <c r="U41" s="569"/>
      <c r="V41" s="569"/>
      <c r="W41" s="569"/>
      <c r="X41" s="569"/>
      <c r="Y41" s="569"/>
      <c r="Z41" s="569"/>
    </row>
    <row r="42" spans="1:26" ht="15.5">
      <c r="A42" s="216"/>
      <c r="B42" s="695"/>
      <c r="C42" s="695"/>
      <c r="D42" s="695"/>
      <c r="E42" s="918"/>
      <c r="F42" s="918"/>
      <c r="G42" s="918"/>
      <c r="H42" s="693"/>
      <c r="I42" s="918"/>
      <c r="J42" s="918"/>
      <c r="K42" s="918"/>
      <c r="L42" s="569"/>
      <c r="M42" s="569"/>
      <c r="N42" s="569"/>
      <c r="O42" s="569"/>
      <c r="P42" s="569"/>
      <c r="Q42" s="569"/>
      <c r="R42" s="569"/>
      <c r="S42" s="569"/>
      <c r="T42" s="569"/>
      <c r="U42" s="569"/>
      <c r="V42" s="569"/>
      <c r="W42" s="569"/>
      <c r="X42" s="569"/>
      <c r="Y42" s="569"/>
      <c r="Z42" s="569"/>
    </row>
    <row r="43" spans="1:26" ht="31">
      <c r="A43" s="216"/>
      <c r="B43" s="1119" t="s">
        <v>961</v>
      </c>
      <c r="C43" s="1119"/>
      <c r="D43" s="1119"/>
      <c r="E43" s="918"/>
      <c r="F43" s="918"/>
      <c r="G43" s="918"/>
      <c r="H43" s="693"/>
      <c r="I43" s="918"/>
      <c r="J43" s="918"/>
      <c r="K43" s="918"/>
      <c r="L43" s="569"/>
      <c r="M43" s="569"/>
      <c r="N43" s="569"/>
      <c r="O43" s="569"/>
      <c r="P43" s="569"/>
      <c r="Q43" s="569"/>
      <c r="R43" s="569"/>
      <c r="S43" s="569"/>
      <c r="T43" s="569"/>
      <c r="U43" s="569"/>
      <c r="V43" s="569"/>
      <c r="W43" s="569"/>
      <c r="X43" s="569"/>
      <c r="Y43" s="569"/>
      <c r="Z43" s="569"/>
    </row>
    <row r="44" spans="1:26" ht="15.5">
      <c r="A44" s="216"/>
      <c r="B44" s="695"/>
      <c r="C44" s="695"/>
      <c r="D44" s="695"/>
      <c r="E44" s="918"/>
      <c r="F44" s="918"/>
      <c r="G44" s="918"/>
      <c r="H44" s="693"/>
      <c r="I44" s="918"/>
      <c r="J44" s="918"/>
      <c r="K44" s="918"/>
      <c r="L44" s="569"/>
      <c r="M44" s="569"/>
      <c r="N44" s="569"/>
      <c r="O44" s="569"/>
      <c r="P44" s="569"/>
      <c r="Q44" s="569"/>
      <c r="R44" s="569"/>
      <c r="S44" s="569"/>
      <c r="T44" s="569"/>
      <c r="U44" s="569"/>
      <c r="V44" s="569"/>
      <c r="W44" s="569"/>
      <c r="X44" s="569"/>
      <c r="Y44" s="569"/>
      <c r="Z44" s="569"/>
    </row>
    <row r="45" spans="1:26" ht="18.5">
      <c r="A45" s="216"/>
      <c r="B45" s="692" t="s">
        <v>950</v>
      </c>
      <c r="C45" s="692"/>
      <c r="D45" s="692"/>
      <c r="E45" s="919"/>
      <c r="F45" s="919"/>
      <c r="G45" s="919"/>
      <c r="H45" s="693"/>
      <c r="I45" s="918"/>
      <c r="J45" s="918"/>
      <c r="K45" s="918"/>
      <c r="L45" s="569"/>
      <c r="M45" s="569"/>
      <c r="N45" s="569"/>
      <c r="O45" s="569"/>
      <c r="P45" s="569"/>
      <c r="Q45" s="569"/>
      <c r="R45" s="569"/>
      <c r="S45" s="569"/>
      <c r="T45" s="569"/>
      <c r="U45" s="569"/>
      <c r="V45" s="569"/>
      <c r="W45" s="569"/>
      <c r="X45" s="569"/>
      <c r="Y45" s="569"/>
      <c r="Z45" s="569"/>
    </row>
    <row r="46" spans="1:26" ht="15.5">
      <c r="A46" s="216">
        <f>+A40+1</f>
        <v>25</v>
      </c>
      <c r="B46" s="1124" t="s">
        <v>954</v>
      </c>
      <c r="C46" s="1014">
        <v>0</v>
      </c>
      <c r="D46" s="940">
        <f t="shared" si="39" ref="D46:D47">+C46*$I$80</f>
        <v>0</v>
      </c>
      <c r="E46" s="940">
        <f t="shared" si="40" ref="E46:E47">+C46-D46</f>
        <v>0</v>
      </c>
      <c r="F46" s="1014">
        <v>0</v>
      </c>
      <c r="G46" s="941">
        <v>0</v>
      </c>
      <c r="H46" s="1125">
        <v>0</v>
      </c>
      <c r="I46" s="940">
        <f t="shared" si="41" ref="I46">+G46*H46</f>
        <v>0</v>
      </c>
      <c r="J46" s="1014"/>
      <c r="K46" s="918">
        <v>0</v>
      </c>
      <c r="L46" s="569">
        <f>+I46-K46</f>
        <v>0</v>
      </c>
      <c r="M46" s="1014">
        <v>0</v>
      </c>
      <c r="N46" s="569">
        <f>+L46-M46</f>
        <v>0</v>
      </c>
      <c r="O46" s="1014">
        <v>0</v>
      </c>
      <c r="P46" s="569">
        <f>+N46-O46</f>
        <v>0</v>
      </c>
      <c r="Q46" s="1014">
        <v>0</v>
      </c>
      <c r="R46" s="569">
        <f>+P46-Q46</f>
        <v>0</v>
      </c>
      <c r="S46" s="1014">
        <v>0</v>
      </c>
      <c r="T46" s="569">
        <f>+R46-S46</f>
        <v>0</v>
      </c>
      <c r="U46" s="1014">
        <v>0</v>
      </c>
      <c r="V46" s="569">
        <f>+T46-U46</f>
        <v>0</v>
      </c>
      <c r="W46" s="1014">
        <v>0</v>
      </c>
      <c r="X46" s="569">
        <f>+V46-W46</f>
        <v>0</v>
      </c>
      <c r="Y46" s="1014">
        <v>0</v>
      </c>
      <c r="Z46" s="569">
        <f>+X46-Y46</f>
        <v>0</v>
      </c>
    </row>
    <row r="47" spans="1:26" ht="15.5">
      <c r="A47" s="216">
        <f>+A46+1</f>
        <v>26</v>
      </c>
      <c r="B47" s="1124" t="s">
        <v>954</v>
      </c>
      <c r="C47" s="1015">
        <v>0</v>
      </c>
      <c r="D47" s="967">
        <f>+C47*$I$80</f>
        <v>0</v>
      </c>
      <c r="E47" s="967">
        <f>+C47-D47</f>
        <v>0</v>
      </c>
      <c r="F47" s="1015">
        <v>0</v>
      </c>
      <c r="G47" s="966">
        <v>0</v>
      </c>
      <c r="H47" s="1126" t="s">
        <v>756</v>
      </c>
      <c r="I47" s="1015">
        <v>0</v>
      </c>
      <c r="J47" s="1014"/>
      <c r="K47" s="969">
        <v>0</v>
      </c>
      <c r="L47" s="1123">
        <f>+I47-K47</f>
        <v>0</v>
      </c>
      <c r="M47" s="1015">
        <v>0</v>
      </c>
      <c r="N47" s="1123">
        <f>+L47-M47</f>
        <v>0</v>
      </c>
      <c r="O47" s="1015">
        <v>0</v>
      </c>
      <c r="P47" s="1123">
        <f>+N47-O47</f>
        <v>0</v>
      </c>
      <c r="Q47" s="1015">
        <v>0</v>
      </c>
      <c r="R47" s="1123">
        <f>+P47-Q47</f>
        <v>0</v>
      </c>
      <c r="S47" s="1015">
        <v>0</v>
      </c>
      <c r="T47" s="1123">
        <f>+R47-S47</f>
        <v>0</v>
      </c>
      <c r="U47" s="1015">
        <v>0</v>
      </c>
      <c r="V47" s="1123">
        <f>+T47-U47</f>
        <v>0</v>
      </c>
      <c r="W47" s="1015">
        <v>0</v>
      </c>
      <c r="X47" s="1123">
        <f>+V47-W47</f>
        <v>0</v>
      </c>
      <c r="Y47" s="1015">
        <v>0</v>
      </c>
      <c r="Z47" s="1123">
        <f>+X47-Y47</f>
        <v>0</v>
      </c>
    </row>
    <row r="48" spans="1:26" ht="15.5">
      <c r="A48" s="216">
        <f>+A47+1</f>
        <v>27</v>
      </c>
      <c r="B48" s="695" t="s">
        <v>962</v>
      </c>
      <c r="C48" s="918">
        <f>+C46+C47</f>
        <v>0</v>
      </c>
      <c r="D48" s="918">
        <f>+D46+D47</f>
        <v>0</v>
      </c>
      <c r="E48" s="918">
        <f>+E46+E47</f>
        <v>0</v>
      </c>
      <c r="F48" s="918">
        <f>+F46+F47</f>
        <v>0</v>
      </c>
      <c r="G48" s="941">
        <f>+G46+G47</f>
        <v>0</v>
      </c>
      <c r="H48" s="693"/>
      <c r="I48" s="918">
        <v>0</v>
      </c>
      <c r="J48" s="918"/>
      <c r="K48" s="918">
        <v>0</v>
      </c>
      <c r="L48" s="918">
        <v>0</v>
      </c>
      <c r="M48" s="918">
        <v>0</v>
      </c>
      <c r="N48" s="918">
        <v>0</v>
      </c>
      <c r="O48" s="918">
        <v>0</v>
      </c>
      <c r="P48" s="918">
        <v>0</v>
      </c>
      <c r="Q48" s="918">
        <v>0</v>
      </c>
      <c r="R48" s="918">
        <v>0</v>
      </c>
      <c r="S48" s="918">
        <v>0</v>
      </c>
      <c r="T48" s="918">
        <v>0</v>
      </c>
      <c r="U48" s="918">
        <v>0</v>
      </c>
      <c r="V48" s="918">
        <v>0</v>
      </c>
      <c r="W48" s="918">
        <v>0</v>
      </c>
      <c r="X48" s="918">
        <v>0</v>
      </c>
      <c r="Y48" s="918">
        <v>0</v>
      </c>
      <c r="Z48" s="918">
        <v>0</v>
      </c>
    </row>
    <row r="49" spans="1:26" ht="15.5">
      <c r="A49" s="216"/>
      <c r="B49" s="695"/>
      <c r="C49" s="918"/>
      <c r="D49" s="918"/>
      <c r="E49" s="918"/>
      <c r="F49" s="918"/>
      <c r="G49" s="941"/>
      <c r="H49" s="693"/>
      <c r="I49" s="918"/>
      <c r="J49" s="918"/>
      <c r="K49" s="918"/>
      <c r="L49" s="569"/>
      <c r="M49" s="569"/>
      <c r="N49" s="569"/>
      <c r="O49" s="569"/>
      <c r="P49" s="569"/>
      <c r="Q49" s="569"/>
      <c r="R49" s="569"/>
      <c r="S49" s="569"/>
      <c r="T49" s="569"/>
      <c r="U49" s="569"/>
      <c r="V49" s="569"/>
      <c r="W49" s="569"/>
      <c r="X49" s="569"/>
      <c r="Y49" s="569"/>
      <c r="Z49" s="569"/>
    </row>
    <row r="50" spans="1:26" ht="15.5">
      <c r="A50" s="216"/>
      <c r="B50" s="692" t="s">
        <v>953</v>
      </c>
      <c r="C50" s="918"/>
      <c r="D50" s="918"/>
      <c r="E50" s="918"/>
      <c r="F50" s="918"/>
      <c r="G50" s="941"/>
      <c r="H50" s="693"/>
      <c r="I50" s="918"/>
      <c r="J50" s="918"/>
      <c r="K50" s="918"/>
      <c r="L50" s="569"/>
      <c r="M50" s="569"/>
      <c r="N50" s="569"/>
      <c r="O50" s="569"/>
      <c r="P50" s="569"/>
      <c r="Q50" s="569"/>
      <c r="R50" s="569"/>
      <c r="S50" s="569"/>
      <c r="T50" s="569"/>
      <c r="U50" s="569"/>
      <c r="V50" s="569"/>
      <c r="W50" s="569"/>
      <c r="X50" s="569"/>
      <c r="Y50" s="569"/>
      <c r="Z50" s="569"/>
    </row>
    <row r="51" spans="1:26" ht="15.5">
      <c r="A51" s="216">
        <f>+A48+1</f>
        <v>28</v>
      </c>
      <c r="B51" s="1129" t="s">
        <v>757</v>
      </c>
      <c r="C51" s="1014">
        <v>0</v>
      </c>
      <c r="D51" s="940">
        <f t="shared" si="42" ref="D51:D52">+C51*$I$80</f>
        <v>0</v>
      </c>
      <c r="E51" s="940">
        <f t="shared" si="43" ref="E51:E52">+C51-D51</f>
        <v>0</v>
      </c>
      <c r="F51" s="1014">
        <v>0</v>
      </c>
      <c r="G51" s="941">
        <v>-69726777</v>
      </c>
      <c r="H51" s="49">
        <v>0.30148496415831438</v>
      </c>
      <c r="I51" s="940">
        <f t="shared" si="44" ref="I51">+G51*H51</f>
        <v>-21021574.864719778</v>
      </c>
      <c r="J51" s="1122" t="s">
        <v>217</v>
      </c>
      <c r="K51" s="941">
        <v>0</v>
      </c>
      <c r="L51" s="569">
        <f t="shared" si="45" ref="L51:L52">+I51-K51</f>
        <v>-21021574.864719778</v>
      </c>
      <c r="M51" s="871">
        <v>-1589075</v>
      </c>
      <c r="N51" s="569">
        <f t="shared" si="46" ref="N51:N52">+L51-M51</f>
        <v>-19432499.864719778</v>
      </c>
      <c r="O51" s="1014">
        <v>0</v>
      </c>
      <c r="P51" s="569">
        <f t="shared" si="47" ref="P51:P52">+N51-O51</f>
        <v>-19432499.864719778</v>
      </c>
      <c r="Q51" s="1014">
        <v>0</v>
      </c>
      <c r="R51" s="569">
        <f t="shared" si="48" ref="R51:R52">+P51-Q51</f>
        <v>-19432499.864719778</v>
      </c>
      <c r="S51" s="1014">
        <v>0</v>
      </c>
      <c r="T51" s="569">
        <f t="shared" si="49" ref="T51:T52">+R51-S51</f>
        <v>-19432499.864719778</v>
      </c>
      <c r="U51" s="1014">
        <v>0</v>
      </c>
      <c r="V51" s="569">
        <f t="shared" si="50" ref="V51:V52">+T51-U51</f>
        <v>-19432499.864719778</v>
      </c>
      <c r="W51" s="1014">
        <v>0</v>
      </c>
      <c r="X51" s="569">
        <f t="shared" si="51" ref="X51:X52">+V51-W51</f>
        <v>-19432499.864719778</v>
      </c>
      <c r="Y51" s="1014">
        <v>0</v>
      </c>
      <c r="Z51" s="569">
        <f t="shared" si="52" ref="Z51:Z52">+X51-Y51</f>
        <v>-19432499.864719778</v>
      </c>
    </row>
    <row r="52" spans="1:26" ht="15.5">
      <c r="A52" s="216">
        <f>+A51+1</f>
        <v>29</v>
      </c>
      <c r="B52" s="1129" t="s">
        <v>963</v>
      </c>
      <c r="C52" s="1015">
        <v>0</v>
      </c>
      <c r="D52" s="967">
        <f>+C52*$I$80</f>
        <v>0</v>
      </c>
      <c r="E52" s="967">
        <f>+C52-D52</f>
        <v>0</v>
      </c>
      <c r="F52" s="1015">
        <v>0</v>
      </c>
      <c r="G52" s="966">
        <v>-30323347</v>
      </c>
      <c r="H52" s="49" t="s">
        <v>756</v>
      </c>
      <c r="I52" s="1066">
        <v>-9133897</v>
      </c>
      <c r="J52" s="1130" t="s">
        <v>964</v>
      </c>
      <c r="K52" s="968">
        <v>0</v>
      </c>
      <c r="L52" s="1123">
        <f>+I52-K52</f>
        <v>-9133897</v>
      </c>
      <c r="M52" s="1123">
        <f>+I52/10</f>
        <v>-913389.70</v>
      </c>
      <c r="N52" s="1123">
        <f>+L52-M52</f>
        <v>-8220507.2999999998</v>
      </c>
      <c r="O52" s="1123">
        <f>+I52/10</f>
        <v>-913389.70</v>
      </c>
      <c r="P52" s="1123">
        <f>+N52-O52</f>
        <v>-7307117.5999999996</v>
      </c>
      <c r="Q52" s="1123">
        <f>+P52/5</f>
        <v>-1461423.52</v>
      </c>
      <c r="R52" s="1123">
        <f>+P52-Q52</f>
        <v>-5845694.0800000001</v>
      </c>
      <c r="S52" s="967">
        <f t="shared" si="53" ref="S52:Y52">+$P52/5</f>
        <v>-1461423.52</v>
      </c>
      <c r="T52" s="1123">
        <f>+R52-S52</f>
        <v>-4384270.5600000005</v>
      </c>
      <c r="U52" s="967">
        <f>+$P52/5</f>
        <v>-1461423.52</v>
      </c>
      <c r="V52" s="1123">
        <f>+T52-U52</f>
        <v>-2922847.0400000005</v>
      </c>
      <c r="W52" s="967">
        <f>+$P52/5</f>
        <v>-1461423.52</v>
      </c>
      <c r="X52" s="1123">
        <f>+V52-W52</f>
        <v>-1461423.5200000005</v>
      </c>
      <c r="Y52" s="967">
        <f>+$P52/5</f>
        <v>-1461423.52</v>
      </c>
      <c r="Z52" s="1123">
        <f>+X52-Y52</f>
        <v>0</v>
      </c>
    </row>
    <row r="53" spans="1:26" ht="18.5">
      <c r="A53" s="216">
        <f>+A52+1</f>
        <v>30</v>
      </c>
      <c r="B53" s="695" t="s">
        <v>955</v>
      </c>
      <c r="C53" s="919">
        <f>+SUM(C51:C52)</f>
        <v>0</v>
      </c>
      <c r="D53" s="918">
        <f>+D51+D52</f>
        <v>0</v>
      </c>
      <c r="E53" s="918">
        <f>+SUM(E51:E52)</f>
        <v>0</v>
      </c>
      <c r="F53" s="918">
        <f>+SUM(F51:F52)</f>
        <v>0</v>
      </c>
      <c r="G53" s="941">
        <f>+SUM(G51:G52)</f>
        <v>-100050124</v>
      </c>
      <c r="H53" s="693"/>
      <c r="I53" s="1131">
        <f t="shared" si="54" ref="I53:Z53">+SUM(I51:I52)</f>
        <v>-30155471.864719778</v>
      </c>
      <c r="J53" s="1131"/>
      <c r="K53" s="1131">
        <f>+SUM(K51:K52)</f>
        <v>0</v>
      </c>
      <c r="L53" s="1131">
        <f>+SUM(L51:L52)</f>
        <v>-30155471.864719778</v>
      </c>
      <c r="M53" s="1131">
        <f>+SUM(M51:M52)</f>
        <v>-2502464.7000000002</v>
      </c>
      <c r="N53" s="1131">
        <f>+SUM(N51:N52)</f>
        <v>-27653007.164719779</v>
      </c>
      <c r="O53" s="1132">
        <f>+SUM(O51:O52)</f>
        <v>-913389.70</v>
      </c>
      <c r="P53" s="1131">
        <f>+SUM(P51:P52)</f>
        <v>-26739617.46471978</v>
      </c>
      <c r="Q53" s="1132">
        <f>+SUM(Q51:Q52)</f>
        <v>-1461423.52</v>
      </c>
      <c r="R53" s="1131">
        <f>+SUM(R51:R52)</f>
        <v>-25278193.944719777</v>
      </c>
      <c r="S53" s="1132">
        <f>+SUM(S51:S52)</f>
        <v>-1461423.52</v>
      </c>
      <c r="T53" s="1131">
        <f>+SUM(T51:T52)</f>
        <v>-23816770.424719781</v>
      </c>
      <c r="U53" s="1132">
        <f>+SUM(U51:U52)</f>
        <v>-1461423.52</v>
      </c>
      <c r="V53" s="1131">
        <f>+SUM(V51:V52)</f>
        <v>-22355346.904719777</v>
      </c>
      <c r="W53" s="1132">
        <f>+SUM(W51:W52)</f>
        <v>-1461423.52</v>
      </c>
      <c r="X53" s="1131">
        <f>+SUM(X51:X52)</f>
        <v>-20893923.384719778</v>
      </c>
      <c r="Y53" s="1132">
        <f>+SUM(Y51:Y52)</f>
        <v>-1461423.52</v>
      </c>
      <c r="Z53" s="1131">
        <f>+SUM(Z51:Z52)</f>
        <v>-19432499.864719778</v>
      </c>
    </row>
    <row r="54" spans="1:26" ht="15.5">
      <c r="A54" s="216"/>
      <c r="B54" s="695"/>
      <c r="C54" s="918"/>
      <c r="D54" s="918"/>
      <c r="E54" s="918"/>
      <c r="F54" s="918"/>
      <c r="G54" s="941"/>
      <c r="H54" s="693"/>
      <c r="I54" s="918"/>
      <c r="J54" s="918"/>
      <c r="K54" s="918"/>
      <c r="L54" s="569"/>
      <c r="M54" s="569"/>
      <c r="N54" s="569"/>
      <c r="O54" s="569"/>
      <c r="P54" s="569"/>
      <c r="Q54" s="569"/>
      <c r="R54" s="569"/>
      <c r="S54" s="569"/>
      <c r="T54" s="569"/>
      <c r="U54" s="569"/>
      <c r="V54" s="569"/>
      <c r="W54" s="569"/>
      <c r="X54" s="569"/>
      <c r="Y54" s="569"/>
      <c r="Z54" s="569"/>
    </row>
    <row r="55" spans="1:26" ht="15.5">
      <c r="A55" s="216"/>
      <c r="B55" s="695" t="s">
        <v>956</v>
      </c>
      <c r="C55" s="918"/>
      <c r="D55" s="918"/>
      <c r="E55" s="918"/>
      <c r="F55" s="918"/>
      <c r="G55" s="941"/>
      <c r="H55" s="693"/>
      <c r="I55" s="918"/>
      <c r="J55" s="918"/>
      <c r="K55" s="918"/>
      <c r="L55" s="569"/>
      <c r="M55" s="569"/>
      <c r="N55" s="569"/>
      <c r="O55" s="569"/>
      <c r="P55" s="569"/>
      <c r="Q55" s="569"/>
      <c r="R55" s="569"/>
      <c r="S55" s="569"/>
      <c r="T55" s="569"/>
      <c r="U55" s="569"/>
      <c r="V55" s="569"/>
      <c r="W55" s="569"/>
      <c r="X55" s="569"/>
      <c r="Y55" s="569"/>
      <c r="Z55" s="569"/>
    </row>
    <row r="56" spans="1:26" ht="15.5">
      <c r="A56" s="216">
        <f>+A53+1</f>
        <v>31</v>
      </c>
      <c r="B56" s="1129" t="s">
        <v>284</v>
      </c>
      <c r="C56" s="1014">
        <v>0</v>
      </c>
      <c r="D56" s="940">
        <f t="shared" si="55" ref="D56:D61">+C56*$I$80</f>
        <v>0</v>
      </c>
      <c r="E56" s="940">
        <f t="shared" si="56" ref="E56:E61">+C56-D56</f>
        <v>0</v>
      </c>
      <c r="F56" s="1014">
        <v>0</v>
      </c>
      <c r="G56" s="941">
        <v>-2288944</v>
      </c>
      <c r="H56" s="49">
        <v>0.30148000000000003</v>
      </c>
      <c r="I56" s="940">
        <f t="shared" si="57" ref="I56:I60">+G56*H56</f>
        <v>-690070.83712000004</v>
      </c>
      <c r="J56" s="1122" t="s">
        <v>951</v>
      </c>
      <c r="K56" s="941">
        <v>0</v>
      </c>
      <c r="L56" s="569">
        <f t="shared" si="58" ref="L56:L61">+I56-K56</f>
        <v>-690070.83712000004</v>
      </c>
      <c r="M56" s="569">
        <f>+I56/10</f>
        <v>-69007.083712000007</v>
      </c>
      <c r="N56" s="569">
        <f t="shared" si="59" ref="N56:N61">+L56-M56</f>
        <v>-621063.75340799999</v>
      </c>
      <c r="O56" s="569">
        <f>+I56/10</f>
        <v>-69007.083712000007</v>
      </c>
      <c r="P56" s="569">
        <f t="shared" si="60" ref="P56:P61">+N56-O56</f>
        <v>-552056.66969599994</v>
      </c>
      <c r="Q56" s="569">
        <f>+P56/5</f>
        <v>-110411.33393919999</v>
      </c>
      <c r="R56" s="569">
        <f t="shared" si="61" ref="R56:R61">+P56-Q56</f>
        <v>-441645.33575679996</v>
      </c>
      <c r="S56" s="940">
        <f t="shared" si="62" ref="S56:Y61">+$P56/5</f>
        <v>-110411.33393919999</v>
      </c>
      <c r="T56" s="569">
        <f t="shared" si="63" ref="T56:T61">+R56-S56</f>
        <v>-331234.00181759999</v>
      </c>
      <c r="U56" s="940">
        <f>+$P56/5</f>
        <v>-110411.33393919999</v>
      </c>
      <c r="V56" s="569">
        <f t="shared" si="64" ref="V56:V61">+T56-U56</f>
        <v>-220822.66787840001</v>
      </c>
      <c r="W56" s="940">
        <f>+$P56/5</f>
        <v>-110411.33393919999</v>
      </c>
      <c r="X56" s="569">
        <f t="shared" si="65" ref="X56:X61">+V56-W56</f>
        <v>-110411.33393920002</v>
      </c>
      <c r="Y56" s="940">
        <f>+$P56/5</f>
        <v>-110411.33393919999</v>
      </c>
      <c r="Z56" s="569">
        <f t="shared" si="66" ref="Z56:Z61">+X56-Y56</f>
        <v>0</v>
      </c>
    </row>
    <row r="57" spans="1:26" ht="15.5">
      <c r="A57" s="216">
        <f>+A56+1</f>
        <v>32</v>
      </c>
      <c r="B57" s="1129" t="s">
        <v>758</v>
      </c>
      <c r="C57" s="1014">
        <v>0</v>
      </c>
      <c r="D57" s="940">
        <f>+C57*$I$80</f>
        <v>0</v>
      </c>
      <c r="E57" s="940">
        <f>+C57-D57</f>
        <v>0</v>
      </c>
      <c r="F57" s="1014">
        <v>0</v>
      </c>
      <c r="G57" s="941">
        <v>-977188</v>
      </c>
      <c r="H57" s="49">
        <v>0.14549999999999999</v>
      </c>
      <c r="I57" s="940">
        <f>+G57*H57</f>
        <v>-142180.85399999999</v>
      </c>
      <c r="J57" s="1122" t="s">
        <v>951</v>
      </c>
      <c r="K57" s="941">
        <v>0</v>
      </c>
      <c r="L57" s="569">
        <f>+I57-K57</f>
        <v>-142180.85399999999</v>
      </c>
      <c r="M57" s="569">
        <f t="shared" si="67" ref="M57:M61">+I57/10</f>
        <v>-14218.0854</v>
      </c>
      <c r="N57" s="569">
        <f>+L57-M57</f>
        <v>-127962.7686</v>
      </c>
      <c r="O57" s="569">
        <f t="shared" si="68" ref="O57:O61">+I57/10</f>
        <v>-14218.0854</v>
      </c>
      <c r="P57" s="569">
        <f>+N57-O57</f>
        <v>-113744.6832</v>
      </c>
      <c r="Q57" s="569">
        <f t="shared" si="69" ref="Q57:Q61">+P57/5</f>
        <v>-22748.93664</v>
      </c>
      <c r="R57" s="569">
        <f>+P57-Q57</f>
        <v>-90995.74656</v>
      </c>
      <c r="S57" s="940">
        <f>+$P57/5</f>
        <v>-22748.93664</v>
      </c>
      <c r="T57" s="569">
        <f>+R57-S57</f>
        <v>-68246.80992</v>
      </c>
      <c r="U57" s="940">
        <f>+$P57/5</f>
        <v>-22748.93664</v>
      </c>
      <c r="V57" s="569">
        <f>+T57-U57</f>
        <v>-45497.87328</v>
      </c>
      <c r="W57" s="940">
        <f>+$P57/5</f>
        <v>-22748.93664</v>
      </c>
      <c r="X57" s="569">
        <f>+V57-W57</f>
        <v>-22748.93664</v>
      </c>
      <c r="Y57" s="940">
        <f>+$P57/5</f>
        <v>-22748.93664</v>
      </c>
      <c r="Z57" s="569">
        <f>+X57-Y57</f>
        <v>0</v>
      </c>
    </row>
    <row r="58" spans="1:26" ht="15.5">
      <c r="A58" s="216">
        <f t="shared" si="70" ref="A58:A61">+A57+1</f>
        <v>33</v>
      </c>
      <c r="B58" s="1129" t="s">
        <v>759</v>
      </c>
      <c r="C58" s="1014">
        <v>0</v>
      </c>
      <c r="D58" s="940">
        <f>+C58*$I$80</f>
        <v>0</v>
      </c>
      <c r="E58" s="940">
        <f>+C58-D58</f>
        <v>0</v>
      </c>
      <c r="F58" s="1014">
        <v>0</v>
      </c>
      <c r="G58" s="941">
        <v>-10674746</v>
      </c>
      <c r="H58" s="49">
        <v>0.14549999999999999</v>
      </c>
      <c r="I58" s="940">
        <f>+G58*H58</f>
        <v>-1553175.5429999998</v>
      </c>
      <c r="J58" s="1122" t="s">
        <v>951</v>
      </c>
      <c r="K58" s="941">
        <v>0</v>
      </c>
      <c r="L58" s="569">
        <f>+I58-K58</f>
        <v>-1553175.5429999998</v>
      </c>
      <c r="M58" s="569">
        <f>+I58/10</f>
        <v>-155317.55429999999</v>
      </c>
      <c r="N58" s="569">
        <f>+L58-M58</f>
        <v>-1397857.9886999999</v>
      </c>
      <c r="O58" s="569">
        <f>+I58/10</f>
        <v>-155317.55429999999</v>
      </c>
      <c r="P58" s="569">
        <f>+N58-O58</f>
        <v>-1242540.4343999999</v>
      </c>
      <c r="Q58" s="569">
        <f>+P58/5</f>
        <v>-248508.08687999999</v>
      </c>
      <c r="R58" s="569">
        <f>+P58-Q58</f>
        <v>-994032.34751999995</v>
      </c>
      <c r="S58" s="940">
        <f>+$P58/5</f>
        <v>-248508.08687999999</v>
      </c>
      <c r="T58" s="569">
        <f>+R58-S58</f>
        <v>-745524.26063999999</v>
      </c>
      <c r="U58" s="940">
        <f>+$P58/5</f>
        <v>-248508.08687999999</v>
      </c>
      <c r="V58" s="569">
        <f>+T58-U58</f>
        <v>-497016.17376000003</v>
      </c>
      <c r="W58" s="940">
        <f>+$P58/5</f>
        <v>-248508.08687999999</v>
      </c>
      <c r="X58" s="569">
        <f>+V58-W58</f>
        <v>-248508.08688000005</v>
      </c>
      <c r="Y58" s="940">
        <f>+$P58/5</f>
        <v>-248508.08687999999</v>
      </c>
      <c r="Z58" s="569">
        <f>+X58-Y58</f>
        <v>0</v>
      </c>
    </row>
    <row r="59" spans="1:26" ht="15.5">
      <c r="A59" s="216">
        <f>+A58+1</f>
        <v>34</v>
      </c>
      <c r="B59" s="1129" t="s">
        <v>290</v>
      </c>
      <c r="C59" s="1014">
        <v>0</v>
      </c>
      <c r="D59" s="940">
        <f>+C59*$I$80</f>
        <v>0</v>
      </c>
      <c r="E59" s="940">
        <f>+C59-D59</f>
        <v>0</v>
      </c>
      <c r="F59" s="1014">
        <v>0</v>
      </c>
      <c r="G59" s="941">
        <v>-6890416</v>
      </c>
      <c r="H59" s="49">
        <v>0.14549999999999999</v>
      </c>
      <c r="I59" s="940">
        <f>+G59*H59</f>
        <v>-1002555.5279999999</v>
      </c>
      <c r="J59" s="1122" t="s">
        <v>951</v>
      </c>
      <c r="K59" s="941">
        <v>0</v>
      </c>
      <c r="L59" s="569">
        <f>+I59-K59</f>
        <v>-1002555.5279999999</v>
      </c>
      <c r="M59" s="569">
        <f>+I59/10</f>
        <v>-100255.55279999999</v>
      </c>
      <c r="N59" s="569">
        <f>+L59-M59</f>
        <v>-902299.97519999999</v>
      </c>
      <c r="O59" s="569">
        <f>+I59/10</f>
        <v>-100255.55279999999</v>
      </c>
      <c r="P59" s="569">
        <f>+N59-O59</f>
        <v>-802044.42240000004</v>
      </c>
      <c r="Q59" s="569">
        <f>+P59/5</f>
        <v>-160408.88448000001</v>
      </c>
      <c r="R59" s="569">
        <f>+P59-Q59</f>
        <v>-641635.53792000003</v>
      </c>
      <c r="S59" s="940">
        <f>+$P59/5</f>
        <v>-160408.88448000001</v>
      </c>
      <c r="T59" s="569">
        <f>+R59-S59</f>
        <v>-481226.65344000002</v>
      </c>
      <c r="U59" s="940">
        <f>+$P59/5</f>
        <v>-160408.88448000001</v>
      </c>
      <c r="V59" s="569">
        <f>+T59-U59</f>
        <v>-320817.76896000002</v>
      </c>
      <c r="W59" s="940">
        <f>+$P59/5</f>
        <v>-160408.88448000001</v>
      </c>
      <c r="X59" s="569">
        <f>+V59-W59</f>
        <v>-160408.88448000001</v>
      </c>
      <c r="Y59" s="940">
        <f>+$P59/5</f>
        <v>-160408.88448000001</v>
      </c>
      <c r="Z59" s="569">
        <f>+X59-Y59</f>
        <v>0</v>
      </c>
    </row>
    <row r="60" spans="1:26" ht="15.5">
      <c r="A60" s="216">
        <f>+A59+1</f>
        <v>35</v>
      </c>
      <c r="B60" s="1129" t="s">
        <v>291</v>
      </c>
      <c r="C60" s="1014">
        <v>0</v>
      </c>
      <c r="D60" s="940">
        <f>+C60*$I$80</f>
        <v>0</v>
      </c>
      <c r="E60" s="940">
        <f>+C60-D60</f>
        <v>0</v>
      </c>
      <c r="F60" s="1014">
        <v>0</v>
      </c>
      <c r="G60" s="941">
        <v>272469</v>
      </c>
      <c r="H60" s="49">
        <v>0.14549999999999999</v>
      </c>
      <c r="I60" s="940">
        <f>+G60*H60</f>
        <v>39644.239499999996</v>
      </c>
      <c r="J60" s="1122" t="s">
        <v>951</v>
      </c>
      <c r="K60" s="941">
        <v>0</v>
      </c>
      <c r="L60" s="569">
        <f>+I60-K60</f>
        <v>39644.239499999996</v>
      </c>
      <c r="M60" s="569">
        <f>+I60/10</f>
        <v>3964.4239499999994</v>
      </c>
      <c r="N60" s="569">
        <f>+L60-M60</f>
        <v>35679.815549999999</v>
      </c>
      <c r="O60" s="569">
        <f>+I60/10</f>
        <v>3964.4239499999994</v>
      </c>
      <c r="P60" s="569">
        <f>+N60-O60</f>
        <v>31715.391599999999</v>
      </c>
      <c r="Q60" s="569">
        <f>+P60/5</f>
        <v>6343.0783199999996</v>
      </c>
      <c r="R60" s="569">
        <f>+P60-Q60</f>
        <v>25372.313279999998</v>
      </c>
      <c r="S60" s="940">
        <f>+$P60/5</f>
        <v>6343.0783199999996</v>
      </c>
      <c r="T60" s="569">
        <f>+R60-S60</f>
        <v>19029.234959999998</v>
      </c>
      <c r="U60" s="940">
        <f>+$P60/5</f>
        <v>6343.0783199999996</v>
      </c>
      <c r="V60" s="569">
        <f>+T60-U60</f>
        <v>12686.156639999997</v>
      </c>
      <c r="W60" s="940">
        <f>+$P60/5</f>
        <v>6343.0783199999996</v>
      </c>
      <c r="X60" s="569">
        <f>+V60-W60</f>
        <v>6343.0783199999978</v>
      </c>
      <c r="Y60" s="940">
        <f>+$P60/5</f>
        <v>6343.0783199999996</v>
      </c>
      <c r="Z60" s="569">
        <f>+X60-Y60</f>
        <v>0</v>
      </c>
    </row>
    <row r="61" spans="1:26" ht="15.5">
      <c r="A61" s="216">
        <f>+A60+1</f>
        <v>36</v>
      </c>
      <c r="B61" s="1129" t="s">
        <v>263</v>
      </c>
      <c r="C61" s="1015">
        <v>0</v>
      </c>
      <c r="D61" s="967">
        <f>+C61*$I$80</f>
        <v>0</v>
      </c>
      <c r="E61" s="967">
        <f>+C61-D61</f>
        <v>0</v>
      </c>
      <c r="F61" s="1015">
        <v>0</v>
      </c>
      <c r="G61" s="966">
        <v>539177</v>
      </c>
      <c r="H61" s="49" t="s">
        <v>756</v>
      </c>
      <c r="I61" s="1015">
        <v>-1055740</v>
      </c>
      <c r="J61" s="1122" t="s">
        <v>951</v>
      </c>
      <c r="K61" s="966">
        <v>0</v>
      </c>
      <c r="L61" s="1123">
        <f>+I61-K61</f>
        <v>-1055740</v>
      </c>
      <c r="M61" s="1123">
        <f>+I61/10</f>
        <v>-105574</v>
      </c>
      <c r="N61" s="1123">
        <f>+L61-M61</f>
        <v>-950166</v>
      </c>
      <c r="O61" s="1123">
        <f>+I61/10</f>
        <v>-105574</v>
      </c>
      <c r="P61" s="1123">
        <f>+N61-O61</f>
        <v>-844592</v>
      </c>
      <c r="Q61" s="1123">
        <f>+P61/5</f>
        <v>-168918.40</v>
      </c>
      <c r="R61" s="1123">
        <f>+P61-Q61</f>
        <v>-675673.60</v>
      </c>
      <c r="S61" s="967">
        <f>+$P61/5</f>
        <v>-168918.40</v>
      </c>
      <c r="T61" s="1123">
        <f>+R61-S61</f>
        <v>-506755.19999999995</v>
      </c>
      <c r="U61" s="967">
        <f>+$P61/5</f>
        <v>-168918.40</v>
      </c>
      <c r="V61" s="1123">
        <f>+T61-U61</f>
        <v>-337836.79999999993</v>
      </c>
      <c r="W61" s="967">
        <f>+$P61/5</f>
        <v>-168918.40</v>
      </c>
      <c r="X61" s="1123">
        <f>+V61-W61</f>
        <v>-168918.39999999994</v>
      </c>
      <c r="Y61" s="967">
        <f>+$P61/5</f>
        <v>-168918.40</v>
      </c>
      <c r="Z61" s="1123">
        <f>+X61-Y61</f>
        <v>0</v>
      </c>
    </row>
    <row r="62" spans="1:26" ht="18.5">
      <c r="A62" s="216">
        <f>+A61+1</f>
        <v>37</v>
      </c>
      <c r="B62" s="216" t="s">
        <v>965</v>
      </c>
      <c r="C62" s="919">
        <f>+SUM(C56:C61)</f>
        <v>0</v>
      </c>
      <c r="D62" s="918">
        <f>+SUM(D50:D61)</f>
        <v>0</v>
      </c>
      <c r="E62" s="918">
        <f>+SUM(E56:E61)</f>
        <v>0</v>
      </c>
      <c r="F62" s="918">
        <f>+SUM(F56:F61)</f>
        <v>0</v>
      </c>
      <c r="G62" s="918">
        <f>+SUM(G56:G61)</f>
        <v>-20019648</v>
      </c>
      <c r="H62" s="693"/>
      <c r="I62" s="918">
        <f t="shared" si="71" ref="I62:Z62">+SUM(I56:I61)</f>
        <v>-4404078.5226199999</v>
      </c>
      <c r="J62" s="918"/>
      <c r="K62" s="918">
        <f>+SUM(K56:K61)</f>
        <v>0</v>
      </c>
      <c r="L62" s="918">
        <f>+SUM(L56:L61)</f>
        <v>-4404078.5226199999</v>
      </c>
      <c r="M62" s="918">
        <f>+SUM(M56:M61)</f>
        <v>-440407.85226199997</v>
      </c>
      <c r="N62" s="918">
        <f>+SUM(N56:N61)</f>
        <v>-3963670.6703579999</v>
      </c>
      <c r="O62" s="941">
        <f>+SUM(O56:O61)</f>
        <v>-440407.85226199997</v>
      </c>
      <c r="P62" s="918">
        <f>+SUM(P56:P61)</f>
        <v>-3523262.8180959998</v>
      </c>
      <c r="Q62" s="941">
        <f>+SUM(Q56:Q61)</f>
        <v>-704652.56361920002</v>
      </c>
      <c r="R62" s="918">
        <f>+SUM(R56:R61)</f>
        <v>-2818610.2544768001</v>
      </c>
      <c r="S62" s="941">
        <f>+SUM(S56:S61)</f>
        <v>-704652.56361920002</v>
      </c>
      <c r="T62" s="918">
        <f>+SUM(T56:T61)</f>
        <v>-2113957.6908576</v>
      </c>
      <c r="U62" s="941">
        <f>+SUM(U56:U61)</f>
        <v>-704652.56361920002</v>
      </c>
      <c r="V62" s="918">
        <f>+SUM(V56:V61)</f>
        <v>-1409305.1272384003</v>
      </c>
      <c r="W62" s="941">
        <f>+SUM(W56:W61)</f>
        <v>-704652.56361920002</v>
      </c>
      <c r="X62" s="918">
        <f>+SUM(X56:X61)</f>
        <v>-704652.56361920002</v>
      </c>
      <c r="Y62" s="941">
        <f>+SUM(Y56:Y61)</f>
        <v>-704652.56361920002</v>
      </c>
      <c r="Z62" s="918">
        <f>+SUM(Z56:Z61)</f>
        <v>0</v>
      </c>
    </row>
    <row r="63" spans="1:26" ht="18.5">
      <c r="A63" s="216"/>
      <c r="B63" s="216"/>
      <c r="C63" s="216"/>
      <c r="D63" s="216"/>
      <c r="E63" s="919"/>
      <c r="F63" s="919"/>
      <c r="G63" s="919"/>
      <c r="H63" s="693"/>
      <c r="I63" s="919"/>
      <c r="J63" s="919"/>
      <c r="K63" s="919"/>
      <c r="L63" s="919"/>
      <c r="M63" s="919"/>
      <c r="N63" s="919"/>
      <c r="O63" s="920"/>
      <c r="P63" s="919"/>
      <c r="Q63" s="920"/>
      <c r="R63" s="919"/>
      <c r="S63" s="920"/>
      <c r="T63" s="919"/>
      <c r="U63" s="920"/>
      <c r="V63" s="919"/>
      <c r="W63" s="920"/>
      <c r="X63" s="919"/>
      <c r="Y63" s="920"/>
      <c r="Z63" s="919"/>
    </row>
    <row r="64" spans="1:26" ht="34">
      <c r="A64" s="216">
        <f>+A62+1</f>
        <v>38</v>
      </c>
      <c r="B64" s="695" t="s">
        <v>958</v>
      </c>
      <c r="C64" s="695"/>
      <c r="D64" s="695"/>
      <c r="E64" s="918">
        <f>+E48+E53+E62</f>
        <v>0</v>
      </c>
      <c r="F64" s="918"/>
      <c r="G64" s="918">
        <f>+G48+G53+G62</f>
        <v>-120069772</v>
      </c>
      <c r="H64" s="693"/>
      <c r="I64" s="918">
        <f>+I48+I53+I62</f>
        <v>-34559550.387339778</v>
      </c>
      <c r="J64" s="919"/>
      <c r="K64" s="918">
        <f>+K48+K53+K62</f>
        <v>0</v>
      </c>
      <c r="L64" s="918">
        <f>+L48+L53+L62</f>
        <v>-34559550.387339778</v>
      </c>
      <c r="M64" s="918">
        <f>+M48+M53+M62</f>
        <v>-2942872.5522620003</v>
      </c>
      <c r="N64" s="918">
        <f t="shared" si="72" ref="N64:Z64">+N48+N53+N62</f>
        <v>-31616677.835077778</v>
      </c>
      <c r="O64" s="918">
        <f>+O48+O53+O62</f>
        <v>-1353797.5522619998</v>
      </c>
      <c r="P64" s="918">
        <f>+P48+P53+P62</f>
        <v>-30262880.28281578</v>
      </c>
      <c r="Q64" s="918">
        <f>+Q48+Q53+Q62</f>
        <v>-2166076.0836192002</v>
      </c>
      <c r="R64" s="918">
        <f>+R48+R53+R62</f>
        <v>-28096804.199196577</v>
      </c>
      <c r="S64" s="918">
        <f>+S48+S53+S62</f>
        <v>-2166076.0836192002</v>
      </c>
      <c r="T64" s="918">
        <f>+T48+T53+T62</f>
        <v>-25930728.115577381</v>
      </c>
      <c r="U64" s="918">
        <f>+U48+U53+U62</f>
        <v>-2166076.0836192002</v>
      </c>
      <c r="V64" s="918">
        <f>+V48+V53+V62</f>
        <v>-23764652.031958178</v>
      </c>
      <c r="W64" s="918">
        <f>+W48+W53+W62</f>
        <v>-2166076.0836192002</v>
      </c>
      <c r="X64" s="918">
        <f>+X48+X53+X62</f>
        <v>-21598575.948338978</v>
      </c>
      <c r="Y64" s="918">
        <f>+Y48+Y53+Y62</f>
        <v>-2166076.0836192002</v>
      </c>
      <c r="Z64" s="918">
        <f>+Z48+Z53+Z62</f>
        <v>-19432499.864719778</v>
      </c>
    </row>
    <row r="65" spans="1:26" ht="15.5">
      <c r="A65" s="216">
        <f>+A64+1</f>
        <v>39</v>
      </c>
      <c r="B65" s="695" t="s">
        <v>959</v>
      </c>
      <c r="C65" s="695"/>
      <c r="D65" s="695"/>
      <c r="E65" s="969">
        <v>0.26582278481012656</v>
      </c>
      <c r="F65" s="969"/>
      <c r="G65" s="969">
        <v>-31917281.164556958</v>
      </c>
      <c r="H65" s="693"/>
      <c r="I65" s="969">
        <v>-9186715.9257485475</v>
      </c>
      <c r="J65" s="918"/>
      <c r="K65" s="918"/>
      <c r="L65" s="969">
        <v>-9186715.9257485475</v>
      </c>
      <c r="M65" s="569"/>
      <c r="N65" s="969">
        <v>-8404433.3485649787</v>
      </c>
      <c r="O65" s="569"/>
      <c r="P65" s="969">
        <v>-8044563.113153561</v>
      </c>
      <c r="Q65" s="569"/>
      <c r="R65" s="969">
        <v>-7468770.7364952918</v>
      </c>
      <c r="S65" s="569"/>
      <c r="T65" s="969">
        <v>-6892978.3598370245</v>
      </c>
      <c r="U65" s="569"/>
      <c r="V65" s="969">
        <v>-6317185.9831787553</v>
      </c>
      <c r="W65" s="569"/>
      <c r="X65" s="969">
        <v>-5741393.606520487</v>
      </c>
      <c r="Y65" s="569"/>
      <c r="Z65" s="969">
        <v>-5165601.2298622187</v>
      </c>
    </row>
    <row r="66" spans="1:26" ht="31">
      <c r="A66" s="216">
        <f>+A65+1</f>
        <v>40</v>
      </c>
      <c r="B66" s="695" t="s">
        <v>966</v>
      </c>
      <c r="C66" s="695"/>
      <c r="D66" s="695"/>
      <c r="E66" s="1133">
        <f>+E64+E65</f>
        <v>0.26582278481012656</v>
      </c>
      <c r="F66" s="1114"/>
      <c r="G66" s="1133">
        <f>+G64+G65</f>
        <v>-151987053.16455695</v>
      </c>
      <c r="H66" s="1134"/>
      <c r="I66" s="1133">
        <f>+I64+I65</f>
        <v>-43746266.313088328</v>
      </c>
      <c r="J66" s="1114"/>
      <c r="K66" s="1114"/>
      <c r="L66" s="1133">
        <f>+L64+L65</f>
        <v>-43746266.313088328</v>
      </c>
      <c r="M66" s="1114"/>
      <c r="N66" s="1133">
        <f>+N64+N65</f>
        <v>-40021111.18364276</v>
      </c>
      <c r="O66" s="54"/>
      <c r="P66" s="1133">
        <f>+P64+P65</f>
        <v>-38307443.395969339</v>
      </c>
      <c r="Q66" s="54"/>
      <c r="R66" s="1133">
        <f>+R64+R65</f>
        <v>-35565574.935691871</v>
      </c>
      <c r="S66" s="54"/>
      <c r="T66" s="1133">
        <f>+T64+T65</f>
        <v>-32823706.475414407</v>
      </c>
      <c r="U66" s="54"/>
      <c r="V66" s="1133">
        <f>+V64+V65</f>
        <v>-30081838.015136935</v>
      </c>
      <c r="W66" s="54"/>
      <c r="X66" s="1133">
        <f>+X64+X65</f>
        <v>-27339969.554859467</v>
      </c>
      <c r="Y66" s="54"/>
      <c r="Z66" s="1133">
        <f>+Z64+Z65</f>
        <v>-24598101.094581999</v>
      </c>
    </row>
    <row r="67" spans="1:26" ht="15.5">
      <c r="A67" s="216"/>
      <c r="B67" s="695"/>
      <c r="C67" s="695"/>
      <c r="D67" s="695"/>
      <c r="E67" s="1114"/>
      <c r="F67" s="1114"/>
      <c r="G67" s="1114"/>
      <c r="H67" s="693"/>
      <c r="I67" s="1114"/>
      <c r="J67" s="1114"/>
      <c r="K67" s="1114"/>
      <c r="L67" s="1114"/>
      <c r="M67" s="1114"/>
      <c r="N67" s="1114"/>
      <c r="O67" s="54"/>
      <c r="P67" s="1114"/>
      <c r="Q67" s="54"/>
      <c r="R67" s="1114"/>
      <c r="S67" s="54"/>
      <c r="T67" s="1114"/>
      <c r="U67" s="54"/>
      <c r="V67" s="1114"/>
      <c r="W67" s="54"/>
      <c r="X67" s="1114"/>
      <c r="Y67" s="54"/>
      <c r="Z67" s="1114"/>
    </row>
    <row r="68" spans="1:26" ht="15.5">
      <c r="A68" s="216">
        <f>+A66+1</f>
        <v>41</v>
      </c>
      <c r="B68" s="695" t="s">
        <v>388</v>
      </c>
      <c r="C68" s="695"/>
      <c r="D68" s="695"/>
      <c r="E68" s="1114">
        <f>+E40+E66</f>
        <v>0.26582278481012656</v>
      </c>
      <c r="F68" s="1114"/>
      <c r="G68" s="1114">
        <f>+G40+G66</f>
        <v>-147045187.34177214</v>
      </c>
      <c r="H68" s="693"/>
      <c r="I68" s="1114">
        <f>+I40+I66</f>
        <v>-43121272.387898453</v>
      </c>
      <c r="J68" s="1114"/>
      <c r="K68" s="1114"/>
      <c r="L68" s="1114">
        <f>+L40+L66</f>
        <v>-43121272.387898453</v>
      </c>
      <c r="M68" s="1114"/>
      <c r="N68" s="1114">
        <f>+N40+N66</f>
        <v>-39458616.650971875</v>
      </c>
      <c r="O68" s="54"/>
      <c r="P68" s="1114">
        <f>+P40+P66</f>
        <v>-37807448.255817443</v>
      </c>
      <c r="Q68" s="54"/>
      <c r="R68" s="1114">
        <f>+R40+R66</f>
        <v>-35165578.823570348</v>
      </c>
      <c r="S68" s="54"/>
      <c r="T68" s="1114">
        <f>+T40+T66</f>
        <v>-32523709.391323268</v>
      </c>
      <c r="U68" s="54"/>
      <c r="V68" s="1114">
        <f>+V40+V66</f>
        <v>-29622743.188524276</v>
      </c>
      <c r="W68" s="54"/>
      <c r="X68" s="1114">
        <f>+X40+X66</f>
        <v>-27239970.526829086</v>
      </c>
      <c r="Y68" s="54"/>
      <c r="Z68" s="1114">
        <f>+Z40+Z66</f>
        <v>-24598101.094581999</v>
      </c>
    </row>
    <row r="69" spans="1:26" ht="15.5">
      <c r="A69" s="216"/>
      <c r="B69" s="695"/>
      <c r="C69" s="695"/>
      <c r="D69" s="695"/>
      <c r="E69" s="1114"/>
      <c r="F69" s="1114"/>
      <c r="G69" s="1114"/>
      <c r="H69" s="693"/>
      <c r="I69" s="1114"/>
      <c r="J69" s="1114"/>
      <c r="K69" s="1114"/>
      <c r="L69" s="1114"/>
      <c r="M69" s="1114"/>
      <c r="N69" s="1114"/>
      <c r="O69" s="54"/>
      <c r="P69" s="1114"/>
      <c r="Q69" s="1114"/>
      <c r="R69" s="1114"/>
      <c r="S69" s="914"/>
      <c r="T69" s="914"/>
      <c r="U69" s="914"/>
      <c r="V69" s="914"/>
      <c r="W69" s="914"/>
      <c r="X69" s="914"/>
      <c r="Y69" s="975"/>
      <c r="Z69" s="975"/>
    </row>
    <row r="70" spans="1:27" ht="15.5">
      <c r="A70" s="216">
        <f>+A68+1</f>
        <v>42</v>
      </c>
      <c r="B70" s="216" t="s">
        <v>973</v>
      </c>
      <c r="C70" s="216"/>
      <c r="D70" s="216"/>
      <c r="E70" s="216"/>
      <c r="F70" s="216"/>
      <c r="G70" s="216"/>
      <c r="H70" s="216"/>
      <c r="I70" s="216"/>
      <c r="J70" s="216"/>
      <c r="K70" s="216"/>
      <c r="L70" s="216"/>
      <c r="M70" s="569">
        <f>+M38+M64</f>
        <v>-2893498.0321720005</v>
      </c>
      <c r="N70" s="216"/>
      <c r="O70" s="569">
        <f>+O38+O64</f>
        <v>-1304423.0321719998</v>
      </c>
      <c r="P70" s="216"/>
      <c r="Q70" s="569">
        <f>+Q38+Q64</f>
        <v>-2087076.8514752002</v>
      </c>
      <c r="R70" s="975"/>
      <c r="S70" s="569">
        <f>+S38+S64</f>
        <v>-2087076.8514752002</v>
      </c>
      <c r="T70" s="975"/>
      <c r="U70" s="569">
        <f>+U38+U64</f>
        <v>-2087076.8514752002</v>
      </c>
      <c r="V70" s="975"/>
      <c r="W70" s="569">
        <f>+W38+W64</f>
        <v>-2087076.8514752002</v>
      </c>
      <c r="X70" s="975"/>
      <c r="Y70" s="569">
        <f>+Y38+Y64</f>
        <v>-2087076.8514752002</v>
      </c>
      <c r="Z70" s="975"/>
      <c r="AA70" s="569"/>
    </row>
    <row r="71" spans="1:26" ht="15.5">
      <c r="A71" s="216"/>
      <c r="B71" s="216"/>
      <c r="C71" s="216"/>
      <c r="D71" s="216"/>
      <c r="E71" s="216"/>
      <c r="F71" s="216"/>
      <c r="G71" s="216"/>
      <c r="H71" s="216"/>
      <c r="I71" s="216"/>
      <c r="J71" s="216"/>
      <c r="K71" s="216"/>
      <c r="L71" s="216"/>
      <c r="M71" s="216"/>
      <c r="N71" s="216"/>
      <c r="O71" s="216"/>
      <c r="P71" s="216"/>
      <c r="Q71" s="975"/>
      <c r="R71" s="975"/>
      <c r="S71" s="975"/>
      <c r="T71" s="975"/>
      <c r="U71" s="975"/>
      <c r="V71" s="975"/>
      <c r="W71" s="975"/>
      <c r="X71" s="975"/>
      <c r="Y71" s="975"/>
      <c r="Z71" s="975"/>
    </row>
    <row r="72" spans="1:26" ht="15.5">
      <c r="A72" s="216"/>
      <c r="B72" s="1190" t="s">
        <v>967</v>
      </c>
      <c r="C72" s="1190"/>
      <c r="D72" s="1190"/>
      <c r="E72" s="1190"/>
      <c r="F72" s="1190"/>
      <c r="G72" s="1190"/>
      <c r="H72" s="1190"/>
      <c r="I72" s="1190"/>
      <c r="J72" s="1190"/>
      <c r="K72" s="1190"/>
      <c r="L72" s="1190"/>
      <c r="M72" s="216"/>
      <c r="N72" s="216"/>
      <c r="O72" s="216"/>
      <c r="P72" s="216"/>
      <c r="Q72" s="975"/>
      <c r="R72" s="975"/>
      <c r="S72" s="975"/>
      <c r="T72" s="975"/>
      <c r="U72" s="975"/>
      <c r="V72" s="975"/>
      <c r="W72" s="975"/>
      <c r="X72" s="975"/>
      <c r="Y72" s="975"/>
      <c r="Z72" s="975"/>
    </row>
    <row r="73" spans="1:26" ht="15.5">
      <c r="A73" s="216"/>
      <c r="B73" s="216" t="s">
        <v>1020</v>
      </c>
      <c r="C73" s="216"/>
      <c r="D73" s="216"/>
      <c r="E73" s="216"/>
      <c r="F73" s="216"/>
      <c r="G73" s="216"/>
      <c r="H73" s="216"/>
      <c r="I73" s="216"/>
      <c r="J73" s="216"/>
      <c r="K73" s="216"/>
      <c r="L73" s="216"/>
      <c r="M73" s="216"/>
      <c r="N73" s="216"/>
      <c r="O73" s="216"/>
      <c r="P73" s="216"/>
      <c r="Q73" s="975"/>
      <c r="R73" s="975"/>
      <c r="S73" s="975"/>
      <c r="T73" s="975"/>
      <c r="U73" s="975"/>
      <c r="V73" s="975"/>
      <c r="W73" s="975"/>
      <c r="X73" s="975"/>
      <c r="Y73" s="975"/>
      <c r="Z73" s="975"/>
    </row>
    <row r="74" spans="1:26" ht="36.75" customHeight="1">
      <c r="A74" s="216"/>
      <c r="B74" s="1190" t="s">
        <v>991</v>
      </c>
      <c r="C74" s="1190"/>
      <c r="D74" s="1190"/>
      <c r="E74" s="1190"/>
      <c r="F74" s="1190"/>
      <c r="G74" s="1190"/>
      <c r="H74" s="1190"/>
      <c r="I74" s="1190"/>
      <c r="J74" s="1190"/>
      <c r="K74" s="1190"/>
      <c r="L74" s="1190"/>
      <c r="M74" s="216"/>
      <c r="N74" s="216"/>
      <c r="O74" s="216"/>
      <c r="P74" s="216"/>
      <c r="Q74" s="975"/>
      <c r="R74" s="975"/>
      <c r="S74" s="975"/>
      <c r="T74" s="975"/>
      <c r="U74" s="975"/>
      <c r="V74" s="975"/>
      <c r="W74" s="975"/>
      <c r="X74" s="975"/>
      <c r="Y74" s="975"/>
      <c r="Z74" s="975"/>
    </row>
    <row r="75" spans="1:26" ht="15.5">
      <c r="A75" s="216"/>
      <c r="B75" s="216" t="s">
        <v>968</v>
      </c>
      <c r="C75" s="216"/>
      <c r="D75" s="216"/>
      <c r="E75" s="216"/>
      <c r="F75" s="216"/>
      <c r="G75" s="216"/>
      <c r="H75" s="216"/>
      <c r="I75" s="216"/>
      <c r="J75" s="216"/>
      <c r="K75" s="216"/>
      <c r="L75" s="216"/>
      <c r="M75" s="216"/>
      <c r="N75" s="216"/>
      <c r="O75" s="216"/>
      <c r="P75" s="216"/>
      <c r="Q75" s="975"/>
      <c r="R75" s="975"/>
      <c r="S75" s="975"/>
      <c r="T75" s="975"/>
      <c r="U75" s="975"/>
      <c r="V75" s="975"/>
      <c r="W75" s="975"/>
      <c r="X75" s="975"/>
      <c r="Y75" s="975"/>
      <c r="Z75" s="975"/>
    </row>
    <row r="76" spans="1:26" ht="15.5">
      <c r="A76" s="216"/>
      <c r="B76" s="216" t="s">
        <v>969</v>
      </c>
      <c r="C76" s="216"/>
      <c r="D76" s="216"/>
      <c r="E76" s="216"/>
      <c r="F76" s="216"/>
      <c r="G76" s="216"/>
      <c r="H76" s="216"/>
      <c r="I76" s="216"/>
      <c r="J76" s="216"/>
      <c r="K76" s="216"/>
      <c r="L76" s="216"/>
      <c r="M76" s="216"/>
      <c r="N76" s="216"/>
      <c r="O76" s="216"/>
      <c r="P76" s="216"/>
      <c r="Q76" s="975"/>
      <c r="R76" s="975"/>
      <c r="S76" s="975"/>
      <c r="T76" s="975"/>
      <c r="U76" s="975"/>
      <c r="V76" s="975"/>
      <c r="W76" s="975"/>
      <c r="X76" s="975"/>
      <c r="Y76" s="975"/>
      <c r="Z76" s="975"/>
    </row>
    <row r="77" spans="1:26" ht="15.5">
      <c r="A77" s="216"/>
      <c r="B77" s="216" t="s">
        <v>1021</v>
      </c>
      <c r="C77" s="216"/>
      <c r="D77" s="216"/>
      <c r="E77" s="216"/>
      <c r="F77" s="216"/>
      <c r="G77" s="216"/>
      <c r="H77" s="216"/>
      <c r="I77" s="216"/>
      <c r="J77" s="216"/>
      <c r="K77" s="216"/>
      <c r="L77" s="216"/>
      <c r="M77" s="216"/>
      <c r="N77" s="216"/>
      <c r="O77" s="216"/>
      <c r="P77" s="216"/>
      <c r="Q77" s="975"/>
      <c r="R77" s="975"/>
      <c r="S77" s="975"/>
      <c r="T77" s="975"/>
      <c r="U77" s="975"/>
      <c r="V77" s="975"/>
      <c r="W77" s="975"/>
      <c r="X77" s="975"/>
      <c r="Y77" s="975"/>
      <c r="Z77" s="975"/>
    </row>
    <row r="78" spans="1:26" ht="15.5">
      <c r="A78" s="216"/>
      <c r="B78" s="216"/>
      <c r="C78" s="216"/>
      <c r="D78" s="216"/>
      <c r="E78" s="216" t="s">
        <v>970</v>
      </c>
      <c r="F78" s="216"/>
      <c r="G78" s="216"/>
      <c r="H78" s="216"/>
      <c r="I78" s="726">
        <v>0.21</v>
      </c>
      <c r="J78" s="726"/>
      <c r="K78" s="216"/>
      <c r="L78" s="216"/>
      <c r="M78" s="216"/>
      <c r="N78" s="216"/>
      <c r="O78" s="216"/>
      <c r="P78" s="216"/>
      <c r="Q78" s="975"/>
      <c r="R78" s="975"/>
      <c r="S78" s="975"/>
      <c r="T78" s="975"/>
      <c r="U78" s="975"/>
      <c r="V78" s="975"/>
      <c r="W78" s="975"/>
      <c r="X78" s="975"/>
      <c r="Y78" s="975"/>
      <c r="Z78" s="975"/>
    </row>
    <row r="79" spans="1:26" ht="15.5">
      <c r="A79" s="216"/>
      <c r="B79" s="216"/>
      <c r="C79" s="216"/>
      <c r="D79" s="216"/>
      <c r="E79" s="216" t="s">
        <v>971</v>
      </c>
      <c r="F79" s="216"/>
      <c r="G79" s="216"/>
      <c r="H79" s="216"/>
      <c r="I79" s="726">
        <v>0.35</v>
      </c>
      <c r="J79" s="726"/>
      <c r="K79" s="216"/>
      <c r="L79" s="216"/>
      <c r="M79" s="216"/>
      <c r="N79" s="216"/>
      <c r="O79" s="216"/>
      <c r="P79" s="216"/>
      <c r="Q79" s="975"/>
      <c r="R79" s="975"/>
      <c r="S79" s="975"/>
      <c r="T79" s="975"/>
      <c r="U79" s="975"/>
      <c r="V79" s="975"/>
      <c r="W79" s="975"/>
      <c r="X79" s="975"/>
      <c r="Y79" s="975"/>
      <c r="Z79" s="975"/>
    </row>
    <row r="80" spans="1:26" ht="15.5">
      <c r="A80" s="216"/>
      <c r="B80" s="216"/>
      <c r="C80" s="216"/>
      <c r="D80" s="216"/>
      <c r="E80" s="216" t="s">
        <v>972</v>
      </c>
      <c r="F80" s="216"/>
      <c r="G80" s="216"/>
      <c r="H80" s="216"/>
      <c r="I80" s="726">
        <f>+I78/I79</f>
        <v>0.60</v>
      </c>
      <c r="J80" s="726"/>
      <c r="K80" s="216"/>
      <c r="L80" s="216"/>
      <c r="M80" s="216"/>
      <c r="N80" s="216"/>
      <c r="O80" s="216"/>
      <c r="P80" s="216"/>
      <c r="Q80" s="975"/>
      <c r="R80" s="975"/>
      <c r="S80" s="975"/>
      <c r="T80" s="975"/>
      <c r="U80" s="975"/>
      <c r="V80" s="975"/>
      <c r="W80" s="975"/>
      <c r="X80" s="975"/>
      <c r="Y80" s="975"/>
      <c r="Z80" s="975"/>
    </row>
    <row r="81" spans="1:26" ht="15.5">
      <c r="A81" s="216"/>
      <c r="B81" s="216"/>
      <c r="C81" s="216"/>
      <c r="D81" s="216"/>
      <c r="E81" s="216"/>
      <c r="F81" s="216"/>
      <c r="G81" s="216"/>
      <c r="H81" s="216"/>
      <c r="I81" s="216"/>
      <c r="J81" s="216"/>
      <c r="K81" s="216"/>
      <c r="L81" s="216"/>
      <c r="M81" s="216"/>
      <c r="N81" s="216"/>
      <c r="O81" s="216"/>
      <c r="P81" s="216"/>
      <c r="Q81" s="975"/>
      <c r="R81" s="975"/>
      <c r="S81" s="975"/>
      <c r="T81" s="975"/>
      <c r="U81" s="975"/>
      <c r="V81" s="975"/>
      <c r="W81" s="975"/>
      <c r="X81" s="975"/>
      <c r="Y81" s="975"/>
      <c r="Z81" s="975"/>
    </row>
  </sheetData>
  <mergeCells count="3">
    <mergeCell ref="B72:L72"/>
    <mergeCell ref="B74:L74"/>
    <mergeCell ref="B4:C4"/>
  </mergeCells>
  <pageMargins left="0.7" right="0.7" top="0.75" bottom="0.75" header="0.3" footer="0.3"/>
  <pageSetup orientation="landscape" scale="40" r:id="rId1"/>
  <customProperties>
    <customPr name="EpmWorksheetKeyString_GUID" r:id="rId2"/>
    <customPr name="_pios_id" r:id="rId3"/>
  </customPropertie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W24"/>
  <sheetViews>
    <sheetView zoomScaleSheetLayoutView="90" workbookViewId="0" topLeftCell="A1"/>
  </sheetViews>
  <sheetFormatPr defaultRowHeight="12.75"/>
  <cols>
    <col min="1" max="1" width="3.28571428571429" style="717" customWidth="1"/>
    <col min="2" max="5" width="9.14285714285714" customWidth="1"/>
    <col min="6" max="6" width="12.1428571428571" customWidth="1"/>
    <col min="7" max="7" width="13.7142857142857" customWidth="1"/>
    <col min="8" max="8" width="13.1428571428571" customWidth="1"/>
    <col min="9" max="9" width="12.5714285714286" customWidth="1"/>
    <col min="10" max="10" width="12.8571428571429" customWidth="1"/>
    <col min="11" max="11" width="13.1428571428571" customWidth="1"/>
    <col min="12" max="12" width="11.7142857142857" customWidth="1"/>
    <col min="13" max="13" width="13.7142857142857" customWidth="1"/>
    <col min="14" max="14" width="13.2857142857143" customWidth="1"/>
    <col min="15" max="15" width="13.1428571428571" customWidth="1"/>
    <col min="16" max="16" width="12.8571428571429" customWidth="1"/>
    <col min="17" max="17" width="12.4285714285714" customWidth="1"/>
    <col min="18" max="18" width="13.4285714285714" customWidth="1"/>
    <col min="19" max="19" width="13.1428571428571" customWidth="1"/>
    <col min="20" max="20" width="5" customWidth="1"/>
    <col min="21" max="21" width="11.8571428571429" customWidth="1"/>
    <col min="22" max="22" width="10.7142857142857" customWidth="1"/>
    <col min="23" max="23" width="10.8571428571429" customWidth="1"/>
  </cols>
  <sheetData>
    <row r="1" spans="1:17" ht="21.75" customHeight="1">
      <c r="A1" s="975"/>
      <c r="B1" s="1192" t="str">
        <f>+'9 - Excess ADIT'!I2</f>
        <v>Dayton Power and Light</v>
      </c>
      <c r="C1" s="1192"/>
      <c r="D1" s="1192"/>
      <c r="E1" s="1192"/>
      <c r="F1" s="1192"/>
      <c r="G1" s="1192"/>
      <c r="H1" s="1192"/>
      <c r="I1" s="1192"/>
      <c r="J1" s="1192"/>
      <c r="K1" s="1192"/>
      <c r="L1" s="1192"/>
      <c r="M1" s="1192"/>
      <c r="N1" s="975"/>
      <c r="O1" s="975"/>
      <c r="P1" s="975"/>
      <c r="Q1" s="975"/>
    </row>
    <row r="2" spans="1:17" ht="18" customHeight="1">
      <c r="A2" s="975"/>
      <c r="B2" s="1192" t="str">
        <f>+'9 - Excess ADIT'!I3</f>
        <v xml:space="preserve">ATTACHMENT H-15A </v>
      </c>
      <c r="C2" s="1192"/>
      <c r="D2" s="1192"/>
      <c r="E2" s="1192"/>
      <c r="F2" s="1192"/>
      <c r="G2" s="1192"/>
      <c r="H2" s="1192"/>
      <c r="I2" s="1192"/>
      <c r="J2" s="1192"/>
      <c r="K2" s="1192"/>
      <c r="L2" s="1192"/>
      <c r="M2" s="1192"/>
      <c r="N2" s="975"/>
      <c r="O2" s="975"/>
      <c r="P2" s="975"/>
      <c r="Q2" s="935"/>
    </row>
    <row r="3" spans="1:17" ht="18">
      <c r="A3" s="975"/>
      <c r="B3" s="1192" t="s">
        <v>830</v>
      </c>
      <c r="C3" s="1192"/>
      <c r="D3" s="1192"/>
      <c r="E3" s="1192"/>
      <c r="F3" s="1192"/>
      <c r="G3" s="1192"/>
      <c r="H3" s="1192"/>
      <c r="I3" s="1192"/>
      <c r="J3" s="1192"/>
      <c r="K3" s="1192"/>
      <c r="L3" s="1192"/>
      <c r="M3" s="1192"/>
      <c r="N3" s="1019"/>
      <c r="O3" s="1019"/>
      <c r="P3" s="975"/>
      <c r="Q3" s="975"/>
    </row>
    <row r="4" spans="1:17" s="718" customFormat="1" ht="18">
      <c r="A4" s="975"/>
      <c r="B4" s="1192" t="s">
        <v>829</v>
      </c>
      <c r="C4" s="1192"/>
      <c r="D4" s="1192"/>
      <c r="E4" s="1192"/>
      <c r="F4" s="1192"/>
      <c r="G4" s="1192"/>
      <c r="H4" s="1192"/>
      <c r="I4" s="1192"/>
      <c r="J4" s="1192"/>
      <c r="K4" s="1192"/>
      <c r="L4" s="1192"/>
      <c r="M4" s="1192"/>
      <c r="N4" s="1019"/>
      <c r="O4" s="1019"/>
      <c r="P4" s="975"/>
      <c r="Q4" s="975"/>
    </row>
    <row r="5" spans="8:15" s="975" customFormat="1" ht="18">
      <c r="H5" s="696"/>
      <c r="I5" s="1046"/>
      <c r="J5" s="1046"/>
      <c r="K5" s="1046"/>
      <c r="L5" s="1046"/>
      <c r="M5" s="1046"/>
      <c r="N5" s="1046"/>
      <c r="O5" s="1046"/>
    </row>
    <row r="6" spans="1:17" s="718" customFormat="1" ht="18">
      <c r="A6" s="975"/>
      <c r="B6" s="556" t="s">
        <v>370</v>
      </c>
      <c r="C6" s="975"/>
      <c r="D6" s="975"/>
      <c r="E6" s="975"/>
      <c r="F6" s="975"/>
      <c r="G6" s="975"/>
      <c r="H6" s="975"/>
      <c r="I6" s="1019"/>
      <c r="J6" s="1019"/>
      <c r="K6" s="1019"/>
      <c r="L6" s="1019"/>
      <c r="M6" s="1019"/>
      <c r="N6" s="1019"/>
      <c r="O6" s="1019"/>
      <c r="P6" s="975"/>
      <c r="Q6" s="975"/>
    </row>
    <row r="7" ht="13" thickBot="1"/>
    <row r="8" spans="1:23" ht="13.5" thickBot="1">
      <c r="A8" s="975"/>
      <c r="B8" s="587" t="s">
        <v>865</v>
      </c>
      <c r="C8" s="587"/>
      <c r="D8" s="587"/>
      <c r="E8" s="587"/>
      <c r="F8" s="587"/>
      <c r="G8" s="587"/>
      <c r="H8" s="587"/>
      <c r="I8" s="587"/>
      <c r="J8" s="587"/>
      <c r="K8" s="587"/>
      <c r="L8" s="587"/>
      <c r="M8" s="587"/>
      <c r="N8" s="975"/>
      <c r="O8" s="975"/>
      <c r="P8" s="975"/>
      <c r="Q8" s="975"/>
      <c r="U8" s="1085"/>
      <c r="V8" s="1089" t="s">
        <v>867</v>
      </c>
      <c r="W8" s="1090" t="s">
        <v>868</v>
      </c>
    </row>
    <row r="9" spans="1:23" ht="13.5" thickBot="1">
      <c r="A9" s="975"/>
      <c r="B9" s="587"/>
      <c r="C9" s="587"/>
      <c r="D9" s="587"/>
      <c r="E9" s="587"/>
      <c r="F9" s="1084" t="s">
        <v>452</v>
      </c>
      <c r="G9" s="1081" t="s">
        <v>453</v>
      </c>
      <c r="H9" s="1081" t="s">
        <v>454</v>
      </c>
      <c r="I9" s="1081" t="s">
        <v>455</v>
      </c>
      <c r="J9" s="1081" t="s">
        <v>456</v>
      </c>
      <c r="K9" s="1081" t="s">
        <v>336</v>
      </c>
      <c r="L9" s="1081" t="s">
        <v>457</v>
      </c>
      <c r="M9" s="1081" t="s">
        <v>458</v>
      </c>
      <c r="N9" s="1081" t="s">
        <v>459</v>
      </c>
      <c r="O9" s="1081" t="s">
        <v>460</v>
      </c>
      <c r="P9" s="1081" t="s">
        <v>461</v>
      </c>
      <c r="Q9" s="1081" t="s">
        <v>462</v>
      </c>
      <c r="R9" s="1081" t="s">
        <v>463</v>
      </c>
      <c r="S9" s="1082" t="s">
        <v>464</v>
      </c>
      <c r="T9" s="1083"/>
      <c r="U9" s="1086" t="s">
        <v>242</v>
      </c>
      <c r="V9" s="1087" t="s">
        <v>387</v>
      </c>
      <c r="W9" s="1088" t="s">
        <v>387</v>
      </c>
    </row>
    <row r="10" spans="1:23" ht="12.5">
      <c r="A10" s="975"/>
      <c r="B10" s="719" t="s">
        <v>760</v>
      </c>
      <c r="C10" s="587"/>
      <c r="D10" s="587"/>
      <c r="E10" s="587"/>
      <c r="F10" s="587"/>
      <c r="G10" s="587"/>
      <c r="H10" s="587"/>
      <c r="I10" s="587"/>
      <c r="J10" s="587"/>
      <c r="K10" s="587"/>
      <c r="L10" s="587"/>
      <c r="M10" s="587"/>
      <c r="N10" s="975"/>
      <c r="O10" s="975"/>
      <c r="P10" s="975"/>
      <c r="Q10" s="975"/>
      <c r="V10" s="1135">
        <f>+'Appendix A'!H16</f>
        <v>0.09138981159089922</v>
      </c>
      <c r="W10" s="1135">
        <f>+'Appendix A'!H24</f>
        <v>0.18092480779317441</v>
      </c>
    </row>
    <row r="11" spans="1:17" ht="12.5">
      <c r="A11" s="975"/>
      <c r="B11" s="587"/>
      <c r="C11" s="587"/>
      <c r="D11" s="587"/>
      <c r="E11" s="587"/>
      <c r="F11" s="587"/>
      <c r="G11" s="587"/>
      <c r="H11" s="587"/>
      <c r="I11" s="587"/>
      <c r="J11" s="587"/>
      <c r="K11" s="587"/>
      <c r="L11" s="587"/>
      <c r="M11" s="587"/>
      <c r="N11" s="975"/>
      <c r="O11" s="975"/>
      <c r="P11" s="975"/>
      <c r="Q11" s="975"/>
    </row>
    <row r="12" spans="1:23" ht="12.5">
      <c r="A12" s="975">
        <v>1</v>
      </c>
      <c r="B12" s="587" t="s">
        <v>866</v>
      </c>
      <c r="C12" s="587"/>
      <c r="D12" s="587"/>
      <c r="E12" s="587"/>
      <c r="F12" s="1007">
        <f>+-2017231/2</f>
        <v>-1008615.50</v>
      </c>
      <c r="G12" s="1007">
        <f t="shared" si="0" ref="G12:R12">+-2017231/2</f>
        <v>-1008615.50</v>
      </c>
      <c r="H12" s="1007">
        <f>+-2017231/2</f>
        <v>-1008615.50</v>
      </c>
      <c r="I12" s="1007">
        <f>+-2017231/2</f>
        <v>-1008615.50</v>
      </c>
      <c r="J12" s="1007">
        <f>+-2017231/2</f>
        <v>-1008615.50</v>
      </c>
      <c r="K12" s="1007">
        <f>+-2017231/2</f>
        <v>-1008615.50</v>
      </c>
      <c r="L12" s="1007">
        <f>+-2017231/2</f>
        <v>-1008615.50</v>
      </c>
      <c r="M12" s="1007">
        <f>+-2017231/2</f>
        <v>-1008615.50</v>
      </c>
      <c r="N12" s="1007">
        <f>+-2017231/2</f>
        <v>-1008615.50</v>
      </c>
      <c r="O12" s="1007">
        <f>+-2017231/2</f>
        <v>-1008615.50</v>
      </c>
      <c r="P12" s="1007">
        <f>+-2017231/2</f>
        <v>-1008615.50</v>
      </c>
      <c r="Q12" s="1007">
        <f>+-2017231/2</f>
        <v>-1008615.50</v>
      </c>
      <c r="R12" s="1007">
        <f>+-2017231/2</f>
        <v>-1008615.50</v>
      </c>
      <c r="S12" s="914">
        <f>+SUM(F12:R12)/13</f>
        <v>-1008615.50</v>
      </c>
      <c r="T12" s="914"/>
      <c r="U12" s="914">
        <f>+S12</f>
        <v>-1008615.50</v>
      </c>
      <c r="V12" s="914"/>
      <c r="W12" s="914"/>
    </row>
    <row r="13" spans="1:23" ht="12.5">
      <c r="A13" s="975"/>
      <c r="B13" s="587"/>
      <c r="C13" s="587"/>
      <c r="D13" s="587"/>
      <c r="E13" s="587"/>
      <c r="F13" s="1007"/>
      <c r="G13" s="1007"/>
      <c r="H13" s="1007"/>
      <c r="I13" s="1007"/>
      <c r="J13" s="1007"/>
      <c r="K13" s="1007"/>
      <c r="L13" s="910"/>
      <c r="M13" s="910"/>
      <c r="N13" s="975"/>
      <c r="O13" s="975"/>
      <c r="P13" s="975"/>
      <c r="Q13" s="975"/>
      <c r="S13" s="914"/>
      <c r="T13" s="914"/>
      <c r="U13" s="914"/>
      <c r="V13" s="914"/>
      <c r="W13" s="914"/>
    </row>
    <row r="14" spans="1:23" ht="12.5">
      <c r="A14" s="975">
        <f>+A12+1</f>
        <v>2</v>
      </c>
      <c r="B14" s="587" t="s">
        <v>869</v>
      </c>
      <c r="C14" s="587"/>
      <c r="D14" s="587"/>
      <c r="E14" s="587"/>
      <c r="F14" s="1007">
        <f>+(-12372668+-14856534)/2</f>
        <v>-13614601</v>
      </c>
      <c r="G14" s="1007">
        <f t="shared" si="1" ref="G14:R14">+(-12372668+-14856534)/2</f>
        <v>-13614601</v>
      </c>
      <c r="H14" s="1007">
        <f>+(-12372668+-14856534)/2</f>
        <v>-13614601</v>
      </c>
      <c r="I14" s="1007">
        <f>+(-12372668+-14856534)/2</f>
        <v>-13614601</v>
      </c>
      <c r="J14" s="1007">
        <f>+(-12372668+-14856534)/2</f>
        <v>-13614601</v>
      </c>
      <c r="K14" s="1007">
        <f>+(-12372668+-14856534)/2</f>
        <v>-13614601</v>
      </c>
      <c r="L14" s="1007">
        <f>+(-12372668+-14856534)/2</f>
        <v>-13614601</v>
      </c>
      <c r="M14" s="1007">
        <f>+(-12372668+-14856534)/2</f>
        <v>-13614601</v>
      </c>
      <c r="N14" s="1007">
        <f>+(-12372668+-14856534)/2</f>
        <v>-13614601</v>
      </c>
      <c r="O14" s="1007">
        <f>+(-12372668+-14856534)/2</f>
        <v>-13614601</v>
      </c>
      <c r="P14" s="1007">
        <f>+(-12372668+-14856534)/2</f>
        <v>-13614601</v>
      </c>
      <c r="Q14" s="1007">
        <f>+(-12372668+-14856534)/2</f>
        <v>-13614601</v>
      </c>
      <c r="R14" s="1007">
        <f>+(-12372668+-14856534)/2</f>
        <v>-13614601</v>
      </c>
      <c r="S14" s="914">
        <f>+SUM(F14:R14)/13</f>
        <v>-13614601</v>
      </c>
      <c r="T14" s="914"/>
      <c r="U14" s="914"/>
      <c r="V14" s="914">
        <f>+S14*V10</f>
        <v>-1244235.8202752681</v>
      </c>
      <c r="W14" s="914"/>
    </row>
    <row r="15" spans="1:23" ht="12.5">
      <c r="A15" s="975"/>
      <c r="B15" s="587"/>
      <c r="C15" s="587"/>
      <c r="D15" s="587"/>
      <c r="E15" s="587"/>
      <c r="F15" s="1007"/>
      <c r="G15" s="1007"/>
      <c r="H15" s="1007"/>
      <c r="I15" s="1007"/>
      <c r="J15" s="1007"/>
      <c r="K15" s="1007"/>
      <c r="L15" s="910"/>
      <c r="M15" s="910"/>
      <c r="N15" s="975"/>
      <c r="O15" s="975"/>
      <c r="P15" s="975"/>
      <c r="Q15" s="975"/>
      <c r="S15" s="914"/>
      <c r="T15" s="914"/>
      <c r="U15" s="914"/>
      <c r="V15" s="914"/>
      <c r="W15" s="914"/>
    </row>
    <row r="16" spans="1:23" ht="12.5">
      <c r="A16" s="975">
        <f>+A14+1</f>
        <v>3</v>
      </c>
      <c r="B16" s="587" t="s">
        <v>761</v>
      </c>
      <c r="C16" s="587"/>
      <c r="D16" s="587"/>
      <c r="E16" s="587"/>
      <c r="F16" s="1007">
        <f>+(-9058528+-548083972)/2</f>
        <v>-278571250</v>
      </c>
      <c r="G16" s="1007">
        <f t="shared" si="2" ref="G16:R16">+(-9058528+-548083972)/2</f>
        <v>-278571250</v>
      </c>
      <c r="H16" s="1007">
        <f>+(-9058528+-548083972)/2</f>
        <v>-278571250</v>
      </c>
      <c r="I16" s="1007">
        <f>+(-9058528+-548083972)/2</f>
        <v>-278571250</v>
      </c>
      <c r="J16" s="1007">
        <f>+(-9058528+-548083972)/2</f>
        <v>-278571250</v>
      </c>
      <c r="K16" s="1007">
        <f>+(-9058528+-548083972)/2</f>
        <v>-278571250</v>
      </c>
      <c r="L16" s="1007">
        <f>+(-9058528+-548083972)/2</f>
        <v>-278571250</v>
      </c>
      <c r="M16" s="1007">
        <f>+(-9058528+-548083972)/2</f>
        <v>-278571250</v>
      </c>
      <c r="N16" s="1007">
        <f>+(-9058528+-548083972)/2</f>
        <v>-278571250</v>
      </c>
      <c r="O16" s="1007">
        <f>+(-9058528+-548083972)/2</f>
        <v>-278571250</v>
      </c>
      <c r="P16" s="1007">
        <f>+(-9058528+-548083972)/2</f>
        <v>-278571250</v>
      </c>
      <c r="Q16" s="1007">
        <f>+(-9058528+-548083972)/2</f>
        <v>-278571250</v>
      </c>
      <c r="R16" s="1007">
        <f>+(-9058528+-548083972)/2</f>
        <v>-278571250</v>
      </c>
      <c r="S16" s="914">
        <f>+SUM(F16:R16)/13</f>
        <v>-278571250</v>
      </c>
      <c r="T16" s="914"/>
      <c r="U16" s="914">
        <f>+S16</f>
        <v>-278571250</v>
      </c>
      <c r="V16" s="914"/>
      <c r="W16" s="914"/>
    </row>
    <row r="17" spans="1:23" ht="12.5">
      <c r="A17" s="975"/>
      <c r="B17" s="587"/>
      <c r="C17" s="587"/>
      <c r="D17" s="587"/>
      <c r="E17" s="587"/>
      <c r="F17" s="1007"/>
      <c r="G17" s="1007"/>
      <c r="H17" s="1007"/>
      <c r="I17" s="1007"/>
      <c r="J17" s="1007"/>
      <c r="K17" s="1007"/>
      <c r="L17" s="910"/>
      <c r="M17" s="910"/>
      <c r="N17" s="975"/>
      <c r="O17" s="975"/>
      <c r="P17" s="975"/>
      <c r="Q17" s="975"/>
      <c r="S17" s="914"/>
      <c r="T17" s="914"/>
      <c r="U17" s="914"/>
      <c r="V17" s="914"/>
      <c r="W17" s="914"/>
    </row>
    <row r="18" spans="1:23" ht="12.5">
      <c r="A18" s="975">
        <f>+A16+1</f>
        <v>4</v>
      </c>
      <c r="B18" s="587" t="s">
        <v>263</v>
      </c>
      <c r="C18" s="587"/>
      <c r="D18" s="587"/>
      <c r="E18" s="587"/>
      <c r="F18" s="1008">
        <f>+(-5521976+-1426979)/2</f>
        <v>-3474477.50</v>
      </c>
      <c r="G18" s="1008">
        <f t="shared" si="3" ref="G18:R18">+(-5521976+-1426979)/2</f>
        <v>-3474477.50</v>
      </c>
      <c r="H18" s="1008">
        <f>+(-5521976+-1426979)/2</f>
        <v>-3474477.50</v>
      </c>
      <c r="I18" s="1008">
        <f>+(-5521976+-1426979)/2</f>
        <v>-3474477.50</v>
      </c>
      <c r="J18" s="1008">
        <f>+(-5521976+-1426979)/2</f>
        <v>-3474477.50</v>
      </c>
      <c r="K18" s="1008">
        <f>+(-5521976+-1426979)/2</f>
        <v>-3474477.50</v>
      </c>
      <c r="L18" s="1008">
        <f>+(-5521976+-1426979)/2</f>
        <v>-3474477.50</v>
      </c>
      <c r="M18" s="1008">
        <f>+(-5521976+-1426979)/2</f>
        <v>-3474477.50</v>
      </c>
      <c r="N18" s="1008">
        <f>+(-5521976+-1426979)/2</f>
        <v>-3474477.50</v>
      </c>
      <c r="O18" s="1008">
        <f>+(-5521976+-1426979)/2</f>
        <v>-3474477.50</v>
      </c>
      <c r="P18" s="1008">
        <f>+(-5521976+-1426979)/2</f>
        <v>-3474477.50</v>
      </c>
      <c r="Q18" s="1008">
        <f>+(-5521976+-1426979)/2</f>
        <v>-3474477.50</v>
      </c>
      <c r="R18" s="1008">
        <f>+(-5521976+-1426979)/2</f>
        <v>-3474477.50</v>
      </c>
      <c r="S18" s="921">
        <f>+SUM(F18:R18)/13</f>
        <v>-3474477.50</v>
      </c>
      <c r="T18" s="914"/>
      <c r="U18" s="914">
        <f>+S18</f>
        <v>-3474477.50</v>
      </c>
      <c r="V18" s="914"/>
      <c r="W18" s="914"/>
    </row>
    <row r="19" spans="1:23" ht="12.5">
      <c r="A19" s="975"/>
      <c r="B19" s="587"/>
      <c r="C19" s="587"/>
      <c r="D19" s="587"/>
      <c r="E19" s="587"/>
      <c r="F19" s="910"/>
      <c r="G19" s="910"/>
      <c r="H19" s="910"/>
      <c r="I19" s="910"/>
      <c r="J19" s="910"/>
      <c r="K19" s="910"/>
      <c r="L19" s="910"/>
      <c r="M19" s="910"/>
      <c r="S19" s="914"/>
      <c r="T19" s="914"/>
      <c r="U19" s="914"/>
      <c r="V19" s="914"/>
      <c r="W19" s="914"/>
    </row>
    <row r="20" spans="1:23" ht="12.5">
      <c r="A20" s="975">
        <f>+A18+1</f>
        <v>5</v>
      </c>
      <c r="B20" s="587" t="s">
        <v>65</v>
      </c>
      <c r="C20" s="587"/>
      <c r="D20" s="587"/>
      <c r="E20" s="587"/>
      <c r="F20" s="910">
        <f>+SUM(F12:F18)</f>
        <v>-296668944</v>
      </c>
      <c r="G20" s="910">
        <f t="shared" si="4" ref="G20:R20">+SUM(G12:G18)</f>
        <v>-296668944</v>
      </c>
      <c r="H20" s="910">
        <f>+SUM(H12:H18)</f>
        <v>-296668944</v>
      </c>
      <c r="I20" s="910">
        <f>+SUM(I12:I18)</f>
        <v>-296668944</v>
      </c>
      <c r="J20" s="910">
        <f>+SUM(J12:J18)</f>
        <v>-296668944</v>
      </c>
      <c r="K20" s="910">
        <f>+SUM(K12:K18)</f>
        <v>-296668944</v>
      </c>
      <c r="L20" s="910">
        <f>+SUM(L12:L18)</f>
        <v>-296668944</v>
      </c>
      <c r="M20" s="910">
        <f>+SUM(M12:M18)</f>
        <v>-296668944</v>
      </c>
      <c r="N20" s="910">
        <f>+SUM(N12:N18)</f>
        <v>-296668944</v>
      </c>
      <c r="O20" s="910">
        <f>+SUM(O12:O18)</f>
        <v>-296668944</v>
      </c>
      <c r="P20" s="910">
        <f>+SUM(P12:P18)</f>
        <v>-296668944</v>
      </c>
      <c r="Q20" s="910">
        <f>+SUM(Q12:Q18)</f>
        <v>-296668944</v>
      </c>
      <c r="R20" s="910">
        <f>+SUM(R12:R18)</f>
        <v>-296668944</v>
      </c>
      <c r="S20" s="921">
        <f>+SUM(F20:R20)/13</f>
        <v>-296668944</v>
      </c>
      <c r="T20" s="914"/>
      <c r="U20" s="910">
        <f t="shared" si="5" ref="U20:W20">+SUM(U12:U18)</f>
        <v>-283054343</v>
      </c>
      <c r="V20" s="910">
        <f>+SUM(V12:V18)</f>
        <v>-1244235.8202752681</v>
      </c>
      <c r="W20" s="910">
        <f>+SUM(W12:W18)</f>
        <v>0</v>
      </c>
    </row>
    <row r="21" spans="1:23" ht="12.5">
      <c r="A21" s="975"/>
      <c r="B21" s="587"/>
      <c r="C21" s="587"/>
      <c r="D21" s="587"/>
      <c r="E21" s="587"/>
      <c r="F21" s="587"/>
      <c r="G21" s="587"/>
      <c r="H21" s="587"/>
      <c r="I21" s="587"/>
      <c r="J21" s="587"/>
      <c r="K21" s="587"/>
      <c r="L21" s="587"/>
      <c r="M21" s="587"/>
      <c r="S21" s="914"/>
      <c r="T21" s="914"/>
      <c r="U21" s="914"/>
      <c r="V21" s="914"/>
      <c r="W21" s="914"/>
    </row>
    <row r="22" spans="1:23" ht="12.5">
      <c r="A22" s="975">
        <f>+A20+1</f>
        <v>6</v>
      </c>
      <c r="B22" s="587" t="s">
        <v>870</v>
      </c>
      <c r="C22" s="587"/>
      <c r="D22" s="587"/>
      <c r="E22" s="587"/>
      <c r="F22" s="738"/>
      <c r="G22" s="738"/>
      <c r="H22" s="738"/>
      <c r="I22" s="738"/>
      <c r="J22" s="738"/>
      <c r="K22" s="738"/>
      <c r="L22" s="587"/>
      <c r="M22" s="587"/>
      <c r="S22" s="914"/>
      <c r="T22" s="914"/>
      <c r="U22" s="914"/>
      <c r="V22" s="914"/>
      <c r="W22" s="914">
        <f>+W20+V20</f>
        <v>-1244235.8202752681</v>
      </c>
    </row>
    <row r="23" spans="1:13" ht="12.5">
      <c r="A23" s="975"/>
      <c r="B23" s="587"/>
      <c r="C23" s="587"/>
      <c r="D23" s="587"/>
      <c r="E23" s="587"/>
      <c r="F23" s="1091"/>
      <c r="G23" s="1092"/>
      <c r="H23" s="1091"/>
      <c r="I23" s="773"/>
      <c r="J23" s="587"/>
      <c r="K23" s="587"/>
      <c r="L23" s="587"/>
      <c r="M23" s="587"/>
    </row>
    <row r="24" spans="1:13" ht="13">
      <c r="A24" s="975"/>
      <c r="B24" s="587"/>
      <c r="C24" s="587"/>
      <c r="D24" s="587"/>
      <c r="E24" s="587"/>
      <c r="F24" s="910"/>
      <c r="G24" s="910"/>
      <c r="H24" s="910"/>
      <c r="I24" s="910"/>
      <c r="J24" s="910"/>
      <c r="K24" s="910"/>
      <c r="L24" s="910"/>
      <c r="M24" s="917"/>
    </row>
  </sheetData>
  <mergeCells count="4">
    <mergeCell ref="B1:M1"/>
    <mergeCell ref="B2:M2"/>
    <mergeCell ref="B3:M3"/>
    <mergeCell ref="B4:M4"/>
  </mergeCells>
  <pageMargins left="0.7" right="0.7" top="0.75" bottom="0.75" header="0.3" footer="0.3"/>
  <pageSetup orientation="landscape" scale="71" r:id="rId1"/>
  <customProperties>
    <customPr name="EpmWorksheetKeyString_GUID" r:id="rId2"/>
    <customPr name="_pios_id" r:id="rId3"/>
  </customPropertie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I45"/>
  <sheetViews>
    <sheetView zoomScale="90" zoomScaleNormal="90" zoomScaleSheetLayoutView="90" workbookViewId="0" topLeftCell="A1">
      <selection pane="topLeft" activeCell="A1" sqref="A1:G1"/>
    </sheetView>
  </sheetViews>
  <sheetFormatPr defaultRowHeight="12.75"/>
  <cols>
    <col min="1" max="1" width="6.57142857142857" customWidth="1"/>
    <col min="2" max="2" width="63.2857142857143" customWidth="1"/>
    <col min="3" max="3" width="19.1428571428571" customWidth="1"/>
    <col min="4" max="4" width="18.1428571428571" bestFit="1" customWidth="1"/>
    <col min="5" max="5" width="2" customWidth="1"/>
    <col min="6" max="6" width="19.4285714285714" customWidth="1"/>
    <col min="7" max="7" width="1.71428571428571" customWidth="1"/>
    <col min="8" max="8" width="9.14285714285714" customWidth="1"/>
    <col min="9" max="9" width="19.7142857142857" customWidth="1"/>
  </cols>
  <sheetData>
    <row r="1" spans="1:9" ht="18">
      <c r="A1" s="1194" t="str">
        <f>+'9 - Excess ADIT'!I2</f>
        <v>Dayton Power and Light</v>
      </c>
      <c r="B1" s="1194"/>
      <c r="C1" s="1194"/>
      <c r="D1" s="1194"/>
      <c r="E1" s="1194"/>
      <c r="F1" s="1194"/>
      <c r="G1" s="1194"/>
      <c r="H1" s="975"/>
      <c r="I1" s="975"/>
    </row>
    <row r="2" spans="1:9" ht="18">
      <c r="A2" s="1195" t="str">
        <f>+'9 - Excess ADIT'!I3</f>
        <v xml:space="preserve">ATTACHMENT H-15A </v>
      </c>
      <c r="B2" s="1195"/>
      <c r="C2" s="1195"/>
      <c r="D2" s="1195"/>
      <c r="E2" s="1195"/>
      <c r="F2" s="1195"/>
      <c r="G2" s="1195"/>
      <c r="H2" s="975"/>
      <c r="I2" s="975"/>
    </row>
    <row r="3" spans="1:9" ht="18">
      <c r="A3" s="1196" t="s">
        <v>823</v>
      </c>
      <c r="B3" s="1197"/>
      <c r="C3" s="1197"/>
      <c r="D3" s="1197"/>
      <c r="E3" s="1197"/>
      <c r="F3" s="1197"/>
      <c r="G3" s="1197"/>
      <c r="H3" s="975"/>
      <c r="I3" s="975"/>
    </row>
    <row r="4" spans="1:9" ht="59.5" customHeight="1">
      <c r="A4" s="244"/>
      <c r="B4" s="216"/>
      <c r="C4" s="216"/>
      <c r="D4" s="216"/>
      <c r="E4" s="216"/>
      <c r="F4" s="805"/>
      <c r="G4" s="799"/>
      <c r="H4" s="975"/>
      <c r="I4" s="925"/>
    </row>
    <row r="5" spans="1:9" ht="15.5">
      <c r="A5" s="244"/>
      <c r="B5" s="216"/>
      <c r="C5" s="216"/>
      <c r="D5" s="216"/>
      <c r="E5" s="216"/>
      <c r="F5" s="216"/>
      <c r="G5" s="799"/>
      <c r="H5" s="975"/>
      <c r="I5" s="975"/>
    </row>
    <row r="6" spans="1:9" ht="15.5">
      <c r="A6" s="244"/>
      <c r="B6" s="216" t="s">
        <v>370</v>
      </c>
      <c r="C6" s="216"/>
      <c r="D6" s="216"/>
      <c r="E6" s="216"/>
      <c r="F6" s="216"/>
      <c r="G6" s="799"/>
      <c r="H6" s="975"/>
      <c r="I6" s="975"/>
    </row>
    <row r="7" spans="1:9" ht="15.5">
      <c r="A7" s="804"/>
      <c r="B7" s="803"/>
      <c r="C7" s="804"/>
      <c r="D7" s="802" t="s">
        <v>301</v>
      </c>
      <c r="E7" s="804"/>
      <c r="F7" s="802" t="s">
        <v>302</v>
      </c>
      <c r="G7" s="807"/>
      <c r="H7" s="975"/>
      <c r="I7" s="975"/>
    </row>
    <row r="8" spans="1:9" ht="15.5">
      <c r="A8" s="216"/>
      <c r="B8" s="216"/>
      <c r="C8" s="216"/>
      <c r="D8" s="216"/>
      <c r="E8" s="216"/>
      <c r="F8" s="642" t="s">
        <v>762</v>
      </c>
      <c r="G8" s="798"/>
      <c r="H8" s="975"/>
      <c r="I8" s="975"/>
    </row>
    <row r="9" spans="1:9" ht="15.5">
      <c r="A9" s="216"/>
      <c r="B9" s="216"/>
      <c r="C9" s="216"/>
      <c r="D9" s="642" t="s">
        <v>228</v>
      </c>
      <c r="E9" s="216"/>
      <c r="F9" s="801"/>
      <c r="G9" s="799"/>
      <c r="H9" s="975"/>
      <c r="I9" s="975"/>
    </row>
    <row r="10" spans="1:9" ht="15.5">
      <c r="A10" s="642" t="s">
        <v>763</v>
      </c>
      <c r="B10" s="216"/>
      <c r="C10" s="216"/>
      <c r="D10" s="642" t="s">
        <v>764</v>
      </c>
      <c r="E10" s="216"/>
      <c r="F10" s="642" t="s">
        <v>228</v>
      </c>
      <c r="G10" s="799"/>
      <c r="H10" s="975"/>
      <c r="I10" s="975"/>
    </row>
    <row r="11" spans="1:9" ht="15.5">
      <c r="A11" s="675" t="s">
        <v>765</v>
      </c>
      <c r="B11" s="636" t="s">
        <v>711</v>
      </c>
      <c r="C11" s="675" t="s">
        <v>766</v>
      </c>
      <c r="D11" s="675" t="s">
        <v>767</v>
      </c>
      <c r="E11" s="216"/>
      <c r="F11" s="675" t="s">
        <v>768</v>
      </c>
      <c r="G11" s="799"/>
      <c r="H11" s="975"/>
      <c r="I11" s="975"/>
    </row>
    <row r="12" spans="1:9" ht="15.5">
      <c r="A12" s="216"/>
      <c r="B12" s="216"/>
      <c r="C12" s="216"/>
      <c r="D12" s="216"/>
      <c r="E12" s="216"/>
      <c r="F12" s="675"/>
      <c r="G12" s="799"/>
      <c r="H12" s="975"/>
      <c r="I12" s="975"/>
    </row>
    <row r="13" spans="1:9" ht="15.5">
      <c r="A13" s="800">
        <v>1</v>
      </c>
      <c r="B13" s="797" t="s">
        <v>769</v>
      </c>
      <c r="C13" s="814"/>
      <c r="D13" s="9"/>
      <c r="E13" s="9"/>
      <c r="F13" s="796"/>
      <c r="G13" s="799"/>
      <c r="H13" s="975"/>
      <c r="I13" s="975"/>
    </row>
    <row r="14" spans="1:9" ht="15.5">
      <c r="A14" s="800">
        <f>+A13+1</f>
        <v>2</v>
      </c>
      <c r="B14" s="216" t="s">
        <v>770</v>
      </c>
      <c r="C14" s="814"/>
      <c r="D14" s="9"/>
      <c r="E14" s="9"/>
      <c r="F14" s="922">
        <v>0</v>
      </c>
      <c r="G14" s="799"/>
      <c r="H14" s="975"/>
      <c r="I14" s="975"/>
    </row>
    <row r="15" spans="1:9" ht="15.5">
      <c r="A15" s="800"/>
      <c r="B15" s="216"/>
      <c r="C15" s="216"/>
      <c r="D15" s="9"/>
      <c r="E15" s="9"/>
      <c r="F15" s="853"/>
      <c r="G15" s="799"/>
      <c r="H15" s="975"/>
      <c r="I15" s="975"/>
    </row>
    <row r="16" spans="1:9" ht="15.5">
      <c r="A16" s="800">
        <f>+A14+1</f>
        <v>3</v>
      </c>
      <c r="B16" s="808" t="s">
        <v>771</v>
      </c>
      <c r="C16" s="814"/>
      <c r="D16" s="815"/>
      <c r="E16" s="9"/>
      <c r="F16" s="854">
        <v>0</v>
      </c>
      <c r="G16" s="799"/>
      <c r="H16" s="975"/>
      <c r="I16" s="975"/>
    </row>
    <row r="17" spans="1:7" ht="15.5">
      <c r="A17" s="800">
        <f t="shared" si="0" ref="A17:A27">+A16+1</f>
        <v>4</v>
      </c>
      <c r="B17" s="808" t="s">
        <v>772</v>
      </c>
      <c r="C17" s="814"/>
      <c r="D17" s="815"/>
      <c r="E17" s="9"/>
      <c r="F17" s="922">
        <v>0</v>
      </c>
      <c r="G17" s="799"/>
    </row>
    <row r="18" spans="1:7" ht="15.5">
      <c r="A18" s="800"/>
      <c r="B18" s="216"/>
      <c r="C18" s="216"/>
      <c r="D18" s="587"/>
      <c r="E18" s="9"/>
      <c r="F18" s="853"/>
      <c r="G18" s="799"/>
    </row>
    <row r="19" spans="1:7" ht="15.5">
      <c r="A19" s="800">
        <f>+A17+1</f>
        <v>5</v>
      </c>
      <c r="B19" s="216" t="s">
        <v>773</v>
      </c>
      <c r="C19" s="216" t="str">
        <f>"(Line "&amp;A16&amp;" + Line "&amp;A17&amp;")"</f>
        <v>(Line 3 + Line 4)</v>
      </c>
      <c r="D19" s="587"/>
      <c r="E19" s="9"/>
      <c r="F19" s="923">
        <f>+F16+F17</f>
        <v>0</v>
      </c>
      <c r="G19" s="799"/>
    </row>
    <row r="20" spans="1:7" ht="15.5">
      <c r="A20" s="800"/>
      <c r="B20" s="216"/>
      <c r="C20" s="216"/>
      <c r="D20" s="9"/>
      <c r="E20" s="9"/>
      <c r="F20" s="853"/>
      <c r="G20" s="799"/>
    </row>
    <row r="21" spans="1:7" ht="15.5">
      <c r="A21" s="800">
        <f>+A19+1</f>
        <v>6</v>
      </c>
      <c r="B21" s="216" t="s">
        <v>774</v>
      </c>
      <c r="C21" s="216" t="str">
        <f>"(Line "&amp;A14&amp;" + Line "&amp;A19&amp;")"</f>
        <v>(Line 2 + Line 5)</v>
      </c>
      <c r="D21" s="9"/>
      <c r="E21" s="9"/>
      <c r="F21" s="853">
        <f>+F14+F19</f>
        <v>0</v>
      </c>
      <c r="G21" s="799"/>
    </row>
    <row r="22" spans="1:7" ht="15.5">
      <c r="A22" s="800"/>
      <c r="B22" s="216"/>
      <c r="C22" s="216"/>
      <c r="D22" s="9"/>
      <c r="E22" s="9"/>
      <c r="F22" s="853"/>
      <c r="G22" s="799"/>
    </row>
    <row r="23" spans="1:7" ht="15.5">
      <c r="A23" s="800">
        <f>+A21+1</f>
        <v>7</v>
      </c>
      <c r="B23" s="216" t="s">
        <v>773</v>
      </c>
      <c r="C23" s="216" t="str">
        <f>"(Line "&amp;A19&amp;")"</f>
        <v>(Line 5)</v>
      </c>
      <c r="D23" s="9"/>
      <c r="E23" s="9"/>
      <c r="F23" s="853">
        <f>+F19</f>
        <v>0</v>
      </c>
      <c r="G23" s="799"/>
    </row>
    <row r="24" spans="1:7" ht="15.5">
      <c r="A24" s="800"/>
      <c r="B24" s="216"/>
      <c r="C24" s="216"/>
      <c r="D24" s="216"/>
      <c r="E24" s="216"/>
      <c r="F24" s="216"/>
      <c r="G24" s="799"/>
    </row>
    <row r="25" spans="1:7" ht="15.5">
      <c r="A25" s="800">
        <f>+A23+1</f>
        <v>8</v>
      </c>
      <c r="B25" s="216" t="s">
        <v>775</v>
      </c>
      <c r="C25" s="216" t="s">
        <v>689</v>
      </c>
      <c r="D25" s="216"/>
      <c r="E25" s="216"/>
      <c r="F25" s="795">
        <v>0</v>
      </c>
      <c r="G25" s="799"/>
    </row>
    <row r="26" spans="1:7" ht="15.5">
      <c r="A26" s="800">
        <f>+A25+1</f>
        <v>9</v>
      </c>
      <c r="B26" s="216" t="s">
        <v>776</v>
      </c>
      <c r="C26" s="216" t="s">
        <v>777</v>
      </c>
      <c r="D26" s="216"/>
      <c r="E26" s="216"/>
      <c r="F26" s="854">
        <v>0</v>
      </c>
      <c r="G26" s="799"/>
    </row>
    <row r="27" spans="1:7" ht="15.5">
      <c r="A27" s="800">
        <f>+A26+1</f>
        <v>10</v>
      </c>
      <c r="B27" s="216" t="s">
        <v>778</v>
      </c>
      <c r="C27" s="216" t="s">
        <v>779</v>
      </c>
      <c r="D27" s="216"/>
      <c r="E27" s="216"/>
      <c r="F27" s="923">
        <f>+F23*F25*F26</f>
        <v>0</v>
      </c>
      <c r="G27" s="799"/>
    </row>
    <row r="28" spans="1:7" ht="15.5">
      <c r="A28" s="800"/>
      <c r="B28" s="216"/>
      <c r="C28" s="216"/>
      <c r="D28" s="216"/>
      <c r="E28" s="216"/>
      <c r="F28" s="569"/>
      <c r="G28" s="799"/>
    </row>
    <row r="29" spans="1:7" ht="15.5">
      <c r="A29" s="800">
        <f>+A27+1</f>
        <v>11</v>
      </c>
      <c r="B29" s="216" t="s">
        <v>780</v>
      </c>
      <c r="C29" s="216" t="s">
        <v>781</v>
      </c>
      <c r="D29" s="216"/>
      <c r="E29" s="216"/>
      <c r="F29" s="853">
        <f>+F23+F27</f>
        <v>0</v>
      </c>
      <c r="G29" s="799"/>
    </row>
    <row r="30" spans="1:7" ht="15.5">
      <c r="A30" s="800"/>
      <c r="B30" s="216"/>
      <c r="C30" s="216"/>
      <c r="D30" s="216"/>
      <c r="E30" s="216"/>
      <c r="F30" s="216"/>
      <c r="G30" s="799"/>
    </row>
    <row r="31" spans="1:7" ht="15.5">
      <c r="A31" s="216"/>
      <c r="B31" s="216"/>
      <c r="C31" s="216"/>
      <c r="D31" s="216"/>
      <c r="E31" s="216"/>
      <c r="F31" s="216"/>
      <c r="G31" s="799"/>
    </row>
    <row r="32" spans="1:7" ht="15.5">
      <c r="A32" s="774" t="s">
        <v>782</v>
      </c>
      <c r="B32" s="216"/>
      <c r="C32" s="216"/>
      <c r="D32" s="216"/>
      <c r="E32" s="216"/>
      <c r="F32" s="216"/>
      <c r="G32" s="799"/>
    </row>
    <row r="33" spans="1:7" ht="43.9" customHeight="1">
      <c r="A33" s="794" t="s">
        <v>195</v>
      </c>
      <c r="B33" s="1193" t="s">
        <v>783</v>
      </c>
      <c r="C33" s="1193"/>
      <c r="D33" s="1193"/>
      <c r="E33" s="1193"/>
      <c r="F33" s="1193"/>
      <c r="G33" s="806"/>
    </row>
    <row r="34" spans="1:7" ht="54" customHeight="1">
      <c r="A34" s="794" t="s">
        <v>197</v>
      </c>
      <c r="B34" s="1193" t="s">
        <v>784</v>
      </c>
      <c r="C34" s="1193"/>
      <c r="D34" s="1193"/>
      <c r="E34" s="1193"/>
      <c r="F34" s="1193"/>
      <c r="G34" s="806"/>
    </row>
    <row r="35" spans="1:7" ht="12.5">
      <c r="A35" s="587"/>
      <c r="B35" s="587"/>
      <c r="C35" s="587"/>
      <c r="D35" s="587"/>
      <c r="E35" s="587"/>
      <c r="F35" s="587"/>
      <c r="G35" s="975"/>
    </row>
    <row r="36" spans="1:7" ht="12.5">
      <c r="A36" s="587"/>
      <c r="B36" s="587"/>
      <c r="C36" s="587"/>
      <c r="D36" s="587"/>
      <c r="E36" s="587"/>
      <c r="F36" s="587"/>
      <c r="G36" s="975"/>
    </row>
    <row r="37" spans="1:7" ht="12.5">
      <c r="A37" s="587"/>
      <c r="B37" s="587"/>
      <c r="C37" s="587"/>
      <c r="D37" s="587"/>
      <c r="E37" s="587"/>
      <c r="F37" s="587"/>
      <c r="G37" s="975"/>
    </row>
    <row r="38" spans="1:7" ht="12.5">
      <c r="A38" s="587"/>
      <c r="B38" s="587"/>
      <c r="C38" s="587"/>
      <c r="D38" s="587"/>
      <c r="E38" s="587"/>
      <c r="F38" s="587"/>
      <c r="G38" s="975"/>
    </row>
    <row r="39" spans="1:7" ht="12.5">
      <c r="A39" s="587"/>
      <c r="B39" s="587"/>
      <c r="C39" s="587"/>
      <c r="D39" s="587"/>
      <c r="E39" s="587"/>
      <c r="F39" s="587"/>
      <c r="G39" s="975"/>
    </row>
    <row r="40" spans="1:7" ht="12.5">
      <c r="A40" s="587"/>
      <c r="B40" s="587"/>
      <c r="C40" s="587"/>
      <c r="D40" s="587"/>
      <c r="E40" s="587"/>
      <c r="F40" s="587"/>
      <c r="G40" s="975"/>
    </row>
    <row r="41" spans="1:7" ht="12.5">
      <c r="A41" s="587"/>
      <c r="B41" s="587"/>
      <c r="C41" s="587"/>
      <c r="D41" s="587"/>
      <c r="E41" s="587"/>
      <c r="F41" s="587"/>
      <c r="G41" s="975"/>
    </row>
    <row r="42" spans="1:7" ht="12.5">
      <c r="A42" s="587"/>
      <c r="B42" s="587"/>
      <c r="C42" s="587"/>
      <c r="D42" s="587"/>
      <c r="E42" s="587"/>
      <c r="F42" s="587"/>
      <c r="G42" s="975"/>
    </row>
    <row r="43" spans="1:7" ht="12.5">
      <c r="A43" s="587"/>
      <c r="B43" s="587"/>
      <c r="C43" s="587"/>
      <c r="D43" s="587"/>
      <c r="E43" s="587"/>
      <c r="F43" s="587"/>
      <c r="G43" s="975"/>
    </row>
    <row r="44" spans="1:7" ht="12.5">
      <c r="A44" s="587"/>
      <c r="B44" s="587"/>
      <c r="C44" s="587"/>
      <c r="D44" s="587"/>
      <c r="E44" s="587"/>
      <c r="F44" s="587"/>
      <c r="G44" s="975"/>
    </row>
    <row r="45" spans="1:7" ht="12.5">
      <c r="A45" s="587"/>
      <c r="B45" s="587"/>
      <c r="C45" s="587"/>
      <c r="D45" s="587"/>
      <c r="E45" s="587"/>
      <c r="F45" s="587"/>
      <c r="G45" s="975"/>
    </row>
  </sheetData>
  <mergeCells count="5">
    <mergeCell ref="B33:F33"/>
    <mergeCell ref="B34:F34"/>
    <mergeCell ref="A1:G1"/>
    <mergeCell ref="A2:G2"/>
    <mergeCell ref="A3:G3"/>
  </mergeCells>
  <pageMargins left="0.7" right="0.7" top="0.75" bottom="0.75" header="0.3" footer="0.3"/>
  <pageSetup orientation="landscape" scale="78" r:id="rId1"/>
  <customProperties>
    <customPr name="EpmWorksheetKeyString_GUID" r:id="rId2"/>
    <customPr name="_pios_id" r:id="rId3"/>
  </customPropertie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M27"/>
  <sheetViews>
    <sheetView workbookViewId="0" topLeftCell="A1"/>
  </sheetViews>
  <sheetFormatPr defaultRowHeight="12.75"/>
  <cols>
    <col min="1" max="1" width="3.85714285714286" customWidth="1"/>
    <col min="2" max="2" width="4.28571428571429" customWidth="1"/>
    <col min="3" max="9" width="9.14285714285714" customWidth="1"/>
    <col min="10" max="10" width="14.1428571428571" bestFit="1" customWidth="1"/>
    <col min="11" max="11" width="5.14285714285714" customWidth="1"/>
    <col min="12" max="12" width="16.5714285714286" customWidth="1"/>
    <col min="13" max="13" width="9.14285714285714" customWidth="1"/>
  </cols>
  <sheetData>
    <row r="1" spans="1:13" ht="17.5">
      <c r="A1" s="975"/>
      <c r="B1" s="975"/>
      <c r="C1" s="975"/>
      <c r="D1" s="975"/>
      <c r="E1" s="975"/>
      <c r="F1" s="1032" t="s">
        <v>0</v>
      </c>
      <c r="G1" s="975"/>
      <c r="H1" s="975"/>
      <c r="I1" s="975"/>
      <c r="J1" s="975"/>
      <c r="K1" s="975"/>
      <c r="L1" s="587"/>
      <c r="M1" s="975"/>
    </row>
    <row r="2" spans="1:13" ht="17.5">
      <c r="A2" s="975"/>
      <c r="B2" s="975"/>
      <c r="C2" s="975"/>
      <c r="D2" s="975"/>
      <c r="E2" s="975"/>
      <c r="F2" s="1032" t="s">
        <v>785</v>
      </c>
      <c r="G2" s="975"/>
      <c r="H2" s="975"/>
      <c r="I2" s="975"/>
      <c r="J2" s="975"/>
      <c r="K2" s="975"/>
      <c r="L2" s="975"/>
      <c r="M2" s="975"/>
    </row>
    <row r="3" spans="1:13" ht="17.5">
      <c r="A3" s="975"/>
      <c r="B3" s="975"/>
      <c r="C3" s="975"/>
      <c r="D3" s="975"/>
      <c r="E3" s="975"/>
      <c r="F3" s="598" t="s">
        <v>824</v>
      </c>
      <c r="G3" s="975"/>
      <c r="H3" s="975"/>
      <c r="I3" s="975"/>
      <c r="J3" s="975"/>
      <c r="K3" s="975"/>
      <c r="L3" s="975"/>
      <c r="M3" s="975"/>
    </row>
    <row r="4" ht="12.5"/>
    <row r="5" spans="1:13" ht="12.5">
      <c r="A5" s="587"/>
      <c r="B5" s="975"/>
      <c r="C5" s="975"/>
      <c r="D5" s="975"/>
      <c r="E5" s="975"/>
      <c r="F5" s="975"/>
      <c r="G5" s="975"/>
      <c r="H5" s="975"/>
      <c r="I5" s="975"/>
      <c r="J5" s="975"/>
      <c r="K5" s="975"/>
      <c r="L5" s="975"/>
      <c r="M5" s="975"/>
    </row>
    <row r="6" spans="1:13" ht="15.5">
      <c r="A6" s="216" t="s">
        <v>763</v>
      </c>
      <c r="B6" s="1033"/>
      <c r="C6" s="1033"/>
      <c r="D6" s="1033"/>
      <c r="E6" s="1033"/>
      <c r="F6" s="1033"/>
      <c r="G6" s="1033"/>
      <c r="H6" s="1033"/>
      <c r="I6" s="1033"/>
      <c r="J6" s="1033"/>
      <c r="K6" s="1033"/>
      <c r="L6" s="1034" t="s">
        <v>786</v>
      </c>
      <c r="M6" s="1034" t="s">
        <v>787</v>
      </c>
    </row>
    <row r="7" spans="1:13" ht="15.5">
      <c r="A7" s="1033"/>
      <c r="B7" s="1033" t="s">
        <v>694</v>
      </c>
      <c r="C7" s="1033"/>
      <c r="D7" s="1033"/>
      <c r="E7" s="1033"/>
      <c r="F7" s="1033"/>
      <c r="G7" s="1033"/>
      <c r="H7" s="1033"/>
      <c r="I7" s="1033"/>
      <c r="J7" s="1033"/>
      <c r="K7" s="1033"/>
      <c r="L7" s="675" t="s">
        <v>788</v>
      </c>
      <c r="M7" s="675" t="s">
        <v>789</v>
      </c>
    </row>
    <row r="8" spans="1:13" ht="15.5">
      <c r="A8" s="1034">
        <v>1</v>
      </c>
      <c r="B8" s="1033"/>
      <c r="C8" s="1033" t="s">
        <v>790</v>
      </c>
      <c r="D8" s="1033"/>
      <c r="E8" s="1033"/>
      <c r="F8" s="1033"/>
      <c r="G8" s="1033"/>
      <c r="H8" s="1033"/>
      <c r="I8" s="1033"/>
      <c r="J8" s="1035">
        <v>1128570</v>
      </c>
      <c r="K8" s="1033"/>
      <c r="L8" s="642" t="s">
        <v>791</v>
      </c>
      <c r="M8" s="1033">
        <v>561.10</v>
      </c>
    </row>
    <row r="9" spans="1:13" ht="15.5">
      <c r="A9" s="1034"/>
      <c r="B9" s="1033"/>
      <c r="C9" s="1033"/>
      <c r="D9" s="1033"/>
      <c r="E9" s="1033"/>
      <c r="F9" s="1033"/>
      <c r="G9" s="1033"/>
      <c r="H9" s="1033"/>
      <c r="I9" s="1033"/>
      <c r="J9" s="1036"/>
      <c r="K9" s="1033"/>
      <c r="L9" s="1034"/>
      <c r="M9" s="1033"/>
    </row>
    <row r="10" spans="1:13" ht="15.5">
      <c r="A10" s="1034">
        <f>+A8+1</f>
        <v>2</v>
      </c>
      <c r="B10" s="1033"/>
      <c r="C10" s="1033" t="s">
        <v>792</v>
      </c>
      <c r="D10" s="1033"/>
      <c r="E10" s="1033"/>
      <c r="F10" s="1033"/>
      <c r="G10" s="1033"/>
      <c r="H10" s="1033"/>
      <c r="I10" s="1033"/>
      <c r="J10" s="1037">
        <v>0</v>
      </c>
      <c r="K10" s="1033"/>
      <c r="L10" s="642" t="s">
        <v>793</v>
      </c>
      <c r="M10" s="1033">
        <v>561.20000000000005</v>
      </c>
    </row>
    <row r="11" spans="1:13" ht="15.5">
      <c r="A11" s="1034"/>
      <c r="B11" s="1033"/>
      <c r="C11" s="1033"/>
      <c r="D11" s="1033"/>
      <c r="E11" s="1033"/>
      <c r="F11" s="1033"/>
      <c r="G11" s="1033"/>
      <c r="H11" s="1033"/>
      <c r="I11" s="1033"/>
      <c r="J11" s="1036"/>
      <c r="K11" s="1033"/>
      <c r="L11" s="1034"/>
      <c r="M11" s="1033"/>
    </row>
    <row r="12" spans="1:13" ht="15.5">
      <c r="A12" s="1034">
        <f>+A10+1</f>
        <v>3</v>
      </c>
      <c r="B12" s="1033"/>
      <c r="C12" s="1033" t="s">
        <v>794</v>
      </c>
      <c r="D12" s="1033"/>
      <c r="E12" s="1033"/>
      <c r="F12" s="1033"/>
      <c r="G12" s="1033"/>
      <c r="H12" s="1033"/>
      <c r="I12" s="1033"/>
      <c r="J12" s="1038">
        <v>0</v>
      </c>
      <c r="K12" s="1033"/>
      <c r="L12" s="642" t="s">
        <v>795</v>
      </c>
      <c r="M12" s="1033">
        <v>561.29999999999995</v>
      </c>
    </row>
    <row r="13" spans="1:13" s="938" customFormat="1" ht="15.5">
      <c r="A13" s="1034"/>
      <c r="B13" s="1033"/>
      <c r="C13" s="1033"/>
      <c r="D13" s="1033"/>
      <c r="E13" s="1033"/>
      <c r="F13" s="1033"/>
      <c r="G13" s="1033"/>
      <c r="H13" s="1033"/>
      <c r="I13" s="1033"/>
      <c r="J13" s="1039"/>
      <c r="K13" s="1033"/>
      <c r="L13" s="642"/>
      <c r="M13" s="1033"/>
    </row>
    <row r="14" spans="1:13" ht="15.5">
      <c r="A14" s="1034">
        <f>+A12+1</f>
        <v>4</v>
      </c>
      <c r="B14" s="1033"/>
      <c r="C14" s="216" t="s">
        <v>796</v>
      </c>
      <c r="D14" s="1033"/>
      <c r="E14" s="1033"/>
      <c r="F14" s="1033"/>
      <c r="G14" s="1033"/>
      <c r="H14" s="1033"/>
      <c r="I14" s="1033"/>
      <c r="J14" s="1040">
        <v>-65447</v>
      </c>
      <c r="K14" s="1033"/>
      <c r="L14" s="642" t="s">
        <v>797</v>
      </c>
      <c r="M14" s="1033"/>
    </row>
    <row r="15" spans="1:13" s="938" customFormat="1" ht="15.5">
      <c r="A15" s="1034"/>
      <c r="B15" s="1033"/>
      <c r="C15" s="1033"/>
      <c r="D15" s="1033"/>
      <c r="E15" s="1033"/>
      <c r="F15" s="1033"/>
      <c r="G15" s="1033"/>
      <c r="H15" s="1033"/>
      <c r="I15" s="1033"/>
      <c r="J15" s="1033"/>
      <c r="K15" s="1033"/>
      <c r="L15" s="1034"/>
      <c r="M15" s="1033"/>
    </row>
    <row r="16" spans="1:13" ht="28.9" customHeight="1">
      <c r="A16" s="1034">
        <f>+A14+1</f>
        <v>5</v>
      </c>
      <c r="B16" s="1033"/>
      <c r="C16" s="1033" t="s">
        <v>65</v>
      </c>
      <c r="D16" s="1033"/>
      <c r="E16" s="1033"/>
      <c r="F16" s="1033"/>
      <c r="G16" s="1033"/>
      <c r="H16" s="1033"/>
      <c r="I16" s="1033"/>
      <c r="J16" s="1036">
        <f>+SUM(J8:J14)</f>
        <v>1063123</v>
      </c>
      <c r="K16" s="1033"/>
      <c r="L16" s="1041" t="str">
        <f>"(Line "&amp;A8&amp;" + Line "&amp;A10&amp;" + Line "&amp;A12&amp;" + Line "&amp;A14&amp;")"</f>
        <v>(Line 1 + Line 2 + Line 3 + Line 4)</v>
      </c>
      <c r="M16" s="1033"/>
    </row>
    <row r="17" spans="1:13" ht="15.5">
      <c r="A17" s="1034"/>
      <c r="B17" s="1033"/>
      <c r="C17" s="1033"/>
      <c r="D17" s="1033"/>
      <c r="E17" s="1033"/>
      <c r="F17" s="1033"/>
      <c r="G17" s="1033"/>
      <c r="H17" s="1033"/>
      <c r="I17" s="1033"/>
      <c r="J17" s="1036"/>
      <c r="K17" s="1033"/>
      <c r="L17" s="1034"/>
      <c r="M17" s="1033"/>
    </row>
    <row r="18" spans="1:13" ht="108.5">
      <c r="A18" s="1034">
        <f>+A16+1</f>
        <v>6</v>
      </c>
      <c r="B18" s="1033" t="s">
        <v>798</v>
      </c>
      <c r="C18" s="1033"/>
      <c r="D18" s="1033"/>
      <c r="E18" s="1033"/>
      <c r="F18" s="1033"/>
      <c r="G18" s="1033"/>
      <c r="H18" s="1033"/>
      <c r="I18" s="1033"/>
      <c r="J18" s="1115">
        <v>15063848</v>
      </c>
      <c r="K18" s="1033"/>
      <c r="L18" s="1042" t="s">
        <v>799</v>
      </c>
      <c r="M18" s="1033"/>
    </row>
    <row r="19" spans="1:13" ht="15.5">
      <c r="A19" s="1034"/>
      <c r="B19" s="1033"/>
      <c r="C19" s="1033"/>
      <c r="D19" s="1033"/>
      <c r="E19" s="1033"/>
      <c r="F19" s="1033"/>
      <c r="G19" s="1033"/>
      <c r="H19" s="1033"/>
      <c r="I19" s="1033"/>
      <c r="J19" s="1033"/>
      <c r="K19" s="1033"/>
      <c r="L19" s="1034"/>
      <c r="M19" s="1033"/>
    </row>
    <row r="20" spans="1:13" ht="15.5">
      <c r="A20" s="1034">
        <f>+A18+1</f>
        <v>7</v>
      </c>
      <c r="B20" s="1033" t="s">
        <v>800</v>
      </c>
      <c r="C20" s="1033"/>
      <c r="D20" s="1033"/>
      <c r="E20" s="1033"/>
      <c r="F20" s="1033"/>
      <c r="G20" s="1033"/>
      <c r="H20" s="1033"/>
      <c r="I20" s="1033"/>
      <c r="J20" s="1043">
        <f>+J16/J18</f>
        <v>0.070574464107710067</v>
      </c>
      <c r="K20" s="1033"/>
      <c r="L20" s="1034" t="str">
        <f>"(Line "&amp;A16&amp;" / Line "&amp;A18&amp;")"</f>
        <v>(Line 5 / Line 6)</v>
      </c>
      <c r="M20" s="1033"/>
    </row>
    <row r="21" spans="1:13" ht="15.5">
      <c r="A21" s="1034"/>
      <c r="B21" s="1033"/>
      <c r="C21" s="1033"/>
      <c r="D21" s="1033"/>
      <c r="E21" s="1033"/>
      <c r="F21" s="1033"/>
      <c r="G21" s="1033"/>
      <c r="H21" s="1033"/>
      <c r="I21" s="1033"/>
      <c r="J21" s="1033"/>
      <c r="K21" s="1033"/>
      <c r="L21" s="1033"/>
      <c r="M21" s="1033"/>
    </row>
    <row r="22" spans="1:13" ht="12.5">
      <c r="A22" s="637"/>
      <c r="B22" s="975"/>
      <c r="C22" s="975"/>
      <c r="D22" s="975"/>
      <c r="E22" s="975"/>
      <c r="F22" s="975"/>
      <c r="G22" s="975"/>
      <c r="H22" s="975"/>
      <c r="I22" s="975"/>
      <c r="J22" s="975"/>
      <c r="K22" s="975"/>
      <c r="L22" s="975"/>
      <c r="M22" s="975"/>
    </row>
    <row r="23" spans="1:13" ht="12.5">
      <c r="A23" s="637"/>
      <c r="B23" s="975"/>
      <c r="C23" s="975"/>
      <c r="D23" s="975"/>
      <c r="E23" s="975"/>
      <c r="F23" s="975"/>
      <c r="G23" s="975"/>
      <c r="H23" s="975"/>
      <c r="I23" s="975"/>
      <c r="J23" s="975"/>
      <c r="K23" s="975"/>
      <c r="L23" s="975"/>
      <c r="M23" s="975"/>
    </row>
    <row r="24" spans="1:13" ht="12.5">
      <c r="A24" s="637"/>
      <c r="B24" s="975"/>
      <c r="C24" s="975"/>
      <c r="D24" s="975"/>
      <c r="E24" s="975"/>
      <c r="F24" s="975"/>
      <c r="G24" s="975"/>
      <c r="H24" s="975"/>
      <c r="I24" s="975"/>
      <c r="J24" s="975"/>
      <c r="K24" s="975"/>
      <c r="L24" s="975"/>
      <c r="M24" s="975"/>
    </row>
    <row r="25" spans="1:13" ht="12.5">
      <c r="A25" s="637"/>
      <c r="B25" s="975"/>
      <c r="C25" s="975"/>
      <c r="D25" s="975"/>
      <c r="E25" s="975"/>
      <c r="F25" s="975"/>
      <c r="G25" s="975"/>
      <c r="H25" s="975"/>
      <c r="I25" s="975"/>
      <c r="J25" s="975"/>
      <c r="K25" s="975"/>
      <c r="L25" s="975"/>
      <c r="M25" s="975"/>
    </row>
    <row r="26" spans="1:13" ht="12.5">
      <c r="A26" s="637"/>
      <c r="B26" s="975"/>
      <c r="C26" s="975"/>
      <c r="D26" s="975"/>
      <c r="E26" s="975"/>
      <c r="F26" s="975"/>
      <c r="G26" s="975"/>
      <c r="H26" s="975"/>
      <c r="I26" s="975"/>
      <c r="J26" s="975"/>
      <c r="K26" s="975"/>
      <c r="L26" s="975"/>
      <c r="M26" s="975"/>
    </row>
    <row r="27" spans="1:13" ht="12.5">
      <c r="A27" s="637"/>
      <c r="B27" s="975"/>
      <c r="C27" s="975"/>
      <c r="D27" s="975"/>
      <c r="E27" s="975"/>
      <c r="F27" s="975"/>
      <c r="G27" s="975"/>
      <c r="H27" s="975"/>
      <c r="I27" s="975"/>
      <c r="J27" s="975"/>
      <c r="K27" s="975"/>
      <c r="L27" s="975"/>
      <c r="M27" s="975"/>
    </row>
  </sheetData>
  <pageMargins left="0.7" right="0.7" top="0.75" bottom="0.75" header="0.3" footer="0.3"/>
  <pageSetup orientation="portrait" scale="78" r:id="rId1"/>
  <customProperties>
    <customPr name="EpmWorksheetKeyString_GUID" r:id="rId2"/>
    <customPr name="_pios_id" r:id="rId3"/>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2"/>
  <dimension ref="A1:U518"/>
  <sheetViews>
    <sheetView showGridLines="0" zoomScale="70" zoomScaleNormal="70" workbookViewId="0" topLeftCell="A1"/>
  </sheetViews>
  <sheetFormatPr defaultColWidth="18.7242857142857" defaultRowHeight="15.75"/>
  <cols>
    <col min="1" max="1" width="5.57142857142857" style="216" customWidth="1"/>
    <col min="2" max="2" width="65.7142857142857" style="244" customWidth="1"/>
    <col min="3" max="3" width="60.5714285714286" style="216" bestFit="1" customWidth="1"/>
    <col min="4" max="4" width="22.7142857142857" style="216" customWidth="1"/>
    <col min="5" max="5" width="28.7142857142857" style="216" customWidth="1"/>
    <col min="6" max="6" width="24.2857142857143" style="216" customWidth="1"/>
    <col min="7" max="7" width="24" style="216" bestFit="1" customWidth="1"/>
    <col min="8" max="8" width="24" style="216" customWidth="1"/>
    <col min="9" max="9" width="124.714285714286" style="216" customWidth="1"/>
    <col min="10" max="21" width="18.7142857142857" style="216"/>
    <col min="22" max="16384" width="18.7142857142857" style="216"/>
  </cols>
  <sheetData>
    <row r="1" spans="2:9" ht="18">
      <c r="B1" s="1152" t="str">
        <f>+'Appendix A'!A3</f>
        <v>Dayton Power and Light</v>
      </c>
      <c r="C1" s="1152"/>
      <c r="D1" s="1152"/>
      <c r="E1" s="1152"/>
      <c r="F1" s="1152"/>
      <c r="G1" s="1152"/>
      <c r="H1" s="1152"/>
      <c r="I1" s="1152"/>
    </row>
    <row r="2" spans="2:9" ht="18">
      <c r="B2" s="1153" t="s">
        <v>1</v>
      </c>
      <c r="C2" s="1153"/>
      <c r="D2" s="1153"/>
      <c r="E2" s="1153"/>
      <c r="F2" s="1153"/>
      <c r="G2" s="1153"/>
      <c r="H2" s="1153"/>
      <c r="I2" s="1153"/>
    </row>
    <row r="3" spans="2:9" s="215" customFormat="1" ht="18">
      <c r="B3" s="1153" t="s">
        <v>811</v>
      </c>
      <c r="C3" s="1153"/>
      <c r="D3" s="1153"/>
      <c r="E3" s="1153"/>
      <c r="F3" s="1153"/>
      <c r="G3" s="1153"/>
      <c r="H3" s="1153"/>
      <c r="I3" s="1153"/>
    </row>
    <row r="4" spans="2:9" ht="15.5">
      <c r="B4" s="224"/>
      <c r="C4" s="222"/>
      <c r="D4" s="222"/>
      <c r="E4" s="222"/>
      <c r="F4" s="222"/>
      <c r="G4" s="222"/>
      <c r="H4" s="222"/>
      <c r="I4" s="222"/>
    </row>
    <row r="5" spans="2:9" ht="17.5">
      <c r="B5" s="942"/>
      <c r="C5" s="4"/>
      <c r="D5" s="223" t="s">
        <v>224</v>
      </c>
      <c r="E5" s="223"/>
      <c r="F5" s="220"/>
      <c r="G5" s="223"/>
      <c r="H5" s="223"/>
      <c r="I5" s="925"/>
    </row>
    <row r="6" spans="2:9" ht="17.5">
      <c r="B6" s="224"/>
      <c r="C6" s="220"/>
      <c r="D6" s="223" t="s">
        <v>225</v>
      </c>
      <c r="E6" s="223" t="s">
        <v>226</v>
      </c>
      <c r="F6" s="223" t="s">
        <v>227</v>
      </c>
      <c r="G6" s="698"/>
      <c r="H6" s="223" t="s">
        <v>65</v>
      </c>
      <c r="I6" s="926"/>
    </row>
    <row r="7" spans="2:9" ht="17.5">
      <c r="B7" s="224"/>
      <c r="C7" s="220"/>
      <c r="D7" s="223" t="s">
        <v>229</v>
      </c>
      <c r="E7" s="223" t="s">
        <v>229</v>
      </c>
      <c r="F7" s="223" t="s">
        <v>229</v>
      </c>
      <c r="G7" s="698"/>
      <c r="H7" s="223" t="s">
        <v>230</v>
      </c>
      <c r="I7" s="926"/>
    </row>
    <row r="8" spans="2:9" s="574" customFormat="1" ht="25">
      <c r="B8" s="573"/>
      <c r="C8" s="570"/>
      <c r="D8" s="570"/>
      <c r="E8" s="570"/>
      <c r="F8" s="570"/>
      <c r="H8" s="570"/>
      <c r="I8" s="570"/>
    </row>
    <row r="9" spans="1:9" ht="15.5">
      <c r="A9" s="642">
        <v>1</v>
      </c>
      <c r="B9" s="224"/>
      <c r="C9" s="229" t="s">
        <v>231</v>
      </c>
      <c r="D9" s="226">
        <f>+E45</f>
        <v>0</v>
      </c>
      <c r="E9" s="226">
        <f>+F45</f>
        <v>431994</v>
      </c>
      <c r="F9" s="226">
        <f>+G45</f>
        <v>3475132</v>
      </c>
      <c r="G9" s="575"/>
      <c r="H9" s="226"/>
      <c r="I9" s="641" t="str">
        <f>"(Line "&amp;A45&amp;")"</f>
        <v>(Line 26)</v>
      </c>
    </row>
    <row r="10" spans="1:9" ht="15.5">
      <c r="A10" s="642">
        <f>+A9+1</f>
        <v>2</v>
      </c>
      <c r="B10" s="224"/>
      <c r="C10" s="229" t="s">
        <v>232</v>
      </c>
      <c r="D10" s="226">
        <f>+E64</f>
        <v>-12337915</v>
      </c>
      <c r="E10" s="226">
        <f t="shared" si="0" ref="E10:F10">+F64</f>
        <v>0</v>
      </c>
      <c r="F10" s="226">
        <f>+G64</f>
        <v>0</v>
      </c>
      <c r="G10" s="226"/>
      <c r="H10" s="226"/>
      <c r="I10" s="641" t="str">
        <f>"(Line "&amp;A64&amp;")"</f>
        <v>(Line 29)</v>
      </c>
    </row>
    <row r="11" spans="1:9" ht="15.5">
      <c r="A11" s="642">
        <f>+A10+1</f>
        <v>3</v>
      </c>
      <c r="B11" s="224"/>
      <c r="C11" s="229" t="s">
        <v>233</v>
      </c>
      <c r="D11" s="714">
        <f>+E92</f>
        <v>0</v>
      </c>
      <c r="E11" s="714">
        <f t="shared" si="1" ref="E11:F11">+F92</f>
        <v>0</v>
      </c>
      <c r="F11" s="714">
        <f>+G92</f>
        <v>-5241835</v>
      </c>
      <c r="G11" s="714"/>
      <c r="H11" s="226"/>
      <c r="I11" s="641" t="str">
        <f>"(Line "&amp;A92&amp;")"</f>
        <v>(Line 38)</v>
      </c>
    </row>
    <row r="12" spans="1:9" ht="15.5">
      <c r="A12" s="642">
        <f t="shared" si="2" ref="A12:A17">+A11+1</f>
        <v>4</v>
      </c>
      <c r="B12" s="224"/>
      <c r="C12" s="229" t="s">
        <v>85</v>
      </c>
      <c r="D12" s="226">
        <f>+SUM(D9:D11)</f>
        <v>-12337915</v>
      </c>
      <c r="E12" s="226">
        <f t="shared" si="3" ref="E12:F12">+SUM(E9:E11)</f>
        <v>431994</v>
      </c>
      <c r="F12" s="226">
        <f>+SUM(F9:F11)</f>
        <v>-1766703</v>
      </c>
      <c r="G12" s="226"/>
      <c r="H12" s="226"/>
      <c r="I12" s="641" t="str">
        <f>"(Line "&amp;A9&amp;" + Line "&amp;A10&amp;" + Line "&amp;A11&amp;")"</f>
        <v>(Line 1 + Line 2 + Line 3)</v>
      </c>
    </row>
    <row r="13" spans="1:9" ht="15.5">
      <c r="A13" s="642">
        <f>+A12+1</f>
        <v>5</v>
      </c>
      <c r="B13" s="224"/>
      <c r="C13" s="229" t="s">
        <v>13</v>
      </c>
      <c r="D13" s="220"/>
      <c r="E13" s="220"/>
      <c r="F13" s="725">
        <f>'Appendix A'!H16</f>
        <v>0.09138981159089922</v>
      </c>
      <c r="H13" s="220"/>
      <c r="I13" s="28" t="str">
        <f>"(Appendix A, Line "&amp;'Appendix A'!A16&amp;")"</f>
        <v>(Appendix A, Line 5)</v>
      </c>
    </row>
    <row r="14" spans="1:9" ht="15.5">
      <c r="A14" s="642">
        <f>+A13+1</f>
        <v>6</v>
      </c>
      <c r="B14" s="224"/>
      <c r="C14" s="229" t="s">
        <v>21</v>
      </c>
      <c r="D14" s="220"/>
      <c r="E14" s="725">
        <f>'Appendix A'!H27</f>
        <v>0.16002770040064465</v>
      </c>
      <c r="F14" s="220"/>
      <c r="H14" s="220"/>
      <c r="I14" s="28" t="str">
        <f>"(Appendix A, Line "&amp;'Appendix A'!A27&amp;")"</f>
        <v>(Appendix A, Line 12)</v>
      </c>
    </row>
    <row r="15" spans="1:9" ht="15.5">
      <c r="A15" s="642">
        <f>+A14+1</f>
        <v>7</v>
      </c>
      <c r="B15" s="224"/>
      <c r="C15" s="229" t="s">
        <v>234</v>
      </c>
      <c r="D15" s="226">
        <f>+D12</f>
        <v>-12337915</v>
      </c>
      <c r="E15" s="226">
        <f>+E14*E12</f>
        <v>69131.006406876084</v>
      </c>
      <c r="F15" s="226">
        <f>+F13*F12</f>
        <v>-161458.65430707642</v>
      </c>
      <c r="G15" s="226"/>
      <c r="H15" s="227">
        <f>SUM(D15:F15)</f>
        <v>-12430242.647900201</v>
      </c>
      <c r="I15" s="641" t="str">
        <f>"(Line "&amp;A12&amp;" * Line "&amp;A13&amp;" or Line "&amp;A14&amp;")"</f>
        <v>(Line 4 * Line 5 or Line 6)</v>
      </c>
    </row>
    <row r="16" spans="1:9" ht="15.5">
      <c r="A16" s="642">
        <f>+A15+1</f>
        <v>8</v>
      </c>
      <c r="B16" s="224"/>
      <c r="C16" s="229" t="s">
        <v>235</v>
      </c>
      <c r="D16" s="226">
        <f>+'1C - ADIT Prior Year'!D15</f>
        <v>-11203668</v>
      </c>
      <c r="E16" s="226">
        <f>+'1C - ADIT Prior Year'!E15</f>
        <v>-41657.610829793812</v>
      </c>
      <c r="F16" s="226">
        <f>+'1C - ADIT Prior Year'!F15</f>
        <v>131078.76174821812</v>
      </c>
      <c r="G16" s="226"/>
      <c r="H16" s="227">
        <f t="shared" si="4" ref="H16:H17">SUM(D16:F16)</f>
        <v>-11114246.849081574</v>
      </c>
      <c r="I16" s="641" t="str">
        <f>"(Attachment 1C - ADIT Prior Year, Line "&amp;A15&amp;")"</f>
        <v>(Attachment 1C - ADIT Prior Year, Line 7)</v>
      </c>
    </row>
    <row r="17" spans="1:10" ht="15.5">
      <c r="A17" s="642">
        <f>+A16+1</f>
        <v>9</v>
      </c>
      <c r="B17" s="224"/>
      <c r="C17" s="229" t="s">
        <v>236</v>
      </c>
      <c r="D17" s="226">
        <f>(D15+D16)/2</f>
        <v>-11770791.5</v>
      </c>
      <c r="E17" s="226">
        <f>(E15+E16)/2</f>
        <v>13736.697788541136</v>
      </c>
      <c r="F17" s="226">
        <f>(F15+F16)/2</f>
        <v>-15189.946279429147</v>
      </c>
      <c r="G17" s="226"/>
      <c r="H17" s="227">
        <f>SUM(D17:F17)</f>
        <v>-11772244.748490889</v>
      </c>
      <c r="I17" s="641" t="str">
        <f>"(Average of Line "&amp;A15&amp;" + Line "&amp;A16&amp;")"</f>
        <v>(Average of Line 7 + Line 8)</v>
      </c>
      <c r="J17" s="569"/>
    </row>
    <row r="18" spans="1:9" ht="15.5">
      <c r="A18" s="642">
        <f>+A17+1</f>
        <v>10</v>
      </c>
      <c r="B18" s="224"/>
      <c r="C18" s="696" t="s">
        <v>237</v>
      </c>
      <c r="D18" s="831">
        <f>+'1B - ADIT Proration'!J24</f>
        <v>-20186288.716894973</v>
      </c>
      <c r="E18" s="831">
        <f>+'1B - ADIT Proration'!N24</f>
        <v>0</v>
      </c>
      <c r="F18" s="831">
        <f>+'1B - ADIT Proration'!R24</f>
        <v>0</v>
      </c>
      <c r="G18" s="575"/>
      <c r="H18" s="1062">
        <f>+D18+E18+F18</f>
        <v>-20186288.716894973</v>
      </c>
      <c r="I18" s="540" t="str">
        <f>"(Attachment 1B, Line "&amp;'1B - ADIT Proration'!A24&amp;")"</f>
        <v>(Attachment 1B, Line 14)</v>
      </c>
    </row>
    <row r="19" spans="1:9" ht="15.5">
      <c r="A19" s="642">
        <f>+A18+1</f>
        <v>11</v>
      </c>
      <c r="B19" s="224"/>
      <c r="C19" s="832" t="s">
        <v>238</v>
      </c>
      <c r="D19" s="575">
        <f>+D17+D18</f>
        <v>-31957080.216894973</v>
      </c>
      <c r="E19" s="575">
        <f>+E17+E18</f>
        <v>13736.697788541136</v>
      </c>
      <c r="F19" s="575">
        <f>+F17+F18</f>
        <v>-15189.946279429147</v>
      </c>
      <c r="G19" s="830"/>
      <c r="H19" s="830">
        <f>+H17+H18</f>
        <v>-31958533.465385862</v>
      </c>
      <c r="I19" s="540" t="str">
        <f>"(Line "&amp;A17&amp;" + Line "&amp;A18&amp;")"</f>
        <v>(Line 9 + Line 10)</v>
      </c>
    </row>
    <row r="20" spans="2:9" ht="15.5">
      <c r="B20" s="224"/>
      <c r="C20" s="225"/>
      <c r="D20" s="226"/>
      <c r="E20" s="226"/>
      <c r="F20" s="226"/>
      <c r="G20" s="227"/>
      <c r="H20" s="227"/>
      <c r="I20" s="228"/>
    </row>
    <row r="21" spans="2:9" ht="15.5">
      <c r="B21" s="224"/>
      <c r="C21" s="225"/>
      <c r="D21" s="226"/>
      <c r="E21" s="226"/>
      <c r="F21" s="226"/>
      <c r="G21" s="227"/>
      <c r="H21" s="227"/>
      <c r="I21" s="228"/>
    </row>
    <row r="22" spans="2:9" ht="15.5">
      <c r="B22" s="229"/>
      <c r="C22" s="220"/>
      <c r="D22" s="220"/>
      <c r="E22" s="220"/>
      <c r="F22" s="220"/>
      <c r="G22" s="220"/>
      <c r="H22" s="220"/>
      <c r="I22" s="220"/>
    </row>
    <row r="23" spans="2:8" ht="15.5">
      <c r="B23" s="220" t="s">
        <v>239</v>
      </c>
      <c r="C23" s="220"/>
      <c r="D23" s="226"/>
      <c r="E23" s="220"/>
      <c r="F23" s="220"/>
      <c r="G23" s="220"/>
      <c r="H23" s="220"/>
    </row>
    <row r="24" spans="2:9" ht="15.5">
      <c r="B24" s="220"/>
      <c r="C24" s="220"/>
      <c r="D24" s="220"/>
      <c r="E24" s="220"/>
      <c r="F24" s="220"/>
      <c r="G24" s="220"/>
      <c r="H24" s="220"/>
      <c r="I24" s="220"/>
    </row>
    <row r="25" spans="2:9" ht="15.5">
      <c r="B25" s="224" t="s">
        <v>978</v>
      </c>
      <c r="C25" s="220"/>
      <c r="D25" s="220"/>
      <c r="E25" s="220"/>
      <c r="F25" s="220"/>
      <c r="G25" s="220"/>
      <c r="H25" s="220"/>
      <c r="I25" s="220"/>
    </row>
    <row r="26" spans="2:9" ht="15.5">
      <c r="B26" s="224" t="s">
        <v>240</v>
      </c>
      <c r="C26" s="220"/>
      <c r="D26" s="220"/>
      <c r="E26" s="220"/>
      <c r="F26" s="220"/>
      <c r="G26" s="220"/>
      <c r="H26" s="220"/>
      <c r="I26" s="220"/>
    </row>
    <row r="27" spans="2:9" ht="15.5">
      <c r="B27" s="224"/>
      <c r="C27" s="220"/>
      <c r="D27" s="220"/>
      <c r="E27" s="220"/>
      <c r="F27" s="220"/>
      <c r="G27" s="225"/>
      <c r="H27" s="225"/>
      <c r="I27" s="220"/>
    </row>
    <row r="28" spans="2:9" ht="15.5">
      <c r="B28" s="230" t="s">
        <v>195</v>
      </c>
      <c r="C28" s="231" t="s">
        <v>197</v>
      </c>
      <c r="D28" s="231" t="s">
        <v>198</v>
      </c>
      <c r="E28" s="231" t="s">
        <v>199</v>
      </c>
      <c r="F28" s="231" t="s">
        <v>201</v>
      </c>
      <c r="G28" s="231" t="s">
        <v>203</v>
      </c>
      <c r="H28" s="231"/>
      <c r="I28" s="231" t="s">
        <v>205</v>
      </c>
    </row>
    <row r="29" spans="2:8" ht="15.5">
      <c r="B29" s="232" t="s">
        <v>241</v>
      </c>
      <c r="C29" s="223"/>
      <c r="D29" s="223"/>
      <c r="E29" s="223" t="s">
        <v>225</v>
      </c>
      <c r="F29" s="223" t="s">
        <v>226</v>
      </c>
      <c r="G29" s="223" t="s">
        <v>227</v>
      </c>
      <c r="H29" s="223"/>
    </row>
    <row r="30" spans="2:9" ht="14.5" customHeight="1" thickBot="1">
      <c r="B30" s="224"/>
      <c r="C30" s="223" t="s">
        <v>65</v>
      </c>
      <c r="D30" s="223" t="s">
        <v>242</v>
      </c>
      <c r="E30" s="223" t="s">
        <v>229</v>
      </c>
      <c r="F30" s="223" t="s">
        <v>229</v>
      </c>
      <c r="G30" s="223" t="s">
        <v>229</v>
      </c>
      <c r="H30" s="697"/>
      <c r="I30" s="223" t="s">
        <v>243</v>
      </c>
    </row>
    <row r="31" spans="1:21" ht="28.5" customHeight="1" thickBot="1">
      <c r="A31" s="642">
        <f>+A19+1</f>
        <v>12</v>
      </c>
      <c r="B31" s="555" t="s">
        <v>244</v>
      </c>
      <c r="C31" s="837">
        <v>764210</v>
      </c>
      <c r="D31" s="838">
        <v>0</v>
      </c>
      <c r="E31" s="838">
        <v>0</v>
      </c>
      <c r="F31" s="838">
        <v>0</v>
      </c>
      <c r="G31" s="838">
        <f>+C31</f>
        <v>764210</v>
      </c>
      <c r="H31" s="1048"/>
      <c r="I31" s="651" t="s">
        <v>245</v>
      </c>
      <c r="Q31" s="572"/>
      <c r="R31" s="572"/>
      <c r="S31" s="572"/>
      <c r="T31" s="572"/>
      <c r="U31" s="572"/>
    </row>
    <row r="32" spans="1:21" ht="28.5" customHeight="1" thickBot="1">
      <c r="A32" s="642">
        <f>+A31+1</f>
        <v>13</v>
      </c>
      <c r="B32" s="557" t="s">
        <v>246</v>
      </c>
      <c r="C32" s="839">
        <v>3969450</v>
      </c>
      <c r="D32" s="840">
        <f>+C32</f>
        <v>3969450</v>
      </c>
      <c r="E32" s="840">
        <v>0</v>
      </c>
      <c r="F32" s="840">
        <v>0</v>
      </c>
      <c r="G32" s="838">
        <v>0</v>
      </c>
      <c r="H32" s="1049"/>
      <c r="I32" s="651" t="s">
        <v>247</v>
      </c>
      <c r="Q32" s="572"/>
      <c r="R32" s="572"/>
      <c r="S32" s="572"/>
      <c r="T32" s="572"/>
      <c r="U32" s="572"/>
    </row>
    <row r="33" spans="1:21" ht="39.75" customHeight="1">
      <c r="A33" s="642">
        <f t="shared" si="5" ref="A33:A44">+A32+1</f>
        <v>14</v>
      </c>
      <c r="B33" s="557" t="s">
        <v>248</v>
      </c>
      <c r="C33" s="839">
        <v>197441</v>
      </c>
      <c r="D33" s="840">
        <v>0</v>
      </c>
      <c r="E33" s="840">
        <v>0</v>
      </c>
      <c r="F33" s="840">
        <v>0</v>
      </c>
      <c r="G33" s="838">
        <f t="shared" si="6" ref="G33">+C33</f>
        <v>197441</v>
      </c>
      <c r="H33" s="1049"/>
      <c r="I33" s="651" t="s">
        <v>245</v>
      </c>
      <c r="Q33" s="572"/>
      <c r="R33" s="572"/>
      <c r="S33" s="572"/>
      <c r="T33" s="572"/>
      <c r="U33" s="572"/>
    </row>
    <row r="34" spans="1:21" ht="39.75" customHeight="1">
      <c r="A34" s="642">
        <f>+A33+1</f>
        <v>15</v>
      </c>
      <c r="B34" s="784" t="s">
        <v>249</v>
      </c>
      <c r="C34" s="839">
        <v>-1010449</v>
      </c>
      <c r="D34" s="840">
        <v>0</v>
      </c>
      <c r="E34" s="840">
        <v>0</v>
      </c>
      <c r="F34" s="840">
        <f>+C34</f>
        <v>-1010449</v>
      </c>
      <c r="G34" s="840">
        <v>0</v>
      </c>
      <c r="H34" s="1049"/>
      <c r="I34" s="649" t="s">
        <v>250</v>
      </c>
      <c r="Q34" s="572"/>
      <c r="R34" s="572"/>
      <c r="S34" s="572"/>
      <c r="T34" s="572"/>
      <c r="U34" s="572"/>
    </row>
    <row r="35" spans="1:21" ht="39.75" customHeight="1">
      <c r="A35" s="642">
        <f>+A34+1</f>
        <v>16</v>
      </c>
      <c r="B35" s="557" t="s">
        <v>251</v>
      </c>
      <c r="C35" s="839">
        <v>1346930</v>
      </c>
      <c r="D35" s="840">
        <v>0</v>
      </c>
      <c r="E35" s="840">
        <v>0</v>
      </c>
      <c r="F35" s="840">
        <v>0</v>
      </c>
      <c r="G35" s="840">
        <f>+C35</f>
        <v>1346930</v>
      </c>
      <c r="H35" s="1049"/>
      <c r="I35" s="651" t="s">
        <v>252</v>
      </c>
      <c r="Q35" s="572"/>
      <c r="R35" s="572"/>
      <c r="S35" s="572"/>
      <c r="T35" s="572"/>
      <c r="U35" s="572"/>
    </row>
    <row r="36" spans="1:21" ht="39.75" customHeight="1">
      <c r="A36" s="642">
        <f>+A35+1</f>
        <v>17</v>
      </c>
      <c r="B36" s="557" t="s">
        <v>253</v>
      </c>
      <c r="C36" s="839">
        <v>937979</v>
      </c>
      <c r="D36" s="840">
        <f>+C36</f>
        <v>937979</v>
      </c>
      <c r="E36" s="840">
        <v>0</v>
      </c>
      <c r="F36" s="840">
        <v>0</v>
      </c>
      <c r="G36" s="840">
        <v>0</v>
      </c>
      <c r="H36" s="1049"/>
      <c r="I36" s="651" t="s">
        <v>254</v>
      </c>
      <c r="Q36" s="572"/>
      <c r="R36" s="572"/>
      <c r="S36" s="572"/>
      <c r="T36" s="572"/>
      <c r="U36" s="572"/>
    </row>
    <row r="37" spans="1:21" ht="39.75" customHeight="1">
      <c r="A37" s="642">
        <f>+A36+1</f>
        <v>18</v>
      </c>
      <c r="B37" s="557" t="s">
        <v>255</v>
      </c>
      <c r="C37" s="839">
        <v>1166551</v>
      </c>
      <c r="D37" s="840">
        <v>0</v>
      </c>
      <c r="E37" s="840">
        <v>0</v>
      </c>
      <c r="F37" s="840">
        <v>0</v>
      </c>
      <c r="G37" s="840">
        <f>+C37</f>
        <v>1166551</v>
      </c>
      <c r="H37" s="1049"/>
      <c r="I37" s="651" t="s">
        <v>256</v>
      </c>
      <c r="Q37" s="572"/>
      <c r="R37" s="572"/>
      <c r="S37" s="572"/>
      <c r="T37" s="572"/>
      <c r="U37" s="572"/>
    </row>
    <row r="38" spans="1:21" ht="39.75" customHeight="1">
      <c r="A38" s="642">
        <f>+A37+1</f>
        <v>19</v>
      </c>
      <c r="B38" s="557" t="s">
        <v>257</v>
      </c>
      <c r="C38" s="839">
        <v>334734</v>
      </c>
      <c r="D38" s="840">
        <f>+C38</f>
        <v>334734</v>
      </c>
      <c r="E38" s="840">
        <v>0</v>
      </c>
      <c r="F38" s="840">
        <v>0</v>
      </c>
      <c r="G38" s="840">
        <v>0</v>
      </c>
      <c r="H38" s="1049"/>
      <c r="I38" s="651" t="s">
        <v>258</v>
      </c>
      <c r="Q38" s="572"/>
      <c r="R38" s="572"/>
      <c r="S38" s="572"/>
      <c r="T38" s="572"/>
      <c r="U38" s="572"/>
    </row>
    <row r="39" spans="1:21" ht="39.75" customHeight="1">
      <c r="A39" s="642">
        <f>+A38+1</f>
        <v>20</v>
      </c>
      <c r="B39" s="557" t="s">
        <v>259</v>
      </c>
      <c r="C39" s="839">
        <v>431994</v>
      </c>
      <c r="D39" s="840">
        <v>0</v>
      </c>
      <c r="E39" s="840">
        <v>0</v>
      </c>
      <c r="F39" s="840">
        <f>+C39</f>
        <v>431994</v>
      </c>
      <c r="G39" s="840">
        <v>0</v>
      </c>
      <c r="H39" s="1049"/>
      <c r="I39" s="651" t="s">
        <v>979</v>
      </c>
      <c r="Q39" s="572"/>
      <c r="R39" s="572"/>
      <c r="S39" s="572"/>
      <c r="T39" s="572"/>
      <c r="U39" s="572"/>
    </row>
    <row r="40" spans="1:21" ht="39.75" customHeight="1">
      <c r="A40" s="642">
        <f>+A39+1</f>
        <v>21</v>
      </c>
      <c r="B40" s="557" t="s">
        <v>260</v>
      </c>
      <c r="C40" s="839">
        <v>1288335</v>
      </c>
      <c r="D40" s="840">
        <f>+C40</f>
        <v>1288335</v>
      </c>
      <c r="E40" s="840">
        <v>0</v>
      </c>
      <c r="F40" s="840">
        <v>0</v>
      </c>
      <c r="G40" s="840">
        <v>0</v>
      </c>
      <c r="H40" s="1049"/>
      <c r="I40" s="651" t="s">
        <v>261</v>
      </c>
      <c r="Q40" s="572"/>
      <c r="R40" s="572"/>
      <c r="S40" s="572"/>
      <c r="T40" s="572"/>
      <c r="U40" s="572"/>
    </row>
    <row r="41" spans="1:21" ht="39.75" customHeight="1">
      <c r="A41" s="642">
        <f>+A40+1</f>
        <v>22</v>
      </c>
      <c r="B41" s="557" t="s">
        <v>262</v>
      </c>
      <c r="C41" s="839">
        <v>-224000</v>
      </c>
      <c r="D41" s="840">
        <f>+C41</f>
        <v>-224000</v>
      </c>
      <c r="E41" s="840">
        <v>0</v>
      </c>
      <c r="F41" s="840">
        <v>0</v>
      </c>
      <c r="G41" s="840">
        <v>0</v>
      </c>
      <c r="H41" s="1049"/>
      <c r="I41" s="651" t="s">
        <v>980</v>
      </c>
      <c r="Q41" s="572"/>
      <c r="R41" s="572"/>
      <c r="S41" s="572"/>
      <c r="T41" s="572"/>
      <c r="U41" s="572"/>
    </row>
    <row r="42" spans="1:21" ht="39.75" customHeight="1">
      <c r="A42" s="642">
        <f>+A41+1</f>
        <v>23</v>
      </c>
      <c r="B42" s="557" t="s">
        <v>263</v>
      </c>
      <c r="C42" s="841">
        <v>33187</v>
      </c>
      <c r="D42" s="840">
        <f>+C42</f>
        <v>33187</v>
      </c>
      <c r="E42" s="840">
        <v>0</v>
      </c>
      <c r="F42" s="840">
        <v>0</v>
      </c>
      <c r="G42" s="840">
        <v>0</v>
      </c>
      <c r="H42" s="1049"/>
      <c r="I42" s="559" t="s">
        <v>264</v>
      </c>
      <c r="Q42" s="572"/>
      <c r="R42" s="572"/>
      <c r="S42" s="572"/>
      <c r="T42" s="572"/>
      <c r="U42" s="572"/>
    </row>
    <row r="43" spans="1:21" ht="25.15" customHeight="1">
      <c r="A43" s="642">
        <f>+A42+1</f>
        <v>24</v>
      </c>
      <c r="B43" s="558" t="s">
        <v>265</v>
      </c>
      <c r="C43" s="842">
        <f t="shared" si="7" ref="C43:G43">SUM(C31:C42)</f>
        <v>9236362</v>
      </c>
      <c r="D43" s="842">
        <f>SUM(D31:D42)</f>
        <v>6339685</v>
      </c>
      <c r="E43" s="842">
        <f>SUM(E31:E42)</f>
        <v>0</v>
      </c>
      <c r="F43" s="842">
        <f>SUM(F31:F42)</f>
        <v>-578455</v>
      </c>
      <c r="G43" s="842">
        <f>SUM(G31:G42)</f>
        <v>3475132</v>
      </c>
      <c r="H43" s="842"/>
      <c r="I43" s="233"/>
      <c r="Q43" s="572"/>
      <c r="R43" s="572"/>
      <c r="S43" s="572"/>
      <c r="T43" s="572"/>
      <c r="U43" s="572"/>
    </row>
    <row r="44" spans="1:21" ht="25.15" customHeight="1">
      <c r="A44" s="642">
        <f>+A43+1</f>
        <v>25</v>
      </c>
      <c r="B44" s="554" t="s">
        <v>266</v>
      </c>
      <c r="C44" s="843">
        <f>SUM(D44:G44)</f>
        <v>-1010449</v>
      </c>
      <c r="D44" s="843">
        <f>D34</f>
        <v>0</v>
      </c>
      <c r="E44" s="844">
        <f>E34</f>
        <v>0</v>
      </c>
      <c r="F44" s="845">
        <f>F34</f>
        <v>-1010449</v>
      </c>
      <c r="G44" s="845">
        <f>G34</f>
        <v>0</v>
      </c>
      <c r="H44" s="845"/>
      <c r="I44" s="246" t="s">
        <v>267</v>
      </c>
      <c r="Q44" s="572"/>
      <c r="R44" s="572"/>
      <c r="S44" s="572"/>
      <c r="T44" s="572"/>
      <c r="U44" s="572"/>
    </row>
    <row r="45" spans="1:21" s="218" customFormat="1" ht="35.15" customHeight="1" thickBot="1">
      <c r="A45" s="642">
        <f>+A44+1</f>
        <v>26</v>
      </c>
      <c r="B45" s="553" t="s">
        <v>65</v>
      </c>
      <c r="C45" s="846">
        <f>+C43-C44</f>
        <v>10246811</v>
      </c>
      <c r="D45" s="846">
        <f t="shared" si="8" ref="D45:G45">+D43-D44</f>
        <v>6339685</v>
      </c>
      <c r="E45" s="846">
        <f>+E43-E44</f>
        <v>0</v>
      </c>
      <c r="F45" s="846">
        <f>+F43-F44</f>
        <v>431994</v>
      </c>
      <c r="G45" s="846">
        <f>+G43-G44</f>
        <v>3475132</v>
      </c>
      <c r="H45" s="846"/>
      <c r="I45" s="552"/>
      <c r="Q45" s="572"/>
      <c r="R45" s="572"/>
      <c r="S45" s="572"/>
      <c r="T45" s="572"/>
      <c r="U45" s="572"/>
    </row>
    <row r="46" spans="2:9" ht="35.15" customHeight="1">
      <c r="B46" s="58" t="s">
        <v>268</v>
      </c>
      <c r="C46" s="58"/>
      <c r="D46" s="248"/>
      <c r="E46" s="732"/>
      <c r="F46" s="73"/>
      <c r="G46" s="218"/>
      <c r="H46" s="218"/>
      <c r="I46" s="733"/>
    </row>
    <row r="47" spans="2:9" ht="19.15" customHeight="1">
      <c r="B47" s="1147" t="s">
        <v>269</v>
      </c>
      <c r="C47" s="1148"/>
      <c r="D47" s="1148"/>
      <c r="E47" s="1148"/>
      <c r="F47" s="1148"/>
      <c r="G47" s="1148"/>
      <c r="H47" s="1148"/>
      <c r="I47" s="1148"/>
    </row>
    <row r="48" spans="2:9" ht="18.65" customHeight="1">
      <c r="B48" s="253" t="s">
        <v>270</v>
      </c>
      <c r="C48" s="58"/>
      <c r="D48" s="218"/>
      <c r="E48" s="58"/>
      <c r="F48" s="58"/>
      <c r="G48" s="73"/>
      <c r="H48" s="73"/>
      <c r="I48" s="73"/>
    </row>
    <row r="49" spans="2:9" ht="19.15" customHeight="1">
      <c r="B49" s="253" t="s">
        <v>271</v>
      </c>
      <c r="C49" s="58"/>
      <c r="D49" s="218"/>
      <c r="E49" s="58"/>
      <c r="F49" s="58"/>
      <c r="G49" s="73"/>
      <c r="H49" s="73"/>
      <c r="I49" s="73"/>
    </row>
    <row r="50" spans="2:9" ht="16.9" customHeight="1">
      <c r="B50" s="253" t="s">
        <v>272</v>
      </c>
      <c r="C50" s="58"/>
      <c r="D50" s="218"/>
      <c r="E50" s="58"/>
      <c r="F50" s="58"/>
      <c r="G50" s="73"/>
      <c r="H50" s="73"/>
      <c r="I50" s="73"/>
    </row>
    <row r="51" spans="2:9" ht="15" customHeight="1">
      <c r="B51" s="1148" t="s">
        <v>273</v>
      </c>
      <c r="C51" s="1148"/>
      <c r="D51" s="1148"/>
      <c r="E51" s="1148"/>
      <c r="F51" s="1148"/>
      <c r="G51" s="1148"/>
      <c r="H51" s="1148"/>
      <c r="I51" s="1148"/>
    </row>
    <row r="52" spans="2:9" ht="15.5">
      <c r="B52" s="236" t="s">
        <v>274</v>
      </c>
      <c r="C52" s="644"/>
      <c r="D52" s="734"/>
      <c r="E52" s="644"/>
      <c r="F52" s="644"/>
      <c r="G52" s="644"/>
      <c r="H52" s="644"/>
      <c r="I52" s="1018"/>
    </row>
    <row r="53" spans="2:9" ht="15.5">
      <c r="B53" s="236"/>
      <c r="C53" s="711"/>
      <c r="D53" s="711"/>
      <c r="E53" s="711"/>
      <c r="F53" s="711"/>
      <c r="G53" s="711"/>
      <c r="H53" s="711"/>
      <c r="I53" s="1018"/>
    </row>
    <row r="54" spans="2:9" s="215" customFormat="1" ht="18">
      <c r="B54" s="1149" t="str">
        <f>+B1</f>
        <v>Dayton Power and Light</v>
      </c>
      <c r="C54" s="1150"/>
      <c r="D54" s="1150"/>
      <c r="E54" s="1150"/>
      <c r="F54" s="1150"/>
      <c r="G54" s="1150"/>
      <c r="H54" s="1150"/>
      <c r="I54" s="1150"/>
    </row>
    <row r="55" spans="2:9" s="215" customFormat="1" ht="18">
      <c r="B55" s="1151" t="str">
        <f>+B2</f>
        <v xml:space="preserve">ATTACHMENT H-15A </v>
      </c>
      <c r="C55" s="1151"/>
      <c r="D55" s="1151"/>
      <c r="E55" s="1151"/>
      <c r="F55" s="1151"/>
      <c r="G55" s="1151"/>
      <c r="H55" s="1151"/>
      <c r="I55" s="1151"/>
    </row>
    <row r="56" spans="2:9" s="215" customFormat="1" ht="18">
      <c r="B56" s="1151" t="str">
        <f>+B3</f>
        <v>Attachment 1A - Accumulated Deferred Income Taxes (ADIT) Worksheet - Projected December 31</v>
      </c>
      <c r="C56" s="1151"/>
      <c r="D56" s="1151"/>
      <c r="E56" s="1151"/>
      <c r="F56" s="1151"/>
      <c r="G56" s="1151"/>
      <c r="H56" s="1151"/>
      <c r="I56" s="1151"/>
    </row>
    <row r="57" spans="2:9" ht="17.5">
      <c r="B57" s="238"/>
      <c r="C57" s="237"/>
      <c r="D57" s="237"/>
      <c r="E57" s="237"/>
      <c r="F57" s="237"/>
      <c r="G57" s="237"/>
      <c r="H57" s="237"/>
      <c r="I57" s="925"/>
    </row>
    <row r="58" spans="2:9" ht="17.5">
      <c r="B58" s="711" t="s">
        <v>195</v>
      </c>
      <c r="C58" s="711" t="s">
        <v>197</v>
      </c>
      <c r="D58" s="711" t="s">
        <v>198</v>
      </c>
      <c r="E58" s="711" t="s">
        <v>199</v>
      </c>
      <c r="F58" s="711" t="s">
        <v>201</v>
      </c>
      <c r="G58" s="711" t="s">
        <v>203</v>
      </c>
      <c r="H58" s="230"/>
      <c r="I58" s="926"/>
    </row>
    <row r="59" spans="2:9" ht="17.5">
      <c r="B59" s="218"/>
      <c r="C59" s="239" t="s">
        <v>275</v>
      </c>
      <c r="D59" s="239"/>
      <c r="E59" s="239"/>
      <c r="F59" s="239"/>
      <c r="G59" s="239"/>
      <c r="H59" s="223"/>
      <c r="I59" s="926"/>
    </row>
    <row r="60" spans="2:9" ht="15.5">
      <c r="B60" s="240" t="s">
        <v>276</v>
      </c>
      <c r="C60" s="239"/>
      <c r="D60" s="239"/>
      <c r="E60" s="239" t="s">
        <v>225</v>
      </c>
      <c r="F60" s="239" t="s">
        <v>226</v>
      </c>
      <c r="G60" s="239" t="s">
        <v>227</v>
      </c>
      <c r="H60" s="223"/>
      <c r="I60" s="711" t="s">
        <v>205</v>
      </c>
    </row>
    <row r="61" spans="2:9" ht="16" thickBot="1">
      <c r="B61" s="236"/>
      <c r="C61" s="239"/>
      <c r="D61" s="239" t="str">
        <f>+D30</f>
        <v>Excluded</v>
      </c>
      <c r="E61" s="239" t="s">
        <v>229</v>
      </c>
      <c r="F61" s="239" t="s">
        <v>229</v>
      </c>
      <c r="G61" s="239" t="s">
        <v>229</v>
      </c>
      <c r="H61" s="697"/>
      <c r="I61" s="239" t="s">
        <v>243</v>
      </c>
    </row>
    <row r="62" spans="1:21" ht="47.25" customHeight="1">
      <c r="A62" s="216">
        <f>+A45+1</f>
        <v>27</v>
      </c>
      <c r="B62" s="785" t="s">
        <v>277</v>
      </c>
      <c r="C62" s="847">
        <f>+E62+F62+G62</f>
        <v>0</v>
      </c>
      <c r="D62" s="848">
        <v>0</v>
      </c>
      <c r="E62" s="849">
        <v>0</v>
      </c>
      <c r="F62" s="849">
        <v>0</v>
      </c>
      <c r="G62" s="849">
        <v>0</v>
      </c>
      <c r="H62" s="1050"/>
      <c r="I62" s="786" t="str">
        <f>+'1D - ADIT True-up'!I65</f>
        <v>Tax and book differences resulting from accelerated tax depreciation.  Included in prorated amount</v>
      </c>
      <c r="Q62" s="571"/>
      <c r="R62" s="571"/>
      <c r="S62" s="571"/>
      <c r="T62" s="571"/>
      <c r="U62" s="571"/>
    </row>
    <row r="63" spans="1:21" ht="46.5" customHeight="1">
      <c r="A63" s="216">
        <f>+A62+1</f>
        <v>28</v>
      </c>
      <c r="B63" s="557" t="s">
        <v>805</v>
      </c>
      <c r="C63" s="840">
        <v>0</v>
      </c>
      <c r="D63" s="850">
        <v>0</v>
      </c>
      <c r="E63" s="850">
        <v>-12337915</v>
      </c>
      <c r="F63" s="850">
        <v>0</v>
      </c>
      <c r="G63" s="850">
        <v>0</v>
      </c>
      <c r="H63" s="1049"/>
      <c r="I63" s="960" t="s">
        <v>278</v>
      </c>
      <c r="Q63" s="571"/>
      <c r="R63" s="571"/>
      <c r="S63" s="571"/>
      <c r="T63" s="571"/>
      <c r="U63" s="571"/>
    </row>
    <row r="64" spans="1:21" s="218" customFormat="1" ht="35.15" customHeight="1" thickBot="1">
      <c r="A64" s="216">
        <f>+A63+1</f>
        <v>29</v>
      </c>
      <c r="B64" s="553" t="s">
        <v>65</v>
      </c>
      <c r="C64" s="846">
        <f>+SUM(C62:C63)</f>
        <v>0</v>
      </c>
      <c r="D64" s="846">
        <f t="shared" si="9" ref="D64:G64">+SUM(D62:D63)</f>
        <v>0</v>
      </c>
      <c r="E64" s="846">
        <f>+SUM(E62:E63)</f>
        <v>-12337915</v>
      </c>
      <c r="F64" s="846">
        <f>+SUM(F62:F63)</f>
        <v>0</v>
      </c>
      <c r="G64" s="846">
        <f>+SUM(G62:G63)</f>
        <v>0</v>
      </c>
      <c r="H64" s="846"/>
      <c r="I64" s="552"/>
      <c r="Q64" s="571"/>
      <c r="R64" s="571"/>
      <c r="S64" s="571"/>
      <c r="T64" s="571"/>
      <c r="U64" s="571"/>
    </row>
    <row r="65" spans="2:9" ht="25.15" customHeight="1">
      <c r="B65" s="58" t="s">
        <v>279</v>
      </c>
      <c r="C65" s="58"/>
      <c r="D65" s="58"/>
      <c r="E65" s="73"/>
      <c r="F65" s="732"/>
      <c r="G65" s="218"/>
      <c r="H65" s="218"/>
      <c r="I65" s="1018"/>
    </row>
    <row r="66" spans="2:9" ht="21" customHeight="1">
      <c r="B66" s="253" t="s">
        <v>280</v>
      </c>
      <c r="C66" s="58"/>
      <c r="D66" s="218"/>
      <c r="E66" s="58"/>
      <c r="F66" s="58"/>
      <c r="G66" s="73"/>
      <c r="H66" s="73"/>
      <c r="I66" s="73"/>
    </row>
    <row r="67" spans="2:9" ht="15" customHeight="1">
      <c r="B67" s="253" t="s">
        <v>270</v>
      </c>
      <c r="C67" s="58"/>
      <c r="D67" s="218"/>
      <c r="E67" s="58"/>
      <c r="F67" s="58"/>
      <c r="G67" s="73"/>
      <c r="H67" s="73"/>
      <c r="I67" s="73"/>
    </row>
    <row r="68" spans="2:9" ht="19.15" customHeight="1">
      <c r="B68" s="253" t="s">
        <v>281</v>
      </c>
      <c r="C68" s="58"/>
      <c r="D68" s="218"/>
      <c r="E68" s="58"/>
      <c r="F68" s="58"/>
      <c r="G68" s="73"/>
      <c r="H68" s="73"/>
      <c r="I68" s="73"/>
    </row>
    <row r="69" spans="2:9" ht="18.65" customHeight="1">
      <c r="B69" s="253" t="s">
        <v>282</v>
      </c>
      <c r="C69" s="58"/>
      <c r="D69" s="218"/>
      <c r="E69" s="58"/>
      <c r="F69" s="58"/>
      <c r="G69" s="73"/>
      <c r="H69" s="73"/>
      <c r="I69" s="73"/>
    </row>
    <row r="70" spans="2:9" ht="18.65" customHeight="1">
      <c r="B70" s="1148" t="s">
        <v>273</v>
      </c>
      <c r="C70" s="1148"/>
      <c r="D70" s="1148"/>
      <c r="E70" s="1148"/>
      <c r="F70" s="1148"/>
      <c r="G70" s="1148"/>
      <c r="H70" s="1148"/>
      <c r="I70" s="1148"/>
    </row>
    <row r="71" spans="2:9" ht="15.5">
      <c r="B71" s="236" t="s">
        <v>274</v>
      </c>
      <c r="C71" s="644"/>
      <c r="D71" s="734"/>
      <c r="E71" s="644"/>
      <c r="F71" s="644"/>
      <c r="G71" s="644"/>
      <c r="H71" s="644"/>
      <c r="I71" s="1018"/>
    </row>
    <row r="72" spans="2:9" ht="15.5">
      <c r="B72" s="236"/>
      <c r="C72" s="218"/>
      <c r="D72" s="58"/>
      <c r="E72" s="58"/>
      <c r="F72" s="73"/>
      <c r="G72" s="73"/>
      <c r="H72" s="73"/>
      <c r="I72" s="1018"/>
    </row>
    <row r="73" spans="2:9" ht="15.5">
      <c r="B73" s="236"/>
      <c r="C73" s="218"/>
      <c r="D73" s="58"/>
      <c r="E73" s="58"/>
      <c r="F73" s="73"/>
      <c r="G73" s="73"/>
      <c r="H73" s="73"/>
      <c r="I73" s="1018"/>
    </row>
    <row r="74" spans="2:9" ht="15.5">
      <c r="B74" s="711"/>
      <c r="C74" s="237"/>
      <c r="D74" s="237"/>
      <c r="E74" s="237"/>
      <c r="F74" s="237"/>
      <c r="G74" s="237"/>
      <c r="H74" s="237"/>
      <c r="I74" s="237"/>
    </row>
    <row r="75" spans="2:9" s="215" customFormat="1" ht="18">
      <c r="B75" s="254" t="str">
        <f>B1</f>
        <v>Dayton Power and Light</v>
      </c>
      <c r="C75" s="255"/>
      <c r="D75" s="255"/>
      <c r="E75" s="255"/>
      <c r="F75" s="255"/>
      <c r="G75" s="255"/>
      <c r="H75" s="255"/>
      <c r="I75" s="256"/>
    </row>
    <row r="76" spans="2:9" s="215" customFormat="1" ht="18">
      <c r="B76" s="1149" t="str">
        <f>+B55</f>
        <v xml:space="preserve">ATTACHMENT H-15A </v>
      </c>
      <c r="C76" s="1149"/>
      <c r="D76" s="1149"/>
      <c r="E76" s="1149"/>
      <c r="F76" s="1149"/>
      <c r="G76" s="1149"/>
      <c r="H76" s="1149"/>
      <c r="I76" s="1149"/>
    </row>
    <row r="77" spans="2:9" s="215" customFormat="1" ht="18">
      <c r="B77" s="1149" t="str">
        <f>+B3</f>
        <v>Attachment 1A - Accumulated Deferred Income Taxes (ADIT) Worksheet - Projected December 31</v>
      </c>
      <c r="C77" s="1149"/>
      <c r="D77" s="1149"/>
      <c r="E77" s="1149"/>
      <c r="F77" s="1149"/>
      <c r="G77" s="1149"/>
      <c r="H77" s="1149"/>
      <c r="I77" s="1149"/>
    </row>
    <row r="78" spans="2:9" s="215" customFormat="1" ht="17.5">
      <c r="B78" s="241"/>
      <c r="C78" s="217"/>
      <c r="D78" s="217"/>
      <c r="E78" s="217"/>
      <c r="F78" s="217"/>
      <c r="G78" s="213"/>
      <c r="H78" s="213"/>
      <c r="I78" s="242"/>
    </row>
    <row r="79" spans="2:9" ht="15.5">
      <c r="B79" s="230" t="s">
        <v>195</v>
      </c>
      <c r="C79" s="231" t="s">
        <v>197</v>
      </c>
      <c r="D79" s="231" t="s">
        <v>198</v>
      </c>
      <c r="E79" s="231" t="s">
        <v>199</v>
      </c>
      <c r="F79" s="231" t="s">
        <v>201</v>
      </c>
      <c r="G79" s="231" t="s">
        <v>203</v>
      </c>
      <c r="H79" s="230"/>
      <c r="I79" s="231" t="s">
        <v>205</v>
      </c>
    </row>
    <row r="80" spans="2:8" ht="15.5">
      <c r="B80" s="240" t="s">
        <v>283</v>
      </c>
      <c r="C80" s="230" t="s">
        <v>65</v>
      </c>
      <c r="D80" s="243"/>
      <c r="E80" s="1017" t="s">
        <v>225</v>
      </c>
      <c r="F80" s="243" t="s">
        <v>226</v>
      </c>
      <c r="G80" s="243" t="s">
        <v>227</v>
      </c>
      <c r="H80" s="230"/>
    </row>
    <row r="81" spans="3:9" ht="16.15" customHeight="1" thickBot="1">
      <c r="C81" s="230"/>
      <c r="D81" s="230" t="str">
        <f>+D61</f>
        <v>Excluded</v>
      </c>
      <c r="E81" s="1017" t="s">
        <v>229</v>
      </c>
      <c r="F81" s="230"/>
      <c r="G81" s="230"/>
      <c r="H81" s="713"/>
      <c r="I81" s="239" t="s">
        <v>243</v>
      </c>
    </row>
    <row r="82" spans="1:21" ht="25.15" customHeight="1">
      <c r="A82" s="642">
        <f>+A62+1</f>
        <v>28</v>
      </c>
      <c r="B82" s="555" t="s">
        <v>284</v>
      </c>
      <c r="C82" s="838">
        <v>-6274880</v>
      </c>
      <c r="D82" s="838">
        <v>0</v>
      </c>
      <c r="E82" s="838">
        <v>0</v>
      </c>
      <c r="F82" s="838">
        <v>0</v>
      </c>
      <c r="G82" s="838">
        <f>+C82</f>
        <v>-6274880</v>
      </c>
      <c r="H82" s="1051"/>
      <c r="I82" s="959" t="s">
        <v>285</v>
      </c>
      <c r="Q82" s="571"/>
      <c r="R82" s="571"/>
      <c r="S82" s="571"/>
      <c r="T82" s="571"/>
      <c r="U82" s="571"/>
    </row>
    <row r="83" spans="1:21" ht="33.65" customHeight="1">
      <c r="A83" s="642">
        <f>+A82+1</f>
        <v>29</v>
      </c>
      <c r="B83" s="557" t="s">
        <v>286</v>
      </c>
      <c r="C83" s="840">
        <v>-2045670</v>
      </c>
      <c r="D83" s="840">
        <v>0</v>
      </c>
      <c r="E83" s="840">
        <v>0</v>
      </c>
      <c r="F83" s="840">
        <f>+C83</f>
        <v>-2045670</v>
      </c>
      <c r="G83" s="840">
        <v>0</v>
      </c>
      <c r="H83" s="1052"/>
      <c r="I83" s="652" t="s">
        <v>287</v>
      </c>
      <c r="Q83" s="571"/>
      <c r="R83" s="571"/>
      <c r="S83" s="571"/>
      <c r="T83" s="571"/>
      <c r="U83" s="571"/>
    </row>
    <row r="84" spans="1:21" ht="36.75" customHeight="1">
      <c r="A84" s="642">
        <f t="shared" si="10" ref="A84:A92">+A83+1</f>
        <v>30</v>
      </c>
      <c r="B84" s="557" t="s">
        <v>288</v>
      </c>
      <c r="C84" s="840">
        <v>-27592052</v>
      </c>
      <c r="D84" s="840">
        <f>+C84</f>
        <v>-27592052</v>
      </c>
      <c r="E84" s="840">
        <f>+C84-D84</f>
        <v>0</v>
      </c>
      <c r="F84" s="840">
        <v>0</v>
      </c>
      <c r="G84" s="840">
        <v>0</v>
      </c>
      <c r="H84" s="1052"/>
      <c r="I84" s="652" t="s">
        <v>984</v>
      </c>
      <c r="Q84" s="571"/>
      <c r="R84" s="571"/>
      <c r="S84" s="571"/>
      <c r="T84" s="571"/>
      <c r="U84" s="571"/>
    </row>
    <row r="85" spans="1:21" ht="31.5" customHeight="1">
      <c r="A85" s="642">
        <f>+A84+1</f>
        <v>31</v>
      </c>
      <c r="B85" s="557" t="s">
        <v>289</v>
      </c>
      <c r="C85" s="840">
        <v>-16174600</v>
      </c>
      <c r="D85" s="840">
        <f>+C85</f>
        <v>-16174600</v>
      </c>
      <c r="E85" s="840">
        <v>0</v>
      </c>
      <c r="F85" s="840">
        <v>0</v>
      </c>
      <c r="G85" s="840">
        <v>0</v>
      </c>
      <c r="H85" s="1052"/>
      <c r="I85" s="652" t="s">
        <v>981</v>
      </c>
      <c r="Q85" s="571"/>
      <c r="R85" s="571"/>
      <c r="S85" s="571"/>
      <c r="T85" s="571"/>
      <c r="U85" s="571"/>
    </row>
    <row r="86" spans="1:21" ht="25.15" customHeight="1">
      <c r="A86" s="642">
        <f>+A85+1</f>
        <v>32</v>
      </c>
      <c r="B86" s="784" t="s">
        <v>290</v>
      </c>
      <c r="C86" s="840">
        <v>25424293</v>
      </c>
      <c r="D86" s="840">
        <f>+C86</f>
        <v>25424293</v>
      </c>
      <c r="E86" s="840">
        <v>0</v>
      </c>
      <c r="F86" s="840">
        <v>0</v>
      </c>
      <c r="G86" s="840">
        <v>0</v>
      </c>
      <c r="H86" s="1052"/>
      <c r="I86" s="648" t="s">
        <v>250</v>
      </c>
      <c r="Q86" s="571"/>
      <c r="R86" s="571"/>
      <c r="S86" s="571"/>
      <c r="T86" s="571"/>
      <c r="U86" s="571"/>
    </row>
    <row r="87" spans="1:21" ht="25.15" customHeight="1">
      <c r="A87" s="642">
        <f>+A86+1</f>
        <v>33</v>
      </c>
      <c r="B87" s="557" t="s">
        <v>291</v>
      </c>
      <c r="C87" s="840">
        <v>1033045</v>
      </c>
      <c r="D87" s="840">
        <v>0</v>
      </c>
      <c r="E87" s="840">
        <v>0</v>
      </c>
      <c r="F87" s="840">
        <v>0</v>
      </c>
      <c r="G87" s="840">
        <f>+C87</f>
        <v>1033045</v>
      </c>
      <c r="H87" s="1052"/>
      <c r="I87" s="652" t="s">
        <v>292</v>
      </c>
      <c r="Q87" s="571"/>
      <c r="R87" s="571"/>
      <c r="S87" s="571"/>
      <c r="T87" s="571"/>
      <c r="U87" s="571"/>
    </row>
    <row r="88" spans="1:21" ht="35.25" customHeight="1" thickBot="1">
      <c r="A88" s="642">
        <f>+A87+1</f>
        <v>34</v>
      </c>
      <c r="B88" s="557" t="s">
        <v>263</v>
      </c>
      <c r="C88" s="840">
        <v>17931915</v>
      </c>
      <c r="D88" s="840">
        <f>+C88</f>
        <v>17931915</v>
      </c>
      <c r="E88" s="840">
        <v>0</v>
      </c>
      <c r="F88" s="840">
        <f>+C88-D88</f>
        <v>0</v>
      </c>
      <c r="G88" s="840">
        <v>0</v>
      </c>
      <c r="H88" s="1052"/>
      <c r="I88" s="652" t="s">
        <v>293</v>
      </c>
      <c r="Q88" s="571"/>
      <c r="R88" s="571"/>
      <c r="S88" s="571"/>
      <c r="T88" s="571"/>
      <c r="U88" s="571"/>
    </row>
    <row r="89" spans="1:21" ht="25.15" customHeight="1">
      <c r="A89" s="642">
        <f>+A88+1</f>
        <v>35</v>
      </c>
      <c r="B89" s="257" t="s">
        <v>294</v>
      </c>
      <c r="C89" s="851">
        <f>SUM(C80:C88)</f>
        <v>-7697949</v>
      </c>
      <c r="D89" s="851">
        <f>SUM(D80:D88)</f>
        <v>-410444</v>
      </c>
      <c r="E89" s="851">
        <f>SUM(E80:E88)</f>
        <v>0</v>
      </c>
      <c r="F89" s="851">
        <f>SUM(F80:F88)</f>
        <v>-2045670</v>
      </c>
      <c r="G89" s="851">
        <f t="shared" si="11" ref="G89">SUM(G80:G88)</f>
        <v>-5241835</v>
      </c>
      <c r="H89" s="1053"/>
      <c r="I89" s="258"/>
      <c r="Q89" s="571"/>
      <c r="R89" s="571"/>
      <c r="S89" s="571"/>
      <c r="T89" s="571"/>
      <c r="U89" s="571"/>
    </row>
    <row r="90" spans="1:21" ht="25.15" customHeight="1">
      <c r="A90" s="642">
        <f>+A89+1</f>
        <v>36</v>
      </c>
      <c r="B90" s="245" t="s">
        <v>295</v>
      </c>
      <c r="C90" s="843">
        <f t="shared" si="12" ref="C90:G90">+C86</f>
        <v>25424293</v>
      </c>
      <c r="D90" s="843">
        <f>+D86</f>
        <v>25424293</v>
      </c>
      <c r="E90" s="843">
        <f>+E86</f>
        <v>0</v>
      </c>
      <c r="F90" s="843">
        <f>+F86</f>
        <v>0</v>
      </c>
      <c r="G90" s="843">
        <f>+G86</f>
        <v>0</v>
      </c>
      <c r="H90" s="843"/>
      <c r="I90" s="246"/>
      <c r="Q90" s="571"/>
      <c r="R90" s="571"/>
      <c r="S90" s="571"/>
      <c r="T90" s="571"/>
      <c r="U90" s="571"/>
    </row>
    <row r="91" spans="1:21" ht="25.15" customHeight="1">
      <c r="A91" s="642">
        <f>+A90+1</f>
        <v>37</v>
      </c>
      <c r="B91" s="631" t="s">
        <v>296</v>
      </c>
      <c r="C91" s="852">
        <f t="shared" si="13" ref="C91:G91">+C83</f>
        <v>-2045670</v>
      </c>
      <c r="D91" s="852">
        <f>+D83</f>
        <v>0</v>
      </c>
      <c r="E91" s="852">
        <f>+E83</f>
        <v>0</v>
      </c>
      <c r="F91" s="852">
        <f>+F83</f>
        <v>-2045670</v>
      </c>
      <c r="G91" s="852">
        <f>+G83</f>
        <v>0</v>
      </c>
      <c r="H91" s="852"/>
      <c r="I91" s="632" t="s">
        <v>297</v>
      </c>
      <c r="Q91" s="571"/>
      <c r="R91" s="571"/>
      <c r="S91" s="571"/>
      <c r="T91" s="571"/>
      <c r="U91" s="571"/>
    </row>
    <row r="92" spans="1:21" s="218" customFormat="1" ht="35.15" customHeight="1" thickBot="1">
      <c r="A92" s="642">
        <f>+A91+1</f>
        <v>38</v>
      </c>
      <c r="B92" s="553" t="s">
        <v>65</v>
      </c>
      <c r="C92" s="846">
        <f>+C89-C90-C91</f>
        <v>-31076572</v>
      </c>
      <c r="D92" s="846">
        <f t="shared" si="14" ref="D92:G92">+D89-D90-D91</f>
        <v>-25834737</v>
      </c>
      <c r="E92" s="846">
        <f>+E89-E90-E91</f>
        <v>0</v>
      </c>
      <c r="F92" s="846">
        <f>+F89-F90-F91</f>
        <v>0</v>
      </c>
      <c r="G92" s="846">
        <f>+G89-G90-G91</f>
        <v>-5241835</v>
      </c>
      <c r="H92" s="846"/>
      <c r="I92" s="552"/>
      <c r="Q92" s="571"/>
      <c r="R92" s="571"/>
      <c r="S92" s="571"/>
      <c r="T92" s="571"/>
      <c r="U92" s="571"/>
    </row>
    <row r="93" spans="2:21" s="218" customFormat="1" ht="15.5">
      <c r="B93" s="236"/>
      <c r="C93" s="247"/>
      <c r="D93" s="248"/>
      <c r="E93" s="248"/>
      <c r="F93" s="248"/>
      <c r="G93" s="248"/>
      <c r="H93" s="248"/>
      <c r="I93" s="1018"/>
      <c r="Q93" s="571"/>
      <c r="R93" s="571"/>
      <c r="S93" s="571"/>
      <c r="T93" s="571"/>
      <c r="U93" s="571"/>
    </row>
    <row r="94" spans="2:9" s="218" customFormat="1" ht="20.5" customHeight="1">
      <c r="B94" s="58" t="s">
        <v>298</v>
      </c>
      <c r="C94" s="58"/>
      <c r="D94" s="58"/>
      <c r="E94" s="73"/>
      <c r="F94" s="73"/>
      <c r="I94" s="249"/>
    </row>
    <row r="95" spans="2:9" ht="21" customHeight="1">
      <c r="B95" s="253" t="str">
        <f>+B66</f>
        <v>1.  ADIT items related only to Non-Electric Operations or Production are directly assigned to Column C</v>
      </c>
      <c r="C95" s="58"/>
      <c r="D95" s="218"/>
      <c r="E95" s="58"/>
      <c r="F95" s="58"/>
      <c r="G95" s="73"/>
      <c r="H95" s="73"/>
      <c r="I95" s="73"/>
    </row>
    <row r="96" spans="2:9" ht="19.15" customHeight="1">
      <c r="B96" s="253" t="s">
        <v>270</v>
      </c>
      <c r="C96" s="58"/>
      <c r="D96" s="218"/>
      <c r="E96" s="58"/>
      <c r="F96" s="58"/>
      <c r="G96" s="73"/>
      <c r="H96" s="73"/>
      <c r="I96" s="73"/>
    </row>
    <row r="97" spans="2:9" ht="17.5" customHeight="1">
      <c r="B97" s="253" t="s">
        <v>281</v>
      </c>
      <c r="C97" s="58"/>
      <c r="D97" s="218"/>
      <c r="E97" s="58"/>
      <c r="F97" s="58"/>
      <c r="G97" s="73"/>
      <c r="H97" s="73"/>
      <c r="I97" s="73"/>
    </row>
    <row r="98" spans="2:9" ht="19.15" customHeight="1">
      <c r="B98" s="253" t="s">
        <v>282</v>
      </c>
      <c r="C98" s="58"/>
      <c r="D98" s="218"/>
      <c r="E98" s="58"/>
      <c r="F98" s="58"/>
      <c r="G98" s="73"/>
      <c r="H98" s="73"/>
      <c r="I98" s="73"/>
    </row>
    <row r="99" spans="2:9" ht="19.15" customHeight="1">
      <c r="B99" s="1148" t="s">
        <v>273</v>
      </c>
      <c r="C99" s="1148"/>
      <c r="D99" s="1148"/>
      <c r="E99" s="1148"/>
      <c r="F99" s="1148"/>
      <c r="G99" s="1148"/>
      <c r="H99" s="1148"/>
      <c r="I99" s="1148"/>
    </row>
    <row r="100" spans="2:9" ht="15.5">
      <c r="B100" s="236" t="s">
        <v>274</v>
      </c>
      <c r="C100" s="644"/>
      <c r="D100" s="734"/>
      <c r="E100" s="644"/>
      <c r="F100" s="644"/>
      <c r="G100" s="644"/>
      <c r="H100" s="644"/>
      <c r="I100" s="1018"/>
    </row>
    <row r="101" spans="2:9" ht="15.5">
      <c r="B101" s="250"/>
      <c r="C101" s="251"/>
      <c r="D101" s="251"/>
      <c r="E101" s="251"/>
      <c r="F101" s="251"/>
      <c r="G101" s="251"/>
      <c r="H101" s="251"/>
      <c r="I101" s="251"/>
    </row>
    <row r="102" spans="2:9" ht="15.5">
      <c r="B102" s="1146"/>
      <c r="C102" s="1146"/>
      <c r="D102" s="1146"/>
      <c r="E102" s="1146"/>
      <c r="F102" s="1146"/>
      <c r="G102" s="1146"/>
      <c r="H102" s="1146"/>
      <c r="I102" s="1146"/>
    </row>
    <row r="103" spans="2:9" ht="15.5">
      <c r="B103" s="58"/>
      <c r="C103" s="58"/>
      <c r="D103" s="58"/>
      <c r="E103" s="58"/>
      <c r="F103" s="58"/>
      <c r="G103" s="58"/>
      <c r="H103" s="58"/>
      <c r="I103" s="58"/>
    </row>
    <row r="104" spans="2:9" ht="15.5">
      <c r="B104" s="58"/>
      <c r="C104" s="58"/>
      <c r="D104" s="58"/>
      <c r="E104" s="58"/>
      <c r="F104" s="58"/>
      <c r="G104" s="58"/>
      <c r="H104" s="58"/>
      <c r="I104" s="58"/>
    </row>
    <row r="105" spans="2:9" ht="15.5">
      <c r="B105" s="58"/>
      <c r="C105" s="58"/>
      <c r="D105" s="58"/>
      <c r="E105" s="58"/>
      <c r="F105" s="58"/>
      <c r="G105" s="58"/>
      <c r="H105" s="58"/>
      <c r="I105" s="58"/>
    </row>
    <row r="106" spans="2:9" ht="15.5">
      <c r="B106" s="219"/>
      <c r="C106" s="58"/>
      <c r="D106" s="252"/>
      <c r="E106" s="252"/>
      <c r="F106" s="252"/>
      <c r="G106" s="252"/>
      <c r="H106" s="252"/>
      <c r="I106" s="252"/>
    </row>
    <row r="107" spans="2:9" ht="15.5">
      <c r="B107" s="219"/>
      <c r="C107" s="58"/>
      <c r="D107" s="252"/>
      <c r="E107" s="252"/>
      <c r="F107" s="252"/>
      <c r="G107" s="252"/>
      <c r="H107" s="252"/>
      <c r="I107" s="252"/>
    </row>
    <row r="108" spans="2:9" ht="15.5">
      <c r="B108" s="253"/>
      <c r="C108" s="58"/>
      <c r="D108" s="73"/>
      <c r="E108" s="73"/>
      <c r="F108" s="58"/>
      <c r="G108" s="58"/>
      <c r="H108" s="58"/>
      <c r="I108" s="58"/>
    </row>
    <row r="109" spans="2:9" ht="15.5">
      <c r="B109" s="253"/>
      <c r="C109" s="58"/>
      <c r="D109" s="26"/>
      <c r="E109" s="26"/>
      <c r="F109" s="58"/>
      <c r="G109" s="58"/>
      <c r="H109" s="58"/>
      <c r="I109" s="58"/>
    </row>
    <row r="110" spans="2:9" ht="15.5">
      <c r="B110" s="253"/>
      <c r="C110" s="58"/>
      <c r="D110" s="26"/>
      <c r="E110" s="26"/>
      <c r="F110" s="58"/>
      <c r="G110" s="58"/>
      <c r="H110" s="58"/>
      <c r="I110" s="58"/>
    </row>
    <row r="111" spans="2:9" ht="15.5">
      <c r="B111" s="253"/>
      <c r="C111" s="58"/>
      <c r="D111" s="26"/>
      <c r="E111" s="26"/>
      <c r="F111" s="58"/>
      <c r="G111" s="58"/>
      <c r="H111" s="58"/>
      <c r="I111" s="58"/>
    </row>
    <row r="112" spans="2:9" ht="15.5">
      <c r="B112" s="253"/>
      <c r="C112" s="58"/>
      <c r="D112" s="26"/>
      <c r="E112" s="26"/>
      <c r="F112" s="58"/>
      <c r="G112" s="58"/>
      <c r="H112" s="58"/>
      <c r="I112" s="58"/>
    </row>
    <row r="113" spans="2:9" ht="15.5">
      <c r="B113" s="253"/>
      <c r="C113" s="58"/>
      <c r="D113" s="26"/>
      <c r="E113" s="26"/>
      <c r="F113" s="58"/>
      <c r="G113" s="58"/>
      <c r="H113" s="58"/>
      <c r="I113" s="58"/>
    </row>
    <row r="114" spans="2:9" ht="15.5">
      <c r="B114" s="253"/>
      <c r="C114" s="58"/>
      <c r="D114" s="26"/>
      <c r="E114" s="26"/>
      <c r="F114" s="58"/>
      <c r="G114" s="58"/>
      <c r="H114" s="58"/>
      <c r="I114" s="58"/>
    </row>
    <row r="115" spans="2:9" ht="15.5">
      <c r="B115" s="253"/>
      <c r="C115" s="58"/>
      <c r="D115" s="26"/>
      <c r="E115" s="26"/>
      <c r="F115" s="58"/>
      <c r="G115" s="58"/>
      <c r="H115" s="58"/>
      <c r="I115" s="58"/>
    </row>
    <row r="116" spans="2:9" ht="15.5">
      <c r="B116" s="253"/>
      <c r="C116" s="58"/>
      <c r="D116" s="26"/>
      <c r="E116" s="26"/>
      <c r="F116" s="58"/>
      <c r="G116" s="58"/>
      <c r="H116" s="58"/>
      <c r="I116" s="58"/>
    </row>
    <row r="117" spans="2:9" ht="15.5">
      <c r="B117" s="253"/>
      <c r="C117" s="58"/>
      <c r="D117" s="26"/>
      <c r="E117" s="26"/>
      <c r="F117" s="58"/>
      <c r="G117" s="58"/>
      <c r="H117" s="58"/>
      <c r="I117" s="58"/>
    </row>
    <row r="118" spans="2:9" ht="15.5">
      <c r="B118" s="253"/>
      <c r="C118" s="58"/>
      <c r="D118" s="26"/>
      <c r="E118" s="26"/>
      <c r="F118" s="58"/>
      <c r="G118" s="58"/>
      <c r="H118" s="58"/>
      <c r="I118" s="58"/>
    </row>
    <row r="119" spans="2:9" ht="15.5">
      <c r="B119" s="58"/>
      <c r="C119" s="58"/>
      <c r="D119" s="26"/>
      <c r="E119" s="26"/>
      <c r="F119" s="58"/>
      <c r="G119" s="58"/>
      <c r="H119" s="58"/>
      <c r="I119" s="58"/>
    </row>
    <row r="120" spans="2:9" ht="15.5">
      <c r="B120" s="253"/>
      <c r="C120" s="58"/>
      <c r="D120" s="26"/>
      <c r="E120" s="26"/>
      <c r="F120" s="58"/>
      <c r="G120" s="58"/>
      <c r="H120" s="58"/>
      <c r="I120" s="58"/>
    </row>
    <row r="121" spans="2:9" ht="15.5">
      <c r="B121" s="58"/>
      <c r="C121" s="58"/>
      <c r="D121" s="26"/>
      <c r="E121" s="26"/>
      <c r="F121" s="58"/>
      <c r="G121" s="58"/>
      <c r="H121" s="58"/>
      <c r="I121" s="58"/>
    </row>
    <row r="122" spans="2:9" ht="15.5">
      <c r="B122" s="253"/>
      <c r="C122" s="58"/>
      <c r="D122" s="58"/>
      <c r="E122" s="58"/>
      <c r="F122" s="58"/>
      <c r="G122" s="58"/>
      <c r="H122" s="58"/>
      <c r="I122" s="58"/>
    </row>
    <row r="123" spans="2:9" ht="15.5">
      <c r="B123" s="253"/>
      <c r="C123" s="58"/>
      <c r="D123" s="58"/>
      <c r="E123" s="58"/>
      <c r="F123" s="58"/>
      <c r="G123" s="58"/>
      <c r="H123" s="58"/>
      <c r="I123" s="58"/>
    </row>
    <row r="124" spans="2:9" ht="15.5">
      <c r="B124" s="253"/>
      <c r="C124" s="58"/>
      <c r="D124" s="58"/>
      <c r="E124" s="58"/>
      <c r="F124" s="58"/>
      <c r="G124" s="58"/>
      <c r="H124" s="58"/>
      <c r="I124" s="58"/>
    </row>
    <row r="125" spans="2:9" ht="15.5">
      <c r="B125" s="253"/>
      <c r="C125" s="58"/>
      <c r="D125" s="58"/>
      <c r="E125" s="58"/>
      <c r="F125" s="58"/>
      <c r="G125" s="58"/>
      <c r="H125" s="58"/>
      <c r="I125" s="58"/>
    </row>
    <row r="126" spans="2:9" ht="15.5">
      <c r="B126" s="253"/>
      <c r="C126" s="58"/>
      <c r="D126" s="58"/>
      <c r="E126" s="58"/>
      <c r="F126" s="58"/>
      <c r="G126" s="58"/>
      <c r="H126" s="58"/>
      <c r="I126" s="58"/>
    </row>
    <row r="127" spans="2:9" ht="15.5">
      <c r="B127" s="253"/>
      <c r="C127" s="58"/>
      <c r="D127" s="58"/>
      <c r="E127" s="58"/>
      <c r="F127" s="58"/>
      <c r="G127" s="58"/>
      <c r="H127" s="58"/>
      <c r="I127" s="58"/>
    </row>
    <row r="128" spans="2:9" ht="15.5">
      <c r="B128" s="253"/>
      <c r="C128" s="58"/>
      <c r="D128" s="58"/>
      <c r="E128" s="58"/>
      <c r="F128" s="58"/>
      <c r="G128" s="58"/>
      <c r="H128" s="58"/>
      <c r="I128" s="58"/>
    </row>
    <row r="129" spans="2:9" ht="15.5">
      <c r="B129" s="253"/>
      <c r="C129" s="58"/>
      <c r="D129" s="58"/>
      <c r="E129" s="58"/>
      <c r="F129" s="58"/>
      <c r="G129" s="58"/>
      <c r="H129" s="58"/>
      <c r="I129" s="58"/>
    </row>
    <row r="130" spans="2:9" ht="15.5">
      <c r="B130" s="253"/>
      <c r="C130" s="58"/>
      <c r="D130" s="58"/>
      <c r="E130" s="58"/>
      <c r="F130" s="58"/>
      <c r="G130" s="58"/>
      <c r="H130" s="58"/>
      <c r="I130" s="58"/>
    </row>
    <row r="131" spans="2:9" ht="15.5">
      <c r="B131" s="253"/>
      <c r="C131" s="58"/>
      <c r="D131" s="58"/>
      <c r="E131" s="58"/>
      <c r="F131" s="58"/>
      <c r="G131" s="58"/>
      <c r="H131" s="58"/>
      <c r="I131" s="58"/>
    </row>
    <row r="132" spans="2:9" ht="15.5">
      <c r="B132" s="253"/>
      <c r="C132" s="58"/>
      <c r="D132" s="58"/>
      <c r="E132" s="58"/>
      <c r="F132" s="58"/>
      <c r="G132" s="58"/>
      <c r="H132" s="58"/>
      <c r="I132" s="58"/>
    </row>
    <row r="133" spans="2:9" ht="15.5">
      <c r="B133" s="253"/>
      <c r="C133" s="58"/>
      <c r="D133" s="58"/>
      <c r="E133" s="58"/>
      <c r="F133" s="58"/>
      <c r="G133" s="58"/>
      <c r="H133" s="58"/>
      <c r="I133" s="58"/>
    </row>
    <row r="134" spans="2:9" ht="15.5">
      <c r="B134" s="253"/>
      <c r="C134" s="58"/>
      <c r="D134" s="58"/>
      <c r="E134" s="58"/>
      <c r="F134" s="58"/>
      <c r="G134" s="58"/>
      <c r="H134" s="58"/>
      <c r="I134" s="58"/>
    </row>
    <row r="135" spans="2:9" ht="15.5">
      <c r="B135" s="253"/>
      <c r="C135" s="58"/>
      <c r="D135" s="58"/>
      <c r="E135" s="58"/>
      <c r="F135" s="58"/>
      <c r="G135" s="58"/>
      <c r="H135" s="58"/>
      <c r="I135" s="58"/>
    </row>
    <row r="136" spans="2:9" ht="15.5">
      <c r="B136" s="253"/>
      <c r="C136" s="58"/>
      <c r="D136" s="58"/>
      <c r="E136" s="58"/>
      <c r="F136" s="58"/>
      <c r="G136" s="58"/>
      <c r="H136" s="58"/>
      <c r="I136" s="58"/>
    </row>
    <row r="137" spans="2:9" ht="15.5">
      <c r="B137" s="253"/>
      <c r="C137" s="58"/>
      <c r="D137" s="58"/>
      <c r="E137" s="58"/>
      <c r="F137" s="58"/>
      <c r="G137" s="58"/>
      <c r="H137" s="58"/>
      <c r="I137" s="58"/>
    </row>
    <row r="138" spans="2:9" ht="15.5">
      <c r="B138" s="253"/>
      <c r="C138" s="58"/>
      <c r="D138" s="58"/>
      <c r="E138" s="58"/>
      <c r="F138" s="58"/>
      <c r="G138" s="58"/>
      <c r="H138" s="58"/>
      <c r="I138" s="58"/>
    </row>
    <row r="139" spans="2:9" ht="15.5">
      <c r="B139" s="253"/>
      <c r="C139" s="58"/>
      <c r="D139" s="58"/>
      <c r="E139" s="58"/>
      <c r="F139" s="58"/>
      <c r="G139" s="58"/>
      <c r="H139" s="58"/>
      <c r="I139" s="58"/>
    </row>
    <row r="140" spans="2:9" ht="15.5">
      <c r="B140" s="253"/>
      <c r="C140" s="58"/>
      <c r="D140" s="58"/>
      <c r="E140" s="58"/>
      <c r="F140" s="58"/>
      <c r="G140" s="58"/>
      <c r="H140" s="58"/>
      <c r="I140" s="58"/>
    </row>
    <row r="141" spans="2:9" ht="15.5">
      <c r="B141" s="253"/>
      <c r="C141" s="58"/>
      <c r="D141" s="58"/>
      <c r="E141" s="58"/>
      <c r="F141" s="58"/>
      <c r="G141" s="58"/>
      <c r="H141" s="58"/>
      <c r="I141" s="58"/>
    </row>
    <row r="142" spans="2:9" ht="15.5">
      <c r="B142" s="253"/>
      <c r="C142" s="58"/>
      <c r="D142" s="58"/>
      <c r="E142" s="58"/>
      <c r="F142" s="58"/>
      <c r="G142" s="58"/>
      <c r="H142" s="58"/>
      <c r="I142" s="58"/>
    </row>
    <row r="143" spans="2:9" ht="15.5">
      <c r="B143" s="253"/>
      <c r="C143" s="58"/>
      <c r="D143" s="58"/>
      <c r="E143" s="58"/>
      <c r="F143" s="58"/>
      <c r="G143" s="58"/>
      <c r="H143" s="58"/>
      <c r="I143" s="58"/>
    </row>
    <row r="144" spans="2:9" ht="15.5">
      <c r="B144" s="253"/>
      <c r="C144" s="58"/>
      <c r="D144" s="58"/>
      <c r="E144" s="58"/>
      <c r="F144" s="58"/>
      <c r="G144" s="58"/>
      <c r="H144" s="58"/>
      <c r="I144" s="58"/>
    </row>
    <row r="145" spans="2:9" ht="15.5">
      <c r="B145" s="253"/>
      <c r="C145" s="58"/>
      <c r="D145" s="58"/>
      <c r="E145" s="58"/>
      <c r="F145" s="58"/>
      <c r="G145" s="58"/>
      <c r="H145" s="58"/>
      <c r="I145" s="58"/>
    </row>
    <row r="146" spans="2:9" ht="15.5">
      <c r="B146" s="253"/>
      <c r="C146" s="58"/>
      <c r="D146" s="58"/>
      <c r="E146" s="58"/>
      <c r="F146" s="58"/>
      <c r="G146" s="58"/>
      <c r="H146" s="58"/>
      <c r="I146" s="58"/>
    </row>
    <row r="147" spans="2:9" ht="15.5">
      <c r="B147" s="253"/>
      <c r="C147" s="58"/>
      <c r="D147" s="58"/>
      <c r="E147" s="58"/>
      <c r="F147" s="58"/>
      <c r="G147" s="58"/>
      <c r="H147" s="58"/>
      <c r="I147" s="58"/>
    </row>
    <row r="148" spans="2:9" ht="15.5">
      <c r="B148" s="253"/>
      <c r="C148" s="58"/>
      <c r="D148" s="58"/>
      <c r="E148" s="58"/>
      <c r="F148" s="58"/>
      <c r="G148" s="58"/>
      <c r="H148" s="58"/>
      <c r="I148" s="58"/>
    </row>
    <row r="149" spans="2:9" ht="15.5">
      <c r="B149" s="253"/>
      <c r="C149" s="58"/>
      <c r="D149" s="58"/>
      <c r="E149" s="58"/>
      <c r="F149" s="58"/>
      <c r="G149" s="58"/>
      <c r="H149" s="58"/>
      <c r="I149" s="58"/>
    </row>
    <row r="150" spans="2:9" ht="15.5">
      <c r="B150" s="253"/>
      <c r="C150" s="58"/>
      <c r="D150" s="58"/>
      <c r="E150" s="58"/>
      <c r="F150" s="58"/>
      <c r="G150" s="58"/>
      <c r="H150" s="58"/>
      <c r="I150" s="58"/>
    </row>
    <row r="151" spans="2:9" ht="15.5">
      <c r="B151" s="253"/>
      <c r="C151" s="58"/>
      <c r="D151" s="58"/>
      <c r="E151" s="58"/>
      <c r="F151" s="58"/>
      <c r="G151" s="58"/>
      <c r="H151" s="58"/>
      <c r="I151" s="58"/>
    </row>
    <row r="152" spans="2:9" ht="15.5">
      <c r="B152" s="253"/>
      <c r="C152" s="58"/>
      <c r="D152" s="58"/>
      <c r="E152" s="58"/>
      <c r="F152" s="58"/>
      <c r="G152" s="58"/>
      <c r="H152" s="58"/>
      <c r="I152" s="58"/>
    </row>
    <row r="153" spans="2:9" ht="15.5">
      <c r="B153" s="253"/>
      <c r="C153" s="58"/>
      <c r="D153" s="58"/>
      <c r="E153" s="58"/>
      <c r="F153" s="58"/>
      <c r="G153" s="58"/>
      <c r="H153" s="58"/>
      <c r="I153" s="58"/>
    </row>
    <row r="154" spans="2:9" ht="15.5">
      <c r="B154" s="253"/>
      <c r="C154" s="58"/>
      <c r="D154" s="58"/>
      <c r="E154" s="58"/>
      <c r="F154" s="58"/>
      <c r="G154" s="58"/>
      <c r="H154" s="58"/>
      <c r="I154" s="58"/>
    </row>
    <row r="155" spans="2:9" ht="15.5">
      <c r="B155" s="253"/>
      <c r="C155" s="58"/>
      <c r="D155" s="58"/>
      <c r="E155" s="58"/>
      <c r="F155" s="58"/>
      <c r="G155" s="58"/>
      <c r="H155" s="58"/>
      <c r="I155" s="58"/>
    </row>
    <row r="156" spans="2:9" ht="15.5">
      <c r="B156" s="253"/>
      <c r="C156" s="58"/>
      <c r="D156" s="58"/>
      <c r="E156" s="58"/>
      <c r="F156" s="58"/>
      <c r="G156" s="58"/>
      <c r="H156" s="58"/>
      <c r="I156" s="58"/>
    </row>
    <row r="157" spans="2:9" ht="15.5">
      <c r="B157" s="253"/>
      <c r="C157" s="58"/>
      <c r="D157" s="58"/>
      <c r="E157" s="58"/>
      <c r="F157" s="58"/>
      <c r="G157" s="58"/>
      <c r="H157" s="58"/>
      <c r="I157" s="58"/>
    </row>
    <row r="158" spans="2:9" ht="15.5">
      <c r="B158" s="253"/>
      <c r="C158" s="58"/>
      <c r="D158" s="58"/>
      <c r="E158" s="58"/>
      <c r="F158" s="58"/>
      <c r="G158" s="58"/>
      <c r="H158" s="58"/>
      <c r="I158" s="58"/>
    </row>
    <row r="159" spans="2:9" ht="15.5">
      <c r="B159" s="253"/>
      <c r="C159" s="58"/>
      <c r="D159" s="58"/>
      <c r="E159" s="58"/>
      <c r="F159" s="58"/>
      <c r="G159" s="58"/>
      <c r="H159" s="58"/>
      <c r="I159" s="58"/>
    </row>
    <row r="160" spans="2:9" ht="15.5">
      <c r="B160" s="253"/>
      <c r="C160" s="58"/>
      <c r="D160" s="58"/>
      <c r="E160" s="58"/>
      <c r="F160" s="58"/>
      <c r="G160" s="58"/>
      <c r="H160" s="58"/>
      <c r="I160" s="58"/>
    </row>
    <row r="161" spans="2:9" ht="15.5">
      <c r="B161" s="253"/>
      <c r="C161" s="58"/>
      <c r="D161" s="58"/>
      <c r="E161" s="58"/>
      <c r="F161" s="58"/>
      <c r="G161" s="58"/>
      <c r="H161" s="58"/>
      <c r="I161" s="58"/>
    </row>
    <row r="162" spans="2:9" ht="15.5">
      <c r="B162" s="253"/>
      <c r="C162" s="58"/>
      <c r="D162" s="58"/>
      <c r="E162" s="58"/>
      <c r="F162" s="58"/>
      <c r="G162" s="58"/>
      <c r="H162" s="58"/>
      <c r="I162" s="58"/>
    </row>
    <row r="163" spans="2:9" ht="15.5">
      <c r="B163" s="253"/>
      <c r="C163" s="58"/>
      <c r="D163" s="58"/>
      <c r="E163" s="58"/>
      <c r="F163" s="58"/>
      <c r="G163" s="58"/>
      <c r="H163" s="58"/>
      <c r="I163" s="58"/>
    </row>
    <row r="164" spans="2:9" ht="15.5">
      <c r="B164" s="253"/>
      <c r="C164" s="58"/>
      <c r="D164" s="58"/>
      <c r="E164" s="58"/>
      <c r="F164" s="58"/>
      <c r="G164" s="58"/>
      <c r="H164" s="58"/>
      <c r="I164" s="58"/>
    </row>
    <row r="165" spans="2:9" ht="15.5">
      <c r="B165" s="253"/>
      <c r="C165" s="58"/>
      <c r="D165" s="58"/>
      <c r="E165" s="58"/>
      <c r="F165" s="58"/>
      <c r="G165" s="58"/>
      <c r="H165" s="58"/>
      <c r="I165" s="58"/>
    </row>
    <row r="166" spans="2:9" ht="15.5">
      <c r="B166" s="253"/>
      <c r="C166" s="58"/>
      <c r="D166" s="58"/>
      <c r="E166" s="58"/>
      <c r="F166" s="58"/>
      <c r="G166" s="58"/>
      <c r="H166" s="58"/>
      <c r="I166" s="58"/>
    </row>
    <row r="167" spans="2:9" ht="15.5">
      <c r="B167" s="253"/>
      <c r="C167" s="58"/>
      <c r="D167" s="58"/>
      <c r="E167" s="58"/>
      <c r="F167" s="58"/>
      <c r="G167" s="58"/>
      <c r="H167" s="58"/>
      <c r="I167" s="58"/>
    </row>
    <row r="168" spans="2:9" ht="15.5">
      <c r="B168" s="253"/>
      <c r="C168" s="58"/>
      <c r="D168" s="58"/>
      <c r="E168" s="58"/>
      <c r="F168" s="58"/>
      <c r="G168" s="58"/>
      <c r="H168" s="58"/>
      <c r="I168" s="58"/>
    </row>
    <row r="169" spans="2:9" ht="15.5">
      <c r="B169" s="253"/>
      <c r="C169" s="58"/>
      <c r="D169" s="58"/>
      <c r="E169" s="58"/>
      <c r="F169" s="58"/>
      <c r="G169" s="58"/>
      <c r="H169" s="58"/>
      <c r="I169" s="58"/>
    </row>
    <row r="170" spans="2:9" ht="15.5">
      <c r="B170" s="253"/>
      <c r="C170" s="58"/>
      <c r="D170" s="58"/>
      <c r="E170" s="58"/>
      <c r="F170" s="58"/>
      <c r="G170" s="58"/>
      <c r="H170" s="58"/>
      <c r="I170" s="58"/>
    </row>
    <row r="171" spans="2:9" ht="15.5">
      <c r="B171" s="253"/>
      <c r="C171" s="58"/>
      <c r="D171" s="58"/>
      <c r="E171" s="58"/>
      <c r="F171" s="58"/>
      <c r="G171" s="58"/>
      <c r="H171" s="58"/>
      <c r="I171" s="58"/>
    </row>
    <row r="172" spans="2:9" ht="15.5">
      <c r="B172" s="253"/>
      <c r="C172" s="58"/>
      <c r="D172" s="58"/>
      <c r="E172" s="58"/>
      <c r="F172" s="58"/>
      <c r="G172" s="58"/>
      <c r="H172" s="58"/>
      <c r="I172" s="58"/>
    </row>
    <row r="173" spans="2:9" ht="15.5">
      <c r="B173" s="253"/>
      <c r="C173" s="58"/>
      <c r="D173" s="58"/>
      <c r="E173" s="58"/>
      <c r="F173" s="58"/>
      <c r="G173" s="58"/>
      <c r="H173" s="58"/>
      <c r="I173" s="58"/>
    </row>
    <row r="174" spans="2:9" ht="15.5">
      <c r="B174" s="253"/>
      <c r="C174" s="58"/>
      <c r="D174" s="58"/>
      <c r="E174" s="58"/>
      <c r="F174" s="58"/>
      <c r="G174" s="58"/>
      <c r="H174" s="58"/>
      <c r="I174" s="58"/>
    </row>
    <row r="175" spans="2:9" ht="15.5">
      <c r="B175" s="253"/>
      <c r="C175" s="58"/>
      <c r="D175" s="58"/>
      <c r="E175" s="58"/>
      <c r="F175" s="58"/>
      <c r="G175" s="58"/>
      <c r="H175" s="58"/>
      <c r="I175" s="58"/>
    </row>
    <row r="176" spans="2:9" ht="15.5">
      <c r="B176" s="253"/>
      <c r="C176" s="58"/>
      <c r="D176" s="58"/>
      <c r="E176" s="58"/>
      <c r="F176" s="58"/>
      <c r="G176" s="58"/>
      <c r="H176" s="58"/>
      <c r="I176" s="58"/>
    </row>
    <row r="177" spans="2:9" ht="15.5">
      <c r="B177" s="253"/>
      <c r="C177" s="58"/>
      <c r="D177" s="58"/>
      <c r="E177" s="58"/>
      <c r="F177" s="58"/>
      <c r="G177" s="58"/>
      <c r="H177" s="58"/>
      <c r="I177" s="58"/>
    </row>
    <row r="178" spans="2:9" ht="15.5">
      <c r="B178" s="253"/>
      <c r="C178" s="58"/>
      <c r="D178" s="58"/>
      <c r="E178" s="58"/>
      <c r="F178" s="58"/>
      <c r="G178" s="58"/>
      <c r="H178" s="58"/>
      <c r="I178" s="58"/>
    </row>
    <row r="179" spans="2:9" ht="15.5">
      <c r="B179" s="253"/>
      <c r="C179" s="58"/>
      <c r="D179" s="58"/>
      <c r="E179" s="58"/>
      <c r="F179" s="58"/>
      <c r="G179" s="58"/>
      <c r="H179" s="58"/>
      <c r="I179" s="58"/>
    </row>
    <row r="180" spans="2:9" ht="15.5">
      <c r="B180" s="253"/>
      <c r="C180" s="58"/>
      <c r="D180" s="58"/>
      <c r="E180" s="58"/>
      <c r="F180" s="58"/>
      <c r="G180" s="58"/>
      <c r="H180" s="58"/>
      <c r="I180" s="58"/>
    </row>
    <row r="181" spans="2:9" ht="15.5">
      <c r="B181" s="253"/>
      <c r="C181" s="58"/>
      <c r="D181" s="58"/>
      <c r="E181" s="58"/>
      <c r="F181" s="58"/>
      <c r="G181" s="58"/>
      <c r="H181" s="58"/>
      <c r="I181" s="58"/>
    </row>
    <row r="182" spans="2:9" ht="15.5">
      <c r="B182" s="253"/>
      <c r="C182" s="58"/>
      <c r="D182" s="58"/>
      <c r="E182" s="58"/>
      <c r="F182" s="58"/>
      <c r="G182" s="58"/>
      <c r="H182" s="58"/>
      <c r="I182" s="58"/>
    </row>
    <row r="183" spans="2:9" ht="15.5">
      <c r="B183" s="253"/>
      <c r="C183" s="58"/>
      <c r="D183" s="58"/>
      <c r="E183" s="58"/>
      <c r="F183" s="58"/>
      <c r="G183" s="58"/>
      <c r="H183" s="58"/>
      <c r="I183" s="58"/>
    </row>
    <row r="184" spans="2:9" ht="15.5">
      <c r="B184" s="253"/>
      <c r="C184" s="58"/>
      <c r="D184" s="58"/>
      <c r="E184" s="58"/>
      <c r="F184" s="58"/>
      <c r="G184" s="58"/>
      <c r="H184" s="58"/>
      <c r="I184" s="58"/>
    </row>
    <row r="185" spans="2:9" ht="15.5">
      <c r="B185" s="253"/>
      <c r="C185" s="58"/>
      <c r="D185" s="58"/>
      <c r="E185" s="58"/>
      <c r="F185" s="58"/>
      <c r="G185" s="58"/>
      <c r="H185" s="58"/>
      <c r="I185" s="58"/>
    </row>
    <row r="186" spans="2:9" ht="15.5">
      <c r="B186" s="253"/>
      <c r="C186" s="58"/>
      <c r="D186" s="58"/>
      <c r="E186" s="58"/>
      <c r="F186" s="58"/>
      <c r="G186" s="58"/>
      <c r="H186" s="58"/>
      <c r="I186" s="58"/>
    </row>
    <row r="187" spans="2:9" ht="15.5">
      <c r="B187" s="253"/>
      <c r="C187" s="58"/>
      <c r="D187" s="58"/>
      <c r="E187" s="58"/>
      <c r="F187" s="58"/>
      <c r="G187" s="58"/>
      <c r="H187" s="58"/>
      <c r="I187" s="58"/>
    </row>
    <row r="188" spans="2:9" ht="15.5">
      <c r="B188" s="253"/>
      <c r="C188" s="58"/>
      <c r="D188" s="58"/>
      <c r="E188" s="58"/>
      <c r="F188" s="58"/>
      <c r="G188" s="58"/>
      <c r="H188" s="58"/>
      <c r="I188" s="58"/>
    </row>
    <row r="189" spans="2:9" ht="15.5">
      <c r="B189" s="253"/>
      <c r="C189" s="58"/>
      <c r="D189" s="58"/>
      <c r="E189" s="58"/>
      <c r="F189" s="58"/>
      <c r="G189" s="58"/>
      <c r="H189" s="58"/>
      <c r="I189" s="58"/>
    </row>
    <row r="190" spans="2:9" ht="15.5">
      <c r="B190" s="253"/>
      <c r="C190" s="58"/>
      <c r="D190" s="58"/>
      <c r="E190" s="58"/>
      <c r="F190" s="58"/>
      <c r="G190" s="58"/>
      <c r="H190" s="58"/>
      <c r="I190" s="58"/>
    </row>
    <row r="191" spans="2:9" ht="15.5">
      <c r="B191" s="253"/>
      <c r="C191" s="58"/>
      <c r="D191" s="58"/>
      <c r="E191" s="58"/>
      <c r="F191" s="58"/>
      <c r="G191" s="58"/>
      <c r="H191" s="58"/>
      <c r="I191" s="58"/>
    </row>
    <row r="192" spans="2:9" ht="15.5">
      <c r="B192" s="253"/>
      <c r="C192" s="58"/>
      <c r="D192" s="58"/>
      <c r="E192" s="58"/>
      <c r="F192" s="58"/>
      <c r="G192" s="58"/>
      <c r="H192" s="58"/>
      <c r="I192" s="58"/>
    </row>
    <row r="193" spans="2:9" ht="15.5">
      <c r="B193" s="253"/>
      <c r="C193" s="58"/>
      <c r="D193" s="58"/>
      <c r="E193" s="58"/>
      <c r="F193" s="58"/>
      <c r="G193" s="58"/>
      <c r="H193" s="58"/>
      <c r="I193" s="58"/>
    </row>
    <row r="194" spans="2:9" ht="15.5">
      <c r="B194" s="253"/>
      <c r="C194" s="58"/>
      <c r="D194" s="58"/>
      <c r="E194" s="58"/>
      <c r="F194" s="58"/>
      <c r="G194" s="58"/>
      <c r="H194" s="58"/>
      <c r="I194" s="58"/>
    </row>
    <row r="195" spans="2:9" ht="15.5">
      <c r="B195" s="253"/>
      <c r="C195" s="58"/>
      <c r="D195" s="58"/>
      <c r="E195" s="58"/>
      <c r="F195" s="58"/>
      <c r="G195" s="58"/>
      <c r="H195" s="58"/>
      <c r="I195" s="58"/>
    </row>
    <row r="196" spans="2:9" ht="15.5">
      <c r="B196" s="253"/>
      <c r="C196" s="58"/>
      <c r="D196" s="58"/>
      <c r="E196" s="58"/>
      <c r="F196" s="58"/>
      <c r="G196" s="58"/>
      <c r="H196" s="58"/>
      <c r="I196" s="58"/>
    </row>
    <row r="197" spans="2:9" ht="15.5">
      <c r="B197" s="253"/>
      <c r="C197" s="58"/>
      <c r="D197" s="58"/>
      <c r="E197" s="58"/>
      <c r="F197" s="58"/>
      <c r="G197" s="58"/>
      <c r="H197" s="58"/>
      <c r="I197" s="58"/>
    </row>
    <row r="198" spans="2:9" ht="15.5">
      <c r="B198" s="253"/>
      <c r="C198" s="58"/>
      <c r="D198" s="58"/>
      <c r="E198" s="58"/>
      <c r="F198" s="58"/>
      <c r="G198" s="58"/>
      <c r="H198" s="58"/>
      <c r="I198" s="58"/>
    </row>
    <row r="199" spans="2:9" ht="15.5">
      <c r="B199" s="253"/>
      <c r="C199" s="58"/>
      <c r="D199" s="58"/>
      <c r="E199" s="58"/>
      <c r="F199" s="58"/>
      <c r="G199" s="58"/>
      <c r="H199" s="58"/>
      <c r="I199" s="58"/>
    </row>
    <row r="200" spans="2:9" ht="15.5">
      <c r="B200" s="253"/>
      <c r="C200" s="58"/>
      <c r="D200" s="58"/>
      <c r="E200" s="58"/>
      <c r="F200" s="58"/>
      <c r="G200" s="58"/>
      <c r="H200" s="58"/>
      <c r="I200" s="58"/>
    </row>
    <row r="201" spans="2:9" ht="15.5">
      <c r="B201" s="253"/>
      <c r="C201" s="58"/>
      <c r="D201" s="58"/>
      <c r="E201" s="58"/>
      <c r="F201" s="58"/>
      <c r="G201" s="58"/>
      <c r="H201" s="58"/>
      <c r="I201" s="58"/>
    </row>
    <row r="202" spans="2:9" ht="15.5">
      <c r="B202" s="253"/>
      <c r="C202" s="58"/>
      <c r="D202" s="58"/>
      <c r="E202" s="58"/>
      <c r="F202" s="58"/>
      <c r="G202" s="58"/>
      <c r="H202" s="58"/>
      <c r="I202" s="58"/>
    </row>
    <row r="203" spans="2:9" ht="15.5">
      <c r="B203" s="253"/>
      <c r="C203" s="58"/>
      <c r="D203" s="58"/>
      <c r="E203" s="58"/>
      <c r="F203" s="58"/>
      <c r="G203" s="58"/>
      <c r="H203" s="58"/>
      <c r="I203" s="58"/>
    </row>
    <row r="204" spans="2:9" ht="15.5">
      <c r="B204" s="253"/>
      <c r="C204" s="58"/>
      <c r="D204" s="58"/>
      <c r="E204" s="58"/>
      <c r="F204" s="58"/>
      <c r="G204" s="58"/>
      <c r="H204" s="58"/>
      <c r="I204" s="58"/>
    </row>
    <row r="205" spans="2:9" ht="15.5">
      <c r="B205" s="253"/>
      <c r="C205" s="58"/>
      <c r="D205" s="58"/>
      <c r="E205" s="58"/>
      <c r="F205" s="58"/>
      <c r="G205" s="58"/>
      <c r="H205" s="58"/>
      <c r="I205" s="58"/>
    </row>
    <row r="206" spans="2:9" ht="15.5">
      <c r="B206" s="253"/>
      <c r="C206" s="58"/>
      <c r="D206" s="58"/>
      <c r="E206" s="58"/>
      <c r="F206" s="58"/>
      <c r="G206" s="58"/>
      <c r="H206" s="58"/>
      <c r="I206" s="58"/>
    </row>
    <row r="207" spans="2:9" ht="15.5">
      <c r="B207" s="253"/>
      <c r="C207" s="58"/>
      <c r="D207" s="58"/>
      <c r="E207" s="58"/>
      <c r="F207" s="58"/>
      <c r="G207" s="58"/>
      <c r="H207" s="58"/>
      <c r="I207" s="58"/>
    </row>
    <row r="208" spans="2:9" ht="15.5">
      <c r="B208" s="253"/>
      <c r="C208" s="58"/>
      <c r="D208" s="58"/>
      <c r="E208" s="58"/>
      <c r="F208" s="58"/>
      <c r="G208" s="58"/>
      <c r="H208" s="58"/>
      <c r="I208" s="58"/>
    </row>
    <row r="209" spans="2:9" ht="15.5">
      <c r="B209" s="253"/>
      <c r="C209" s="58"/>
      <c r="D209" s="58"/>
      <c r="E209" s="58"/>
      <c r="F209" s="58"/>
      <c r="G209" s="58"/>
      <c r="H209" s="58"/>
      <c r="I209" s="58"/>
    </row>
    <row r="210" spans="2:9" ht="15.5">
      <c r="B210" s="253"/>
      <c r="C210" s="58"/>
      <c r="D210" s="58"/>
      <c r="E210" s="58"/>
      <c r="F210" s="58"/>
      <c r="G210" s="58"/>
      <c r="H210" s="58"/>
      <c r="I210" s="58"/>
    </row>
    <row r="211" spans="2:9" ht="15.5">
      <c r="B211" s="253"/>
      <c r="C211" s="58"/>
      <c r="D211" s="58"/>
      <c r="E211" s="58"/>
      <c r="F211" s="58"/>
      <c r="G211" s="58"/>
      <c r="H211" s="58"/>
      <c r="I211" s="58"/>
    </row>
    <row r="212" spans="2:9" ht="15.5">
      <c r="B212" s="253"/>
      <c r="C212" s="58"/>
      <c r="D212" s="58"/>
      <c r="E212" s="58"/>
      <c r="F212" s="58"/>
      <c r="G212" s="58"/>
      <c r="H212" s="58"/>
      <c r="I212" s="58"/>
    </row>
    <row r="213" spans="2:9" ht="15.5">
      <c r="B213" s="253"/>
      <c r="C213" s="58"/>
      <c r="D213" s="58"/>
      <c r="E213" s="58"/>
      <c r="F213" s="58"/>
      <c r="G213" s="58"/>
      <c r="H213" s="58"/>
      <c r="I213" s="58"/>
    </row>
    <row r="214" spans="2:9" ht="15.5">
      <c r="B214" s="253"/>
      <c r="C214" s="58"/>
      <c r="D214" s="58"/>
      <c r="E214" s="58"/>
      <c r="F214" s="58"/>
      <c r="G214" s="58"/>
      <c r="H214" s="58"/>
      <c r="I214" s="58"/>
    </row>
    <row r="215" spans="2:9" ht="15.5">
      <c r="B215" s="253"/>
      <c r="C215" s="58"/>
      <c r="D215" s="58"/>
      <c r="E215" s="58"/>
      <c r="F215" s="58"/>
      <c r="G215" s="58"/>
      <c r="H215" s="58"/>
      <c r="I215" s="58"/>
    </row>
    <row r="216" spans="2:9" ht="15.5">
      <c r="B216" s="253"/>
      <c r="C216" s="58"/>
      <c r="D216" s="58"/>
      <c r="E216" s="58"/>
      <c r="F216" s="58"/>
      <c r="G216" s="58"/>
      <c r="H216" s="58"/>
      <c r="I216" s="58"/>
    </row>
    <row r="217" spans="2:9" ht="15.5">
      <c r="B217" s="253"/>
      <c r="C217" s="58"/>
      <c r="D217" s="58"/>
      <c r="E217" s="58"/>
      <c r="F217" s="58"/>
      <c r="G217" s="58"/>
      <c r="H217" s="58"/>
      <c r="I217" s="58"/>
    </row>
    <row r="218" spans="2:9" ht="15.5">
      <c r="B218" s="253"/>
      <c r="C218" s="58"/>
      <c r="D218" s="58"/>
      <c r="E218" s="58"/>
      <c r="F218" s="58"/>
      <c r="G218" s="58"/>
      <c r="H218" s="58"/>
      <c r="I218" s="58"/>
    </row>
    <row r="219" spans="2:9" ht="15.5">
      <c r="B219" s="253"/>
      <c r="C219" s="58"/>
      <c r="D219" s="58"/>
      <c r="E219" s="58"/>
      <c r="F219" s="58"/>
      <c r="G219" s="58"/>
      <c r="H219" s="58"/>
      <c r="I219" s="58"/>
    </row>
    <row r="220" spans="2:9" ht="15.5">
      <c r="B220" s="253"/>
      <c r="C220" s="58"/>
      <c r="D220" s="58"/>
      <c r="E220" s="58"/>
      <c r="F220" s="58"/>
      <c r="G220" s="58"/>
      <c r="H220" s="58"/>
      <c r="I220" s="58"/>
    </row>
    <row r="221" spans="2:9" ht="15.5">
      <c r="B221" s="253"/>
      <c r="C221" s="58"/>
      <c r="D221" s="58"/>
      <c r="E221" s="58"/>
      <c r="F221" s="58"/>
      <c r="G221" s="58"/>
      <c r="H221" s="58"/>
      <c r="I221" s="58"/>
    </row>
    <row r="222" spans="2:9" ht="15.5">
      <c r="B222" s="253"/>
      <c r="C222" s="58"/>
      <c r="D222" s="58"/>
      <c r="E222" s="58"/>
      <c r="F222" s="58"/>
      <c r="G222" s="58"/>
      <c r="H222" s="58"/>
      <c r="I222" s="58"/>
    </row>
    <row r="223" spans="2:9" ht="15.5">
      <c r="B223" s="253"/>
      <c r="C223" s="58"/>
      <c r="D223" s="58"/>
      <c r="E223" s="58"/>
      <c r="F223" s="58"/>
      <c r="G223" s="58"/>
      <c r="H223" s="58"/>
      <c r="I223" s="58"/>
    </row>
    <row r="224" spans="2:9" ht="15.5">
      <c r="B224" s="253"/>
      <c r="C224" s="58"/>
      <c r="D224" s="58"/>
      <c r="E224" s="58"/>
      <c r="F224" s="58"/>
      <c r="G224" s="58"/>
      <c r="H224" s="58"/>
      <c r="I224" s="58"/>
    </row>
    <row r="225" spans="2:9" ht="15.5">
      <c r="B225" s="253"/>
      <c r="C225" s="58"/>
      <c r="D225" s="58"/>
      <c r="E225" s="58"/>
      <c r="F225" s="58"/>
      <c r="G225" s="58"/>
      <c r="H225" s="58"/>
      <c r="I225" s="58"/>
    </row>
    <row r="226" spans="2:9" ht="15.5">
      <c r="B226" s="253"/>
      <c r="C226" s="58"/>
      <c r="D226" s="58"/>
      <c r="E226" s="58"/>
      <c r="F226" s="58"/>
      <c r="G226" s="58"/>
      <c r="H226" s="58"/>
      <c r="I226" s="58"/>
    </row>
    <row r="227" spans="2:9" ht="15.5">
      <c r="B227" s="253"/>
      <c r="C227" s="58"/>
      <c r="D227" s="58"/>
      <c r="E227" s="58"/>
      <c r="F227" s="58"/>
      <c r="G227" s="58"/>
      <c r="H227" s="58"/>
      <c r="I227" s="58"/>
    </row>
    <row r="228" spans="2:9" ht="15.5">
      <c r="B228" s="253"/>
      <c r="C228" s="58"/>
      <c r="D228" s="58"/>
      <c r="E228" s="58"/>
      <c r="F228" s="58"/>
      <c r="G228" s="58"/>
      <c r="H228" s="58"/>
      <c r="I228" s="58"/>
    </row>
    <row r="229" spans="2:9" ht="15.5">
      <c r="B229" s="253"/>
      <c r="C229" s="58"/>
      <c r="D229" s="58"/>
      <c r="E229" s="58"/>
      <c r="F229" s="58"/>
      <c r="G229" s="58"/>
      <c r="H229" s="58"/>
      <c r="I229" s="58"/>
    </row>
    <row r="230" spans="2:9" ht="15.5">
      <c r="B230" s="253"/>
      <c r="C230" s="58"/>
      <c r="D230" s="58"/>
      <c r="E230" s="58"/>
      <c r="F230" s="58"/>
      <c r="G230" s="58"/>
      <c r="H230" s="58"/>
      <c r="I230" s="58"/>
    </row>
    <row r="231" spans="2:9" ht="15.5">
      <c r="B231" s="253"/>
      <c r="C231" s="58"/>
      <c r="D231" s="58"/>
      <c r="E231" s="58"/>
      <c r="F231" s="58"/>
      <c r="G231" s="58"/>
      <c r="H231" s="58"/>
      <c r="I231" s="58"/>
    </row>
    <row r="232" spans="2:9" ht="15.5">
      <c r="B232" s="253"/>
      <c r="C232" s="58"/>
      <c r="D232" s="58"/>
      <c r="E232" s="58"/>
      <c r="F232" s="58"/>
      <c r="G232" s="58"/>
      <c r="H232" s="58"/>
      <c r="I232" s="58"/>
    </row>
    <row r="233" spans="2:9" ht="15.5">
      <c r="B233" s="253"/>
      <c r="C233" s="58"/>
      <c r="D233" s="58"/>
      <c r="E233" s="58"/>
      <c r="F233" s="58"/>
      <c r="G233" s="58"/>
      <c r="H233" s="58"/>
      <c r="I233" s="58"/>
    </row>
    <row r="234" spans="2:9" ht="15.5">
      <c r="B234" s="253"/>
      <c r="C234" s="58"/>
      <c r="D234" s="58"/>
      <c r="E234" s="58"/>
      <c r="F234" s="58"/>
      <c r="G234" s="58"/>
      <c r="H234" s="58"/>
      <c r="I234" s="58"/>
    </row>
    <row r="235" spans="2:9" ht="15.5">
      <c r="B235" s="253"/>
      <c r="C235" s="58"/>
      <c r="D235" s="58"/>
      <c r="E235" s="58"/>
      <c r="F235" s="58"/>
      <c r="G235" s="58"/>
      <c r="H235" s="58"/>
      <c r="I235" s="58"/>
    </row>
    <row r="236" spans="2:9" ht="15.5">
      <c r="B236" s="253"/>
      <c r="C236" s="58"/>
      <c r="D236" s="58"/>
      <c r="E236" s="58"/>
      <c r="F236" s="58"/>
      <c r="G236" s="58"/>
      <c r="H236" s="58"/>
      <c r="I236" s="58"/>
    </row>
    <row r="237" spans="2:9" ht="15.5">
      <c r="B237" s="253"/>
      <c r="C237" s="58"/>
      <c r="D237" s="58"/>
      <c r="E237" s="58"/>
      <c r="F237" s="58"/>
      <c r="G237" s="58"/>
      <c r="H237" s="58"/>
      <c r="I237" s="58"/>
    </row>
    <row r="238" spans="2:9" ht="15.5">
      <c r="B238" s="253"/>
      <c r="C238" s="58"/>
      <c r="D238" s="58"/>
      <c r="E238" s="58"/>
      <c r="F238" s="58"/>
      <c r="G238" s="58"/>
      <c r="H238" s="58"/>
      <c r="I238" s="58"/>
    </row>
    <row r="239" spans="2:9" ht="15.5">
      <c r="B239" s="253"/>
      <c r="C239" s="58"/>
      <c r="D239" s="58"/>
      <c r="E239" s="58"/>
      <c r="F239" s="58"/>
      <c r="G239" s="58"/>
      <c r="H239" s="58"/>
      <c r="I239" s="58"/>
    </row>
    <row r="240" spans="2:9" ht="15.5">
      <c r="B240" s="253"/>
      <c r="C240" s="58"/>
      <c r="D240" s="58"/>
      <c r="E240" s="58"/>
      <c r="F240" s="58"/>
      <c r="G240" s="58"/>
      <c r="H240" s="58"/>
      <c r="I240" s="58"/>
    </row>
    <row r="241" spans="2:9" ht="15.5">
      <c r="B241" s="253"/>
      <c r="C241" s="58"/>
      <c r="D241" s="58"/>
      <c r="E241" s="58"/>
      <c r="F241" s="58"/>
      <c r="G241" s="58"/>
      <c r="H241" s="58"/>
      <c r="I241" s="58"/>
    </row>
    <row r="242" spans="2:9" ht="15.5">
      <c r="B242" s="253"/>
      <c r="C242" s="58"/>
      <c r="D242" s="58"/>
      <c r="E242" s="58"/>
      <c r="F242" s="58"/>
      <c r="G242" s="58"/>
      <c r="H242" s="58"/>
      <c r="I242" s="58"/>
    </row>
    <row r="243" spans="2:9" ht="15.5">
      <c r="B243" s="253"/>
      <c r="C243" s="58"/>
      <c r="D243" s="58"/>
      <c r="E243" s="58"/>
      <c r="F243" s="58"/>
      <c r="G243" s="58"/>
      <c r="H243" s="58"/>
      <c r="I243" s="58"/>
    </row>
    <row r="244" spans="2:9" ht="15.5">
      <c r="B244" s="253"/>
      <c r="C244" s="58"/>
      <c r="D244" s="58"/>
      <c r="E244" s="58"/>
      <c r="F244" s="58"/>
      <c r="G244" s="58"/>
      <c r="H244" s="58"/>
      <c r="I244" s="58"/>
    </row>
    <row r="245" spans="2:9" ht="15.5">
      <c r="B245" s="253"/>
      <c r="C245" s="58"/>
      <c r="D245" s="58"/>
      <c r="E245" s="58"/>
      <c r="F245" s="58"/>
      <c r="G245" s="58"/>
      <c r="H245" s="58"/>
      <c r="I245" s="58"/>
    </row>
    <row r="246" spans="2:9" ht="15.5">
      <c r="B246" s="253"/>
      <c r="C246" s="58"/>
      <c r="D246" s="58"/>
      <c r="E246" s="58"/>
      <c r="F246" s="58"/>
      <c r="G246" s="58"/>
      <c r="H246" s="58"/>
      <c r="I246" s="58"/>
    </row>
    <row r="247" spans="2:9" ht="15.5">
      <c r="B247" s="253"/>
      <c r="C247" s="58"/>
      <c r="D247" s="58"/>
      <c r="E247" s="58"/>
      <c r="F247" s="58"/>
      <c r="G247" s="58"/>
      <c r="H247" s="58"/>
      <c r="I247" s="58"/>
    </row>
    <row r="248" spans="2:9" ht="15.5">
      <c r="B248" s="253"/>
      <c r="C248" s="58"/>
      <c r="D248" s="58"/>
      <c r="E248" s="58"/>
      <c r="F248" s="58"/>
      <c r="G248" s="58"/>
      <c r="H248" s="58"/>
      <c r="I248" s="58"/>
    </row>
    <row r="249" spans="2:9" ht="15.5">
      <c r="B249" s="253"/>
      <c r="C249" s="58"/>
      <c r="D249" s="58"/>
      <c r="E249" s="58"/>
      <c r="F249" s="58"/>
      <c r="G249" s="58"/>
      <c r="H249" s="58"/>
      <c r="I249" s="58"/>
    </row>
    <row r="250" spans="2:9" ht="15.5">
      <c r="B250" s="253"/>
      <c r="C250" s="58"/>
      <c r="D250" s="58"/>
      <c r="E250" s="58"/>
      <c r="F250" s="58"/>
      <c r="G250" s="58"/>
      <c r="H250" s="58"/>
      <c r="I250" s="58"/>
    </row>
    <row r="251" spans="2:9" ht="15.5">
      <c r="B251" s="253"/>
      <c r="C251" s="58"/>
      <c r="D251" s="58"/>
      <c r="E251" s="58"/>
      <c r="F251" s="58"/>
      <c r="G251" s="58"/>
      <c r="H251" s="58"/>
      <c r="I251" s="58"/>
    </row>
    <row r="252" spans="2:9" ht="15.5">
      <c r="B252" s="253"/>
      <c r="C252" s="58"/>
      <c r="D252" s="58"/>
      <c r="E252" s="58"/>
      <c r="F252" s="58"/>
      <c r="G252" s="58"/>
      <c r="H252" s="58"/>
      <c r="I252" s="58"/>
    </row>
    <row r="253" spans="2:9" ht="15.5">
      <c r="B253" s="253"/>
      <c r="C253" s="58"/>
      <c r="D253" s="58"/>
      <c r="E253" s="58"/>
      <c r="F253" s="58"/>
      <c r="G253" s="58"/>
      <c r="H253" s="58"/>
      <c r="I253" s="58"/>
    </row>
    <row r="254" spans="2:9" ht="15.5">
      <c r="B254" s="253"/>
      <c r="C254" s="58"/>
      <c r="D254" s="58"/>
      <c r="E254" s="58"/>
      <c r="F254" s="58"/>
      <c r="G254" s="58"/>
      <c r="H254" s="58"/>
      <c r="I254" s="58"/>
    </row>
    <row r="255" spans="2:9" ht="15.5">
      <c r="B255" s="253"/>
      <c r="C255" s="58"/>
      <c r="D255" s="58"/>
      <c r="E255" s="58"/>
      <c r="F255" s="58"/>
      <c r="G255" s="58"/>
      <c r="H255" s="58"/>
      <c r="I255" s="58"/>
    </row>
    <row r="256" spans="2:9" ht="15.5">
      <c r="B256" s="253"/>
      <c r="C256" s="58"/>
      <c r="D256" s="58"/>
      <c r="E256" s="58"/>
      <c r="F256" s="58"/>
      <c r="G256" s="58"/>
      <c r="H256" s="58"/>
      <c r="I256" s="58"/>
    </row>
    <row r="257" spans="2:9" ht="15.5">
      <c r="B257" s="253"/>
      <c r="C257" s="58"/>
      <c r="D257" s="58"/>
      <c r="E257" s="58"/>
      <c r="F257" s="58"/>
      <c r="G257" s="58"/>
      <c r="H257" s="58"/>
      <c r="I257" s="58"/>
    </row>
    <row r="258" spans="2:9" ht="15.5">
      <c r="B258" s="253"/>
      <c r="C258" s="58"/>
      <c r="D258" s="58"/>
      <c r="E258" s="58"/>
      <c r="F258" s="58"/>
      <c r="G258" s="58"/>
      <c r="H258" s="58"/>
      <c r="I258" s="58"/>
    </row>
    <row r="259" spans="2:9" ht="15.5">
      <c r="B259" s="253"/>
      <c r="C259" s="58"/>
      <c r="D259" s="58"/>
      <c r="E259" s="58"/>
      <c r="F259" s="58"/>
      <c r="G259" s="58"/>
      <c r="H259" s="58"/>
      <c r="I259" s="58"/>
    </row>
    <row r="260" spans="2:9" ht="15.5">
      <c r="B260" s="253"/>
      <c r="C260" s="58"/>
      <c r="D260" s="58"/>
      <c r="E260" s="58"/>
      <c r="F260" s="58"/>
      <c r="G260" s="58"/>
      <c r="H260" s="58"/>
      <c r="I260" s="58"/>
    </row>
    <row r="261" spans="2:9" ht="15.5">
      <c r="B261" s="253"/>
      <c r="C261" s="58"/>
      <c r="D261" s="58"/>
      <c r="E261" s="58"/>
      <c r="F261" s="58"/>
      <c r="G261" s="58"/>
      <c r="H261" s="58"/>
      <c r="I261" s="58"/>
    </row>
    <row r="262" spans="2:9" ht="15.5">
      <c r="B262" s="253"/>
      <c r="C262" s="58"/>
      <c r="D262" s="58"/>
      <c r="E262" s="58"/>
      <c r="F262" s="58"/>
      <c r="G262" s="58"/>
      <c r="H262" s="58"/>
      <c r="I262" s="58"/>
    </row>
    <row r="263" spans="2:9" ht="15.5">
      <c r="B263" s="253"/>
      <c r="C263" s="58"/>
      <c r="D263" s="58"/>
      <c r="E263" s="58"/>
      <c r="F263" s="58"/>
      <c r="G263" s="58"/>
      <c r="H263" s="58"/>
      <c r="I263" s="58"/>
    </row>
    <row r="264" spans="2:9" ht="15.5">
      <c r="B264" s="253"/>
      <c r="C264" s="58"/>
      <c r="D264" s="58"/>
      <c r="E264" s="58"/>
      <c r="F264" s="58"/>
      <c r="G264" s="58"/>
      <c r="H264" s="58"/>
      <c r="I264" s="58"/>
    </row>
    <row r="265" spans="2:9" ht="15.5">
      <c r="B265" s="253"/>
      <c r="C265" s="58"/>
      <c r="D265" s="58"/>
      <c r="E265" s="58"/>
      <c r="F265" s="58"/>
      <c r="G265" s="58"/>
      <c r="H265" s="58"/>
      <c r="I265" s="58"/>
    </row>
    <row r="266" spans="2:9" ht="15.5">
      <c r="B266" s="253"/>
      <c r="C266" s="58"/>
      <c r="D266" s="58"/>
      <c r="E266" s="58"/>
      <c r="F266" s="58"/>
      <c r="G266" s="58"/>
      <c r="H266" s="58"/>
      <c r="I266" s="58"/>
    </row>
    <row r="267" spans="2:9" ht="15.5">
      <c r="B267" s="253"/>
      <c r="C267" s="58"/>
      <c r="D267" s="58"/>
      <c r="E267" s="58"/>
      <c r="F267" s="58"/>
      <c r="G267" s="58"/>
      <c r="H267" s="58"/>
      <c r="I267" s="58"/>
    </row>
    <row r="268" spans="2:9" ht="15.5">
      <c r="B268" s="253"/>
      <c r="C268" s="58"/>
      <c r="D268" s="58"/>
      <c r="E268" s="58"/>
      <c r="F268" s="58"/>
      <c r="G268" s="58"/>
      <c r="H268" s="58"/>
      <c r="I268" s="58"/>
    </row>
    <row r="269" spans="2:9" ht="15.5">
      <c r="B269" s="253"/>
      <c r="C269" s="58"/>
      <c r="D269" s="58"/>
      <c r="E269" s="58"/>
      <c r="F269" s="58"/>
      <c r="G269" s="58"/>
      <c r="H269" s="58"/>
      <c r="I269" s="58"/>
    </row>
    <row r="270" spans="2:9" ht="15.5">
      <c r="B270" s="253"/>
      <c r="C270" s="58"/>
      <c r="D270" s="58"/>
      <c r="E270" s="58"/>
      <c r="F270" s="58"/>
      <c r="G270" s="58"/>
      <c r="H270" s="58"/>
      <c r="I270" s="58"/>
    </row>
    <row r="271" spans="2:9" ht="15.5">
      <c r="B271" s="253"/>
      <c r="C271" s="58"/>
      <c r="D271" s="58"/>
      <c r="E271" s="58"/>
      <c r="F271" s="58"/>
      <c r="G271" s="58"/>
      <c r="H271" s="58"/>
      <c r="I271" s="58"/>
    </row>
    <row r="272" spans="2:9" ht="15.5">
      <c r="B272" s="253"/>
      <c r="C272" s="58"/>
      <c r="D272" s="58"/>
      <c r="E272" s="58"/>
      <c r="F272" s="58"/>
      <c r="G272" s="58"/>
      <c r="H272" s="58"/>
      <c r="I272" s="58"/>
    </row>
    <row r="273" spans="2:9" ht="15.5">
      <c r="B273" s="253"/>
      <c r="C273" s="58"/>
      <c r="D273" s="58"/>
      <c r="E273" s="58"/>
      <c r="F273" s="58"/>
      <c r="G273" s="58"/>
      <c r="H273" s="58"/>
      <c r="I273" s="58"/>
    </row>
    <row r="274" spans="2:9" ht="15.5">
      <c r="B274" s="253"/>
      <c r="C274" s="58"/>
      <c r="D274" s="58"/>
      <c r="E274" s="58"/>
      <c r="F274" s="58"/>
      <c r="G274" s="58"/>
      <c r="H274" s="58"/>
      <c r="I274" s="58"/>
    </row>
    <row r="275" spans="2:9" ht="15.5">
      <c r="B275" s="253"/>
      <c r="C275" s="58"/>
      <c r="D275" s="58"/>
      <c r="E275" s="58"/>
      <c r="F275" s="58"/>
      <c r="G275" s="58"/>
      <c r="H275" s="58"/>
      <c r="I275" s="58"/>
    </row>
    <row r="276" spans="2:9" ht="15.5">
      <c r="B276" s="253"/>
      <c r="C276" s="58"/>
      <c r="D276" s="58"/>
      <c r="E276" s="58"/>
      <c r="F276" s="58"/>
      <c r="G276" s="58"/>
      <c r="H276" s="58"/>
      <c r="I276" s="58"/>
    </row>
    <row r="277" spans="2:9" ht="15.5">
      <c r="B277" s="253"/>
      <c r="C277" s="58"/>
      <c r="D277" s="58"/>
      <c r="E277" s="58"/>
      <c r="F277" s="58"/>
      <c r="G277" s="58"/>
      <c r="H277" s="58"/>
      <c r="I277" s="58"/>
    </row>
    <row r="278" spans="2:9" ht="15.5">
      <c r="B278" s="253"/>
      <c r="C278" s="58"/>
      <c r="D278" s="58"/>
      <c r="E278" s="58"/>
      <c r="F278" s="58"/>
      <c r="G278" s="58"/>
      <c r="H278" s="58"/>
      <c r="I278" s="58"/>
    </row>
    <row r="279" spans="2:9" ht="15.5">
      <c r="B279" s="253"/>
      <c r="C279" s="58"/>
      <c r="D279" s="58"/>
      <c r="E279" s="58"/>
      <c r="F279" s="58"/>
      <c r="G279" s="58"/>
      <c r="H279" s="58"/>
      <c r="I279" s="58"/>
    </row>
    <row r="280" spans="2:9" ht="15.5">
      <c r="B280" s="253"/>
      <c r="C280" s="58"/>
      <c r="D280" s="58"/>
      <c r="E280" s="58"/>
      <c r="F280" s="58"/>
      <c r="G280" s="58"/>
      <c r="H280" s="58"/>
      <c r="I280" s="58"/>
    </row>
    <row r="281" spans="2:9" ht="15.5">
      <c r="B281" s="253"/>
      <c r="C281" s="58"/>
      <c r="D281" s="58"/>
      <c r="E281" s="58"/>
      <c r="F281" s="58"/>
      <c r="G281" s="58"/>
      <c r="H281" s="58"/>
      <c r="I281" s="58"/>
    </row>
    <row r="282" spans="2:9" ht="15.5">
      <c r="B282" s="253"/>
      <c r="C282" s="58"/>
      <c r="D282" s="58"/>
      <c r="E282" s="58"/>
      <c r="F282" s="58"/>
      <c r="G282" s="58"/>
      <c r="H282" s="58"/>
      <c r="I282" s="58"/>
    </row>
    <row r="283" spans="2:9" ht="15.5">
      <c r="B283" s="253"/>
      <c r="C283" s="58"/>
      <c r="D283" s="58"/>
      <c r="E283" s="58"/>
      <c r="F283" s="58"/>
      <c r="G283" s="58"/>
      <c r="H283" s="58"/>
      <c r="I283" s="58"/>
    </row>
    <row r="284" spans="2:9" ht="15.5">
      <c r="B284" s="253"/>
      <c r="C284" s="58"/>
      <c r="D284" s="58"/>
      <c r="E284" s="58"/>
      <c r="F284" s="58"/>
      <c r="G284" s="58"/>
      <c r="H284" s="58"/>
      <c r="I284" s="58"/>
    </row>
    <row r="285" spans="2:9" ht="15.5">
      <c r="B285" s="253"/>
      <c r="C285" s="58"/>
      <c r="D285" s="58"/>
      <c r="E285" s="58"/>
      <c r="F285" s="58"/>
      <c r="G285" s="58"/>
      <c r="H285" s="58"/>
      <c r="I285" s="58"/>
    </row>
    <row r="286" spans="2:9" ht="15.5">
      <c r="B286" s="253"/>
      <c r="C286" s="58"/>
      <c r="D286" s="58"/>
      <c r="E286" s="58"/>
      <c r="F286" s="58"/>
      <c r="G286" s="58"/>
      <c r="H286" s="58"/>
      <c r="I286" s="58"/>
    </row>
    <row r="287" spans="2:9" ht="15.5">
      <c r="B287" s="253"/>
      <c r="C287" s="58"/>
      <c r="D287" s="58"/>
      <c r="E287" s="58"/>
      <c r="F287" s="58"/>
      <c r="G287" s="58"/>
      <c r="H287" s="58"/>
      <c r="I287" s="58"/>
    </row>
    <row r="288" spans="2:9" ht="15.5">
      <c r="B288" s="253"/>
      <c r="C288" s="58"/>
      <c r="D288" s="58"/>
      <c r="E288" s="58"/>
      <c r="F288" s="58"/>
      <c r="G288" s="58"/>
      <c r="H288" s="58"/>
      <c r="I288" s="58"/>
    </row>
    <row r="289" spans="2:9" ht="15.5">
      <c r="B289" s="253"/>
      <c r="C289" s="58"/>
      <c r="D289" s="58"/>
      <c r="E289" s="58"/>
      <c r="F289" s="58"/>
      <c r="G289" s="58"/>
      <c r="H289" s="58"/>
      <c r="I289" s="58"/>
    </row>
    <row r="290" spans="2:9" ht="15.5">
      <c r="B290" s="253"/>
      <c r="C290" s="58"/>
      <c r="D290" s="58"/>
      <c r="E290" s="58"/>
      <c r="F290" s="58"/>
      <c r="G290" s="58"/>
      <c r="H290" s="58"/>
      <c r="I290" s="58"/>
    </row>
    <row r="291" spans="2:9" ht="15.5">
      <c r="B291" s="253"/>
      <c r="C291" s="58"/>
      <c r="D291" s="58"/>
      <c r="E291" s="58"/>
      <c r="F291" s="58"/>
      <c r="G291" s="58"/>
      <c r="H291" s="58"/>
      <c r="I291" s="58"/>
    </row>
    <row r="292" spans="2:9" ht="15.5">
      <c r="B292" s="253"/>
      <c r="C292" s="58"/>
      <c r="D292" s="58"/>
      <c r="E292" s="58"/>
      <c r="F292" s="58"/>
      <c r="G292" s="58"/>
      <c r="H292" s="58"/>
      <c r="I292" s="58"/>
    </row>
    <row r="293" spans="2:9" ht="15.5">
      <c r="B293" s="253"/>
      <c r="C293" s="58"/>
      <c r="D293" s="58"/>
      <c r="E293" s="58"/>
      <c r="F293" s="58"/>
      <c r="G293" s="58"/>
      <c r="H293" s="58"/>
      <c r="I293" s="58"/>
    </row>
    <row r="294" spans="2:9" ht="15.5">
      <c r="B294" s="253"/>
      <c r="C294" s="58"/>
      <c r="D294" s="58"/>
      <c r="E294" s="58"/>
      <c r="F294" s="58"/>
      <c r="G294" s="58"/>
      <c r="H294" s="58"/>
      <c r="I294" s="58"/>
    </row>
    <row r="295" spans="2:9" ht="15.5">
      <c r="B295" s="253"/>
      <c r="C295" s="58"/>
      <c r="D295" s="58"/>
      <c r="E295" s="58"/>
      <c r="F295" s="58"/>
      <c r="G295" s="58"/>
      <c r="H295" s="58"/>
      <c r="I295" s="58"/>
    </row>
    <row r="296" spans="2:9" ht="15.5">
      <c r="B296" s="253"/>
      <c r="C296" s="58"/>
      <c r="D296" s="58"/>
      <c r="E296" s="58"/>
      <c r="F296" s="58"/>
      <c r="G296" s="58"/>
      <c r="H296" s="58"/>
      <c r="I296" s="58"/>
    </row>
    <row r="297" spans="2:9" ht="15.5">
      <c r="B297" s="253"/>
      <c r="C297" s="58"/>
      <c r="D297" s="58"/>
      <c r="E297" s="58"/>
      <c r="F297" s="58"/>
      <c r="G297" s="58"/>
      <c r="H297" s="58"/>
      <c r="I297" s="58"/>
    </row>
    <row r="298" spans="2:9" ht="15.5">
      <c r="B298" s="253"/>
      <c r="C298" s="58"/>
      <c r="D298" s="58"/>
      <c r="E298" s="58"/>
      <c r="F298" s="58"/>
      <c r="G298" s="58"/>
      <c r="H298" s="58"/>
      <c r="I298" s="58"/>
    </row>
    <row r="299" spans="2:9" ht="15.5">
      <c r="B299" s="253"/>
      <c r="C299" s="58"/>
      <c r="D299" s="58"/>
      <c r="E299" s="58"/>
      <c r="F299" s="58"/>
      <c r="G299" s="58"/>
      <c r="H299" s="58"/>
      <c r="I299" s="58"/>
    </row>
    <row r="300" spans="2:9" ht="15.5">
      <c r="B300" s="253"/>
      <c r="C300" s="58"/>
      <c r="D300" s="58"/>
      <c r="E300" s="58"/>
      <c r="F300" s="58"/>
      <c r="G300" s="58"/>
      <c r="H300" s="58"/>
      <c r="I300" s="58"/>
    </row>
    <row r="301" spans="2:9" ht="15.5">
      <c r="B301" s="253"/>
      <c r="C301" s="58"/>
      <c r="D301" s="58"/>
      <c r="E301" s="58"/>
      <c r="F301" s="58"/>
      <c r="G301" s="58"/>
      <c r="H301" s="58"/>
      <c r="I301" s="58"/>
    </row>
    <row r="302" spans="2:9" ht="15.5">
      <c r="B302" s="253"/>
      <c r="C302" s="58"/>
      <c r="D302" s="58"/>
      <c r="E302" s="58"/>
      <c r="F302" s="58"/>
      <c r="G302" s="58"/>
      <c r="H302" s="58"/>
      <c r="I302" s="58"/>
    </row>
    <row r="303" spans="2:9" ht="15.5">
      <c r="B303" s="253"/>
      <c r="C303" s="58"/>
      <c r="D303" s="58"/>
      <c r="E303" s="58"/>
      <c r="F303" s="58"/>
      <c r="G303" s="58"/>
      <c r="H303" s="58"/>
      <c r="I303" s="58"/>
    </row>
    <row r="304" spans="2:9" ht="15.5">
      <c r="B304" s="253"/>
      <c r="C304" s="58"/>
      <c r="D304" s="58"/>
      <c r="E304" s="58"/>
      <c r="F304" s="58"/>
      <c r="G304" s="58"/>
      <c r="H304" s="58"/>
      <c r="I304" s="58"/>
    </row>
    <row r="305" spans="2:9" ht="15.5">
      <c r="B305" s="253"/>
      <c r="C305" s="58"/>
      <c r="D305" s="58"/>
      <c r="E305" s="58"/>
      <c r="F305" s="58"/>
      <c r="G305" s="58"/>
      <c r="H305" s="58"/>
      <c r="I305" s="58"/>
    </row>
    <row r="306" spans="2:9" ht="15.5">
      <c r="B306" s="253"/>
      <c r="C306" s="58"/>
      <c r="D306" s="58"/>
      <c r="E306" s="58"/>
      <c r="F306" s="58"/>
      <c r="G306" s="58"/>
      <c r="H306" s="58"/>
      <c r="I306" s="58"/>
    </row>
    <row r="307" spans="2:9" ht="15.5">
      <c r="B307" s="253"/>
      <c r="C307" s="58"/>
      <c r="D307" s="58"/>
      <c r="E307" s="58"/>
      <c r="F307" s="58"/>
      <c r="G307" s="58"/>
      <c r="H307" s="58"/>
      <c r="I307" s="58"/>
    </row>
    <row r="308" spans="2:9" ht="15.5">
      <c r="B308" s="253"/>
      <c r="C308" s="58"/>
      <c r="D308" s="58"/>
      <c r="E308" s="58"/>
      <c r="F308" s="58"/>
      <c r="G308" s="58"/>
      <c r="H308" s="58"/>
      <c r="I308" s="58"/>
    </row>
    <row r="309" spans="2:9" ht="15.5">
      <c r="B309" s="253"/>
      <c r="C309" s="58"/>
      <c r="D309" s="58"/>
      <c r="E309" s="58"/>
      <c r="F309" s="58"/>
      <c r="G309" s="58"/>
      <c r="H309" s="58"/>
      <c r="I309" s="58"/>
    </row>
    <row r="310" spans="2:9" ht="15.5">
      <c r="B310" s="253"/>
      <c r="C310" s="58"/>
      <c r="D310" s="58"/>
      <c r="E310" s="58"/>
      <c r="F310" s="58"/>
      <c r="G310" s="58"/>
      <c r="H310" s="58"/>
      <c r="I310" s="58"/>
    </row>
    <row r="311" spans="2:9" ht="15.5">
      <c r="B311" s="253"/>
      <c r="C311" s="58"/>
      <c r="D311" s="58"/>
      <c r="E311" s="58"/>
      <c r="F311" s="58"/>
      <c r="G311" s="58"/>
      <c r="H311" s="58"/>
      <c r="I311" s="58"/>
    </row>
    <row r="312" spans="2:9" ht="15.5">
      <c r="B312" s="253"/>
      <c r="C312" s="58"/>
      <c r="D312" s="58"/>
      <c r="E312" s="58"/>
      <c r="F312" s="58"/>
      <c r="G312" s="58"/>
      <c r="H312" s="58"/>
      <c r="I312" s="58"/>
    </row>
    <row r="313" spans="2:9" ht="15.5">
      <c r="B313" s="253"/>
      <c r="C313" s="58"/>
      <c r="D313" s="58"/>
      <c r="E313" s="58"/>
      <c r="F313" s="58"/>
      <c r="G313" s="58"/>
      <c r="H313" s="58"/>
      <c r="I313" s="58"/>
    </row>
    <row r="314" spans="2:9" ht="15.5">
      <c r="B314" s="253"/>
      <c r="C314" s="58"/>
      <c r="D314" s="58"/>
      <c r="E314" s="58"/>
      <c r="F314" s="58"/>
      <c r="G314" s="58"/>
      <c r="H314" s="58"/>
      <c r="I314" s="58"/>
    </row>
    <row r="315" spans="2:9" ht="15.5">
      <c r="B315" s="253"/>
      <c r="C315" s="58"/>
      <c r="D315" s="58"/>
      <c r="E315" s="58"/>
      <c r="F315" s="58"/>
      <c r="G315" s="58"/>
      <c r="H315" s="58"/>
      <c r="I315" s="58"/>
    </row>
    <row r="316" spans="2:9" ht="15.5">
      <c r="B316" s="253"/>
      <c r="C316" s="58"/>
      <c r="D316" s="58"/>
      <c r="E316" s="58"/>
      <c r="F316" s="58"/>
      <c r="G316" s="58"/>
      <c r="H316" s="58"/>
      <c r="I316" s="58"/>
    </row>
    <row r="317" spans="2:9" ht="15.5">
      <c r="B317" s="253"/>
      <c r="C317" s="58"/>
      <c r="D317" s="58"/>
      <c r="E317" s="58"/>
      <c r="F317" s="58"/>
      <c r="G317" s="58"/>
      <c r="H317" s="58"/>
      <c r="I317" s="58"/>
    </row>
    <row r="318" spans="2:9" ht="15.5">
      <c r="B318" s="253"/>
      <c r="C318" s="58"/>
      <c r="D318" s="58"/>
      <c r="E318" s="58"/>
      <c r="F318" s="58"/>
      <c r="G318" s="58"/>
      <c r="H318" s="58"/>
      <c r="I318" s="58"/>
    </row>
    <row r="319" spans="2:9" ht="15.5">
      <c r="B319" s="253"/>
      <c r="C319" s="58"/>
      <c r="D319" s="58"/>
      <c r="E319" s="58"/>
      <c r="F319" s="58"/>
      <c r="G319" s="58"/>
      <c r="H319" s="58"/>
      <c r="I319" s="58"/>
    </row>
    <row r="320" spans="2:9" ht="15.5">
      <c r="B320" s="253"/>
      <c r="C320" s="58"/>
      <c r="D320" s="58"/>
      <c r="E320" s="58"/>
      <c r="F320" s="58"/>
      <c r="G320" s="58"/>
      <c r="H320" s="58"/>
      <c r="I320" s="58"/>
    </row>
    <row r="321" spans="2:9" ht="15.5">
      <c r="B321" s="253"/>
      <c r="C321" s="58"/>
      <c r="D321" s="58"/>
      <c r="E321" s="58"/>
      <c r="F321" s="58"/>
      <c r="G321" s="58"/>
      <c r="H321" s="58"/>
      <c r="I321" s="58"/>
    </row>
    <row r="322" spans="2:9" ht="15.5">
      <c r="B322" s="253"/>
      <c r="C322" s="58"/>
      <c r="D322" s="58"/>
      <c r="E322" s="58"/>
      <c r="F322" s="58"/>
      <c r="G322" s="58"/>
      <c r="H322" s="58"/>
      <c r="I322" s="58"/>
    </row>
    <row r="323" spans="2:9" ht="15.5">
      <c r="B323" s="253"/>
      <c r="C323" s="58"/>
      <c r="D323" s="58"/>
      <c r="E323" s="58"/>
      <c r="F323" s="58"/>
      <c r="G323" s="58"/>
      <c r="H323" s="58"/>
      <c r="I323" s="58"/>
    </row>
    <row r="324" spans="2:9" ht="15.5">
      <c r="B324" s="253"/>
      <c r="C324" s="58"/>
      <c r="D324" s="58"/>
      <c r="E324" s="58"/>
      <c r="F324" s="58"/>
      <c r="G324" s="58"/>
      <c r="H324" s="58"/>
      <c r="I324" s="58"/>
    </row>
    <row r="325" spans="2:9" ht="15.5">
      <c r="B325" s="253"/>
      <c r="C325" s="58"/>
      <c r="D325" s="58"/>
      <c r="E325" s="58"/>
      <c r="F325" s="58"/>
      <c r="G325" s="58"/>
      <c r="H325" s="58"/>
      <c r="I325" s="58"/>
    </row>
    <row r="326" spans="2:9" ht="15.5">
      <c r="B326" s="253"/>
      <c r="C326" s="58"/>
      <c r="D326" s="58"/>
      <c r="E326" s="58"/>
      <c r="F326" s="58"/>
      <c r="G326" s="58"/>
      <c r="H326" s="58"/>
      <c r="I326" s="58"/>
    </row>
    <row r="327" spans="2:9" ht="15.5">
      <c r="B327" s="253"/>
      <c r="C327" s="58"/>
      <c r="D327" s="58"/>
      <c r="E327" s="58"/>
      <c r="F327" s="58"/>
      <c r="G327" s="58"/>
      <c r="H327" s="58"/>
      <c r="I327" s="58"/>
    </row>
    <row r="328" spans="2:9" ht="15.5">
      <c r="B328" s="253"/>
      <c r="C328" s="58"/>
      <c r="D328" s="58"/>
      <c r="E328" s="58"/>
      <c r="F328" s="58"/>
      <c r="G328" s="58"/>
      <c r="H328" s="58"/>
      <c r="I328" s="58"/>
    </row>
    <row r="329" spans="2:9" ht="15.5">
      <c r="B329" s="253"/>
      <c r="C329" s="58"/>
      <c r="D329" s="58"/>
      <c r="E329" s="58"/>
      <c r="F329" s="58"/>
      <c r="G329" s="58"/>
      <c r="H329" s="58"/>
      <c r="I329" s="58"/>
    </row>
    <row r="330" spans="2:9" ht="15.5">
      <c r="B330" s="253"/>
      <c r="C330" s="58"/>
      <c r="D330" s="58"/>
      <c r="E330" s="58"/>
      <c r="F330" s="58"/>
      <c r="G330" s="58"/>
      <c r="H330" s="58"/>
      <c r="I330" s="58"/>
    </row>
    <row r="331" spans="2:9" ht="15.5">
      <c r="B331" s="253"/>
      <c r="C331" s="58"/>
      <c r="D331" s="58"/>
      <c r="E331" s="58"/>
      <c r="F331" s="58"/>
      <c r="G331" s="58"/>
      <c r="H331" s="58"/>
      <c r="I331" s="58"/>
    </row>
    <row r="332" spans="2:9" ht="15.5">
      <c r="B332" s="253"/>
      <c r="C332" s="58"/>
      <c r="D332" s="58"/>
      <c r="E332" s="58"/>
      <c r="F332" s="58"/>
      <c r="G332" s="58"/>
      <c r="H332" s="58"/>
      <c r="I332" s="58"/>
    </row>
    <row r="333" spans="2:9" ht="15.5">
      <c r="B333" s="253"/>
      <c r="C333" s="58"/>
      <c r="D333" s="58"/>
      <c r="E333" s="58"/>
      <c r="F333" s="58"/>
      <c r="G333" s="58"/>
      <c r="H333" s="58"/>
      <c r="I333" s="58"/>
    </row>
    <row r="334" spans="2:9" ht="15.5">
      <c r="B334" s="253"/>
      <c r="C334" s="58"/>
      <c r="D334" s="58"/>
      <c r="E334" s="58"/>
      <c r="F334" s="58"/>
      <c r="G334" s="58"/>
      <c r="H334" s="58"/>
      <c r="I334" s="58"/>
    </row>
    <row r="335" spans="2:9" ht="15.5">
      <c r="B335" s="253"/>
      <c r="C335" s="58"/>
      <c r="D335" s="58"/>
      <c r="E335" s="58"/>
      <c r="F335" s="58"/>
      <c r="G335" s="58"/>
      <c r="H335" s="58"/>
      <c r="I335" s="58"/>
    </row>
    <row r="336" spans="2:9" ht="15.5">
      <c r="B336" s="253"/>
      <c r="C336" s="58"/>
      <c r="D336" s="58"/>
      <c r="E336" s="58"/>
      <c r="F336" s="58"/>
      <c r="G336" s="58"/>
      <c r="H336" s="58"/>
      <c r="I336" s="58"/>
    </row>
    <row r="337" spans="2:9" ht="15.5">
      <c r="B337" s="253"/>
      <c r="C337" s="58"/>
      <c r="D337" s="58"/>
      <c r="E337" s="58"/>
      <c r="F337" s="58"/>
      <c r="G337" s="58"/>
      <c r="H337" s="58"/>
      <c r="I337" s="58"/>
    </row>
    <row r="338" spans="2:9" ht="15.5">
      <c r="B338" s="253"/>
      <c r="C338" s="58"/>
      <c r="D338" s="58"/>
      <c r="E338" s="58"/>
      <c r="F338" s="58"/>
      <c r="G338" s="58"/>
      <c r="H338" s="58"/>
      <c r="I338" s="58"/>
    </row>
    <row r="339" spans="2:9" ht="15.5">
      <c r="B339" s="253"/>
      <c r="C339" s="58"/>
      <c r="D339" s="58"/>
      <c r="E339" s="58"/>
      <c r="F339" s="58"/>
      <c r="G339" s="58"/>
      <c r="H339" s="58"/>
      <c r="I339" s="58"/>
    </row>
    <row r="340" spans="2:9" ht="15.5">
      <c r="B340" s="253"/>
      <c r="C340" s="58"/>
      <c r="D340" s="58"/>
      <c r="E340" s="58"/>
      <c r="F340" s="58"/>
      <c r="G340" s="58"/>
      <c r="H340" s="58"/>
      <c r="I340" s="58"/>
    </row>
    <row r="341" spans="2:9" ht="15.5">
      <c r="B341" s="253"/>
      <c r="C341" s="58"/>
      <c r="D341" s="58"/>
      <c r="E341" s="58"/>
      <c r="F341" s="58"/>
      <c r="G341" s="58"/>
      <c r="H341" s="58"/>
      <c r="I341" s="58"/>
    </row>
    <row r="342" spans="2:9" ht="15.5">
      <c r="B342" s="253"/>
      <c r="C342" s="58"/>
      <c r="D342" s="58"/>
      <c r="E342" s="58"/>
      <c r="F342" s="58"/>
      <c r="G342" s="58"/>
      <c r="H342" s="58"/>
      <c r="I342" s="58"/>
    </row>
    <row r="343" spans="2:9" ht="15.5">
      <c r="B343" s="253"/>
      <c r="C343" s="58"/>
      <c r="D343" s="58"/>
      <c r="E343" s="58"/>
      <c r="F343" s="58"/>
      <c r="G343" s="58"/>
      <c r="H343" s="58"/>
      <c r="I343" s="58"/>
    </row>
    <row r="344" spans="2:9" ht="15.5">
      <c r="B344" s="253"/>
      <c r="C344" s="58"/>
      <c r="D344" s="58"/>
      <c r="E344" s="58"/>
      <c r="F344" s="58"/>
      <c r="G344" s="58"/>
      <c r="H344" s="58"/>
      <c r="I344" s="58"/>
    </row>
    <row r="345" spans="2:9" ht="15.5">
      <c r="B345" s="253"/>
      <c r="C345" s="58"/>
      <c r="D345" s="58"/>
      <c r="E345" s="58"/>
      <c r="F345" s="58"/>
      <c r="G345" s="58"/>
      <c r="H345" s="58"/>
      <c r="I345" s="58"/>
    </row>
    <row r="346" spans="2:9" ht="15.5">
      <c r="B346" s="253"/>
      <c r="C346" s="58"/>
      <c r="D346" s="58"/>
      <c r="E346" s="58"/>
      <c r="F346" s="58"/>
      <c r="G346" s="58"/>
      <c r="H346" s="58"/>
      <c r="I346" s="58"/>
    </row>
    <row r="347" spans="2:9" ht="15.5">
      <c r="B347" s="253"/>
      <c r="C347" s="58"/>
      <c r="D347" s="58"/>
      <c r="E347" s="58"/>
      <c r="F347" s="58"/>
      <c r="G347" s="58"/>
      <c r="H347" s="58"/>
      <c r="I347" s="58"/>
    </row>
    <row r="348" spans="2:9" ht="15.5">
      <c r="B348" s="253"/>
      <c r="C348" s="58"/>
      <c r="D348" s="58"/>
      <c r="E348" s="58"/>
      <c r="F348" s="58"/>
      <c r="G348" s="58"/>
      <c r="H348" s="58"/>
      <c r="I348" s="58"/>
    </row>
    <row r="349" spans="2:9" ht="15.5">
      <c r="B349" s="253"/>
      <c r="C349" s="58"/>
      <c r="D349" s="58"/>
      <c r="E349" s="58"/>
      <c r="F349" s="58"/>
      <c r="G349" s="58"/>
      <c r="H349" s="58"/>
      <c r="I349" s="58"/>
    </row>
    <row r="350" spans="2:9" ht="15.5">
      <c r="B350" s="253"/>
      <c r="C350" s="58"/>
      <c r="D350" s="58"/>
      <c r="E350" s="58"/>
      <c r="F350" s="58"/>
      <c r="G350" s="58"/>
      <c r="H350" s="58"/>
      <c r="I350" s="58"/>
    </row>
    <row r="351" spans="2:9" ht="15.5">
      <c r="B351" s="253"/>
      <c r="C351" s="58"/>
      <c r="D351" s="58"/>
      <c r="E351" s="58"/>
      <c r="F351" s="58"/>
      <c r="G351" s="58"/>
      <c r="H351" s="58"/>
      <c r="I351" s="58"/>
    </row>
    <row r="352" spans="2:9" ht="15.5">
      <c r="B352" s="253"/>
      <c r="C352" s="58"/>
      <c r="D352" s="58"/>
      <c r="E352" s="58"/>
      <c r="F352" s="58"/>
      <c r="G352" s="58"/>
      <c r="H352" s="58"/>
      <c r="I352" s="58"/>
    </row>
    <row r="353" spans="2:9" ht="15.5">
      <c r="B353" s="253"/>
      <c r="C353" s="58"/>
      <c r="D353" s="58"/>
      <c r="E353" s="58"/>
      <c r="F353" s="58"/>
      <c r="G353" s="58"/>
      <c r="H353" s="58"/>
      <c r="I353" s="58"/>
    </row>
    <row r="354" spans="2:9" ht="15.5">
      <c r="B354" s="253"/>
      <c r="C354" s="58"/>
      <c r="D354" s="58"/>
      <c r="E354" s="58"/>
      <c r="F354" s="58"/>
      <c r="G354" s="58"/>
      <c r="H354" s="58"/>
      <c r="I354" s="58"/>
    </row>
    <row r="355" spans="2:9" ht="15.5">
      <c r="B355" s="253"/>
      <c r="C355" s="58"/>
      <c r="D355" s="58"/>
      <c r="E355" s="58"/>
      <c r="F355" s="58"/>
      <c r="G355" s="58"/>
      <c r="H355" s="58"/>
      <c r="I355" s="58"/>
    </row>
    <row r="356" spans="2:9" ht="15.5">
      <c r="B356" s="253"/>
      <c r="C356" s="58"/>
      <c r="D356" s="58"/>
      <c r="E356" s="58"/>
      <c r="F356" s="58"/>
      <c r="G356" s="58"/>
      <c r="H356" s="58"/>
      <c r="I356" s="58"/>
    </row>
    <row r="357" spans="2:9" ht="15.5">
      <c r="B357" s="253"/>
      <c r="C357" s="58"/>
      <c r="D357" s="58"/>
      <c r="E357" s="58"/>
      <c r="F357" s="58"/>
      <c r="G357" s="58"/>
      <c r="H357" s="58"/>
      <c r="I357" s="58"/>
    </row>
    <row r="358" spans="2:9" ht="15.5">
      <c r="B358" s="253"/>
      <c r="C358" s="58"/>
      <c r="D358" s="58"/>
      <c r="E358" s="58"/>
      <c r="F358" s="58"/>
      <c r="G358" s="58"/>
      <c r="H358" s="58"/>
      <c r="I358" s="58"/>
    </row>
    <row r="359" spans="2:9" ht="15.5">
      <c r="B359" s="253"/>
      <c r="C359" s="58"/>
      <c r="D359" s="58"/>
      <c r="E359" s="58"/>
      <c r="F359" s="58"/>
      <c r="G359" s="58"/>
      <c r="H359" s="58"/>
      <c r="I359" s="58"/>
    </row>
    <row r="360" spans="2:9" ht="15.5">
      <c r="B360" s="253"/>
      <c r="C360" s="58"/>
      <c r="D360" s="58"/>
      <c r="E360" s="58"/>
      <c r="F360" s="58"/>
      <c r="G360" s="58"/>
      <c r="H360" s="58"/>
      <c r="I360" s="58"/>
    </row>
    <row r="361" spans="2:9" ht="15.5">
      <c r="B361" s="253"/>
      <c r="C361" s="58"/>
      <c r="D361" s="58"/>
      <c r="E361" s="58"/>
      <c r="F361" s="58"/>
      <c r="G361" s="58"/>
      <c r="H361" s="58"/>
      <c r="I361" s="58"/>
    </row>
    <row r="362" spans="2:9" ht="15.5">
      <c r="B362" s="253"/>
      <c r="C362" s="58"/>
      <c r="D362" s="58"/>
      <c r="E362" s="58"/>
      <c r="F362" s="58"/>
      <c r="G362" s="58"/>
      <c r="H362" s="58"/>
      <c r="I362" s="58"/>
    </row>
    <row r="363" spans="2:9" ht="15.5">
      <c r="B363" s="253"/>
      <c r="C363" s="58"/>
      <c r="D363" s="58"/>
      <c r="E363" s="58"/>
      <c r="F363" s="58"/>
      <c r="G363" s="58"/>
      <c r="H363" s="58"/>
      <c r="I363" s="58"/>
    </row>
    <row r="364" spans="2:9" ht="15.5">
      <c r="B364" s="253"/>
      <c r="C364" s="58"/>
      <c r="D364" s="58"/>
      <c r="E364" s="58"/>
      <c r="F364" s="58"/>
      <c r="G364" s="58"/>
      <c r="H364" s="58"/>
      <c r="I364" s="58"/>
    </row>
    <row r="365" spans="2:9" ht="15.5">
      <c r="B365" s="253"/>
      <c r="C365" s="58"/>
      <c r="D365" s="58"/>
      <c r="E365" s="58"/>
      <c r="F365" s="58"/>
      <c r="G365" s="58"/>
      <c r="H365" s="58"/>
      <c r="I365" s="58"/>
    </row>
    <row r="366" spans="2:9" ht="15.5">
      <c r="B366" s="253"/>
      <c r="C366" s="58"/>
      <c r="D366" s="58"/>
      <c r="E366" s="58"/>
      <c r="F366" s="58"/>
      <c r="G366" s="58"/>
      <c r="H366" s="58"/>
      <c r="I366" s="58"/>
    </row>
    <row r="367" spans="2:9" ht="15.5">
      <c r="B367" s="253"/>
      <c r="C367" s="58"/>
      <c r="D367" s="58"/>
      <c r="E367" s="58"/>
      <c r="F367" s="58"/>
      <c r="G367" s="58"/>
      <c r="H367" s="58"/>
      <c r="I367" s="58"/>
    </row>
    <row r="368" spans="2:9" ht="15.5">
      <c r="B368" s="253"/>
      <c r="C368" s="58"/>
      <c r="D368" s="58"/>
      <c r="E368" s="58"/>
      <c r="F368" s="58"/>
      <c r="G368" s="58"/>
      <c r="H368" s="58"/>
      <c r="I368" s="58"/>
    </row>
    <row r="369" spans="2:9" ht="15.5">
      <c r="B369" s="253"/>
      <c r="C369" s="58"/>
      <c r="D369" s="58"/>
      <c r="E369" s="58"/>
      <c r="F369" s="58"/>
      <c r="G369" s="58"/>
      <c r="H369" s="58"/>
      <c r="I369" s="58"/>
    </row>
    <row r="370" spans="2:9" ht="15.5">
      <c r="B370" s="253"/>
      <c r="C370" s="58"/>
      <c r="D370" s="58"/>
      <c r="E370" s="58"/>
      <c r="F370" s="58"/>
      <c r="G370" s="58"/>
      <c r="H370" s="58"/>
      <c r="I370" s="58"/>
    </row>
    <row r="371" spans="2:9" ht="15.5">
      <c r="B371" s="253"/>
      <c r="C371" s="58"/>
      <c r="D371" s="58"/>
      <c r="E371" s="58"/>
      <c r="F371" s="58"/>
      <c r="G371" s="58"/>
      <c r="H371" s="58"/>
      <c r="I371" s="58"/>
    </row>
    <row r="372" spans="2:9" ht="15.5">
      <c r="B372" s="253"/>
      <c r="C372" s="58"/>
      <c r="D372" s="58"/>
      <c r="E372" s="58"/>
      <c r="F372" s="58"/>
      <c r="G372" s="58"/>
      <c r="H372" s="58"/>
      <c r="I372" s="58"/>
    </row>
    <row r="373" spans="2:9" ht="15.5">
      <c r="B373" s="253"/>
      <c r="C373" s="58"/>
      <c r="D373" s="58"/>
      <c r="E373" s="58"/>
      <c r="F373" s="58"/>
      <c r="G373" s="58"/>
      <c r="H373" s="58"/>
      <c r="I373" s="58"/>
    </row>
    <row r="374" spans="2:9" ht="15.5">
      <c r="B374" s="253"/>
      <c r="C374" s="58"/>
      <c r="D374" s="58"/>
      <c r="E374" s="58"/>
      <c r="F374" s="58"/>
      <c r="G374" s="58"/>
      <c r="H374" s="58"/>
      <c r="I374" s="58"/>
    </row>
    <row r="375" spans="2:9" ht="15.5">
      <c r="B375" s="253"/>
      <c r="C375" s="58"/>
      <c r="D375" s="58"/>
      <c r="E375" s="58"/>
      <c r="F375" s="58"/>
      <c r="G375" s="58"/>
      <c r="H375" s="58"/>
      <c r="I375" s="58"/>
    </row>
    <row r="376" spans="2:9" ht="15.5">
      <c r="B376" s="253"/>
      <c r="C376" s="58"/>
      <c r="D376" s="58"/>
      <c r="E376" s="58"/>
      <c r="F376" s="58"/>
      <c r="G376" s="58"/>
      <c r="H376" s="58"/>
      <c r="I376" s="58"/>
    </row>
    <row r="377" spans="2:9" ht="15.5">
      <c r="B377" s="253"/>
      <c r="C377" s="58"/>
      <c r="D377" s="58"/>
      <c r="E377" s="58"/>
      <c r="F377" s="58"/>
      <c r="G377" s="58"/>
      <c r="H377" s="58"/>
      <c r="I377" s="58"/>
    </row>
    <row r="378" spans="2:9" ht="15.5">
      <c r="B378" s="253"/>
      <c r="C378" s="58"/>
      <c r="D378" s="58"/>
      <c r="E378" s="58"/>
      <c r="F378" s="58"/>
      <c r="G378" s="58"/>
      <c r="H378" s="58"/>
      <c r="I378" s="58"/>
    </row>
    <row r="379" spans="2:9" ht="15.5">
      <c r="B379" s="253"/>
      <c r="C379" s="58"/>
      <c r="D379" s="58"/>
      <c r="E379" s="58"/>
      <c r="F379" s="58"/>
      <c r="G379" s="58"/>
      <c r="H379" s="58"/>
      <c r="I379" s="58"/>
    </row>
    <row r="380" spans="2:9" ht="15.5">
      <c r="B380" s="253"/>
      <c r="C380" s="58"/>
      <c r="D380" s="58"/>
      <c r="E380" s="58"/>
      <c r="F380" s="58"/>
      <c r="G380" s="58"/>
      <c r="H380" s="58"/>
      <c r="I380" s="58"/>
    </row>
    <row r="381" spans="2:9" ht="15.5">
      <c r="B381" s="253"/>
      <c r="C381" s="58"/>
      <c r="D381" s="58"/>
      <c r="E381" s="58"/>
      <c r="F381" s="58"/>
      <c r="G381" s="58"/>
      <c r="H381" s="58"/>
      <c r="I381" s="58"/>
    </row>
    <row r="382" spans="2:9" ht="15.5">
      <c r="B382" s="253"/>
      <c r="C382" s="58"/>
      <c r="D382" s="58"/>
      <c r="E382" s="58"/>
      <c r="F382" s="58"/>
      <c r="G382" s="58"/>
      <c r="H382" s="58"/>
      <c r="I382" s="58"/>
    </row>
    <row r="383" spans="2:9" ht="15.5">
      <c r="B383" s="253"/>
      <c r="C383" s="58"/>
      <c r="D383" s="58"/>
      <c r="E383" s="58"/>
      <c r="F383" s="58"/>
      <c r="G383" s="58"/>
      <c r="H383" s="58"/>
      <c r="I383" s="58"/>
    </row>
    <row r="384" spans="2:9" ht="15.5">
      <c r="B384" s="253"/>
      <c r="C384" s="58"/>
      <c r="D384" s="58"/>
      <c r="E384" s="58"/>
      <c r="F384" s="58"/>
      <c r="G384" s="58"/>
      <c r="H384" s="58"/>
      <c r="I384" s="58"/>
    </row>
    <row r="385" spans="2:9" ht="15.5">
      <c r="B385" s="253"/>
      <c r="C385" s="58"/>
      <c r="D385" s="58"/>
      <c r="E385" s="58"/>
      <c r="F385" s="58"/>
      <c r="G385" s="58"/>
      <c r="H385" s="58"/>
      <c r="I385" s="58"/>
    </row>
    <row r="386" spans="2:9" ht="15.5">
      <c r="B386" s="253"/>
      <c r="C386" s="58"/>
      <c r="D386" s="58"/>
      <c r="E386" s="58"/>
      <c r="F386" s="58"/>
      <c r="G386" s="58"/>
      <c r="H386" s="58"/>
      <c r="I386" s="58"/>
    </row>
    <row r="387" spans="2:9" ht="15.5">
      <c r="B387" s="253"/>
      <c r="C387" s="58"/>
      <c r="D387" s="58"/>
      <c r="E387" s="58"/>
      <c r="F387" s="58"/>
      <c r="G387" s="58"/>
      <c r="H387" s="58"/>
      <c r="I387" s="58"/>
    </row>
    <row r="388" spans="2:9" ht="15.5">
      <c r="B388" s="253"/>
      <c r="C388" s="58"/>
      <c r="D388" s="58"/>
      <c r="E388" s="58"/>
      <c r="F388" s="58"/>
      <c r="G388" s="58"/>
      <c r="H388" s="58"/>
      <c r="I388" s="58"/>
    </row>
    <row r="389" spans="2:9" ht="15.5">
      <c r="B389" s="253"/>
      <c r="C389" s="58"/>
      <c r="D389" s="58"/>
      <c r="E389" s="58"/>
      <c r="F389" s="58"/>
      <c r="G389" s="58"/>
      <c r="H389" s="58"/>
      <c r="I389" s="58"/>
    </row>
    <row r="390" spans="2:9" ht="15.5">
      <c r="B390" s="253"/>
      <c r="C390" s="58"/>
      <c r="D390" s="58"/>
      <c r="E390" s="58"/>
      <c r="F390" s="58"/>
      <c r="G390" s="58"/>
      <c r="H390" s="58"/>
      <c r="I390" s="58"/>
    </row>
    <row r="391" spans="2:9" ht="15.5">
      <c r="B391" s="253"/>
      <c r="C391" s="58"/>
      <c r="D391" s="58"/>
      <c r="E391" s="58"/>
      <c r="F391" s="58"/>
      <c r="G391" s="58"/>
      <c r="H391" s="58"/>
      <c r="I391" s="58"/>
    </row>
    <row r="392" spans="2:9" ht="15.5">
      <c r="B392" s="253"/>
      <c r="C392" s="58"/>
      <c r="D392" s="58"/>
      <c r="E392" s="58"/>
      <c r="F392" s="58"/>
      <c r="G392" s="58"/>
      <c r="H392" s="58"/>
      <c r="I392" s="58"/>
    </row>
    <row r="393" spans="2:9" ht="15.5">
      <c r="B393" s="253"/>
      <c r="C393" s="58"/>
      <c r="D393" s="58"/>
      <c r="E393" s="58"/>
      <c r="F393" s="58"/>
      <c r="G393" s="58"/>
      <c r="H393" s="58"/>
      <c r="I393" s="58"/>
    </row>
    <row r="394" spans="2:9" ht="15.5">
      <c r="B394" s="253"/>
      <c r="C394" s="58"/>
      <c r="D394" s="58"/>
      <c r="E394" s="58"/>
      <c r="F394" s="58"/>
      <c r="G394" s="58"/>
      <c r="H394" s="58"/>
      <c r="I394" s="58"/>
    </row>
    <row r="395" spans="2:9" ht="15.5">
      <c r="B395" s="253"/>
      <c r="C395" s="58"/>
      <c r="D395" s="58"/>
      <c r="E395" s="58"/>
      <c r="F395" s="58"/>
      <c r="G395" s="58"/>
      <c r="H395" s="58"/>
      <c r="I395" s="58"/>
    </row>
    <row r="396" spans="2:9" ht="15.5">
      <c r="B396" s="253"/>
      <c r="C396" s="58"/>
      <c r="D396" s="58"/>
      <c r="E396" s="58"/>
      <c r="F396" s="58"/>
      <c r="G396" s="58"/>
      <c r="H396" s="58"/>
      <c r="I396" s="58"/>
    </row>
    <row r="397" spans="2:9" ht="15.5">
      <c r="B397" s="253"/>
      <c r="C397" s="58"/>
      <c r="D397" s="58"/>
      <c r="E397" s="58"/>
      <c r="F397" s="58"/>
      <c r="G397" s="58"/>
      <c r="H397" s="58"/>
      <c r="I397" s="58"/>
    </row>
    <row r="398" spans="2:9" ht="15.5">
      <c r="B398" s="253"/>
      <c r="C398" s="58"/>
      <c r="D398" s="58"/>
      <c r="E398" s="58"/>
      <c r="F398" s="58"/>
      <c r="G398" s="58"/>
      <c r="H398" s="58"/>
      <c r="I398" s="58"/>
    </row>
    <row r="399" spans="2:9" ht="15.5">
      <c r="B399" s="253"/>
      <c r="C399" s="58"/>
      <c r="D399" s="58"/>
      <c r="E399" s="58"/>
      <c r="F399" s="58"/>
      <c r="G399" s="58"/>
      <c r="H399" s="58"/>
      <c r="I399" s="58"/>
    </row>
    <row r="400" spans="2:9" ht="15.5">
      <c r="B400" s="253"/>
      <c r="C400" s="58"/>
      <c r="D400" s="58"/>
      <c r="E400" s="58"/>
      <c r="F400" s="58"/>
      <c r="G400" s="58"/>
      <c r="H400" s="58"/>
      <c r="I400" s="58"/>
    </row>
    <row r="401" spans="2:9" ht="15.5">
      <c r="B401" s="253"/>
      <c r="C401" s="58"/>
      <c r="D401" s="58"/>
      <c r="E401" s="58"/>
      <c r="F401" s="58"/>
      <c r="G401" s="58"/>
      <c r="H401" s="58"/>
      <c r="I401" s="58"/>
    </row>
    <row r="402" spans="2:9" ht="15.5">
      <c r="B402" s="253"/>
      <c r="C402" s="58"/>
      <c r="D402" s="58"/>
      <c r="E402" s="58"/>
      <c r="F402" s="58"/>
      <c r="G402" s="58"/>
      <c r="H402" s="58"/>
      <c r="I402" s="58"/>
    </row>
    <row r="403" spans="2:9" ht="15.5">
      <c r="B403" s="253"/>
      <c r="C403" s="58"/>
      <c r="D403" s="58"/>
      <c r="E403" s="58"/>
      <c r="F403" s="58"/>
      <c r="G403" s="58"/>
      <c r="H403" s="58"/>
      <c r="I403" s="58"/>
    </row>
    <row r="404" spans="2:9" ht="15.5">
      <c r="B404" s="253"/>
      <c r="C404" s="58"/>
      <c r="D404" s="58"/>
      <c r="E404" s="58"/>
      <c r="F404" s="58"/>
      <c r="G404" s="58"/>
      <c r="H404" s="58"/>
      <c r="I404" s="58"/>
    </row>
    <row r="405" spans="2:9" ht="15.5">
      <c r="B405" s="253"/>
      <c r="C405" s="58"/>
      <c r="D405" s="58"/>
      <c r="E405" s="58"/>
      <c r="F405" s="58"/>
      <c r="G405" s="58"/>
      <c r="H405" s="58"/>
      <c r="I405" s="58"/>
    </row>
    <row r="406" spans="2:9" ht="15.5">
      <c r="B406" s="253"/>
      <c r="C406" s="58"/>
      <c r="D406" s="58"/>
      <c r="E406" s="58"/>
      <c r="F406" s="58"/>
      <c r="G406" s="58"/>
      <c r="H406" s="58"/>
      <c r="I406" s="58"/>
    </row>
    <row r="407" spans="2:9" ht="15.5">
      <c r="B407" s="253"/>
      <c r="C407" s="58"/>
      <c r="D407" s="58"/>
      <c r="E407" s="58"/>
      <c r="F407" s="58"/>
      <c r="G407" s="58"/>
      <c r="H407" s="58"/>
      <c r="I407" s="58"/>
    </row>
    <row r="408" spans="2:9" ht="15.5">
      <c r="B408" s="253"/>
      <c r="C408" s="58"/>
      <c r="D408" s="58"/>
      <c r="E408" s="58"/>
      <c r="F408" s="58"/>
      <c r="G408" s="58"/>
      <c r="H408" s="58"/>
      <c r="I408" s="58"/>
    </row>
    <row r="409" spans="2:9" ht="15.5">
      <c r="B409" s="253"/>
      <c r="C409" s="58"/>
      <c r="D409" s="58"/>
      <c r="E409" s="58"/>
      <c r="F409" s="58"/>
      <c r="G409" s="58"/>
      <c r="H409" s="58"/>
      <c r="I409" s="58"/>
    </row>
    <row r="410" spans="2:9" ht="15.5">
      <c r="B410" s="253"/>
      <c r="C410" s="58"/>
      <c r="D410" s="58"/>
      <c r="E410" s="58"/>
      <c r="F410" s="58"/>
      <c r="G410" s="58"/>
      <c r="H410" s="58"/>
      <c r="I410" s="58"/>
    </row>
    <row r="411" spans="2:9" ht="15.5">
      <c r="B411" s="253"/>
      <c r="C411" s="58"/>
      <c r="D411" s="58"/>
      <c r="E411" s="58"/>
      <c r="F411" s="58"/>
      <c r="G411" s="58"/>
      <c r="H411" s="58"/>
      <c r="I411" s="58"/>
    </row>
    <row r="412" spans="2:9" ht="15.5">
      <c r="B412" s="253"/>
      <c r="C412" s="58"/>
      <c r="D412" s="58"/>
      <c r="E412" s="58"/>
      <c r="F412" s="58"/>
      <c r="G412" s="58"/>
      <c r="H412" s="58"/>
      <c r="I412" s="58"/>
    </row>
    <row r="413" spans="2:9" ht="15.5">
      <c r="B413" s="253"/>
      <c r="C413" s="58"/>
      <c r="D413" s="58"/>
      <c r="E413" s="58"/>
      <c r="F413" s="58"/>
      <c r="G413" s="58"/>
      <c r="H413" s="58"/>
      <c r="I413" s="58"/>
    </row>
    <row r="414" spans="2:9" ht="15.5">
      <c r="B414" s="253"/>
      <c r="C414" s="58"/>
      <c r="D414" s="58"/>
      <c r="E414" s="58"/>
      <c r="F414" s="58"/>
      <c r="G414" s="58"/>
      <c r="H414" s="58"/>
      <c r="I414" s="58"/>
    </row>
    <row r="415" spans="2:9" ht="15.5">
      <c r="B415" s="253"/>
      <c r="C415" s="58"/>
      <c r="D415" s="58"/>
      <c r="E415" s="58"/>
      <c r="F415" s="58"/>
      <c r="G415" s="58"/>
      <c r="H415" s="58"/>
      <c r="I415" s="58"/>
    </row>
    <row r="416" spans="2:9" ht="15.5">
      <c r="B416" s="253"/>
      <c r="C416" s="58"/>
      <c r="D416" s="58"/>
      <c r="E416" s="58"/>
      <c r="F416" s="58"/>
      <c r="G416" s="58"/>
      <c r="H416" s="58"/>
      <c r="I416" s="58"/>
    </row>
    <row r="417" spans="2:9" ht="15.5">
      <c r="B417" s="253"/>
      <c r="C417" s="58"/>
      <c r="D417" s="58"/>
      <c r="E417" s="58"/>
      <c r="F417" s="58"/>
      <c r="G417" s="58"/>
      <c r="H417" s="58"/>
      <c r="I417" s="58"/>
    </row>
    <row r="418" spans="2:9" ht="15.5">
      <c r="B418" s="253"/>
      <c r="C418" s="58"/>
      <c r="D418" s="58"/>
      <c r="E418" s="58"/>
      <c r="F418" s="58"/>
      <c r="G418" s="58"/>
      <c r="H418" s="58"/>
      <c r="I418" s="58"/>
    </row>
    <row r="419" spans="2:9" ht="15.5">
      <c r="B419" s="253"/>
      <c r="C419" s="58"/>
      <c r="D419" s="58"/>
      <c r="E419" s="58"/>
      <c r="F419" s="58"/>
      <c r="G419" s="58"/>
      <c r="H419" s="58"/>
      <c r="I419" s="58"/>
    </row>
    <row r="420" spans="2:9" ht="15.5">
      <c r="B420" s="253"/>
      <c r="C420" s="58"/>
      <c r="D420" s="58"/>
      <c r="E420" s="58"/>
      <c r="F420" s="58"/>
      <c r="G420" s="58"/>
      <c r="H420" s="58"/>
      <c r="I420" s="58"/>
    </row>
    <row r="421" spans="2:9" ht="15.5">
      <c r="B421" s="253"/>
      <c r="C421" s="58"/>
      <c r="D421" s="58"/>
      <c r="E421" s="58"/>
      <c r="F421" s="58"/>
      <c r="G421" s="58"/>
      <c r="H421" s="58"/>
      <c r="I421" s="58"/>
    </row>
    <row r="422" spans="2:9" ht="15.5">
      <c r="B422" s="253"/>
      <c r="C422" s="58"/>
      <c r="D422" s="58"/>
      <c r="E422" s="58"/>
      <c r="F422" s="58"/>
      <c r="G422" s="58"/>
      <c r="H422" s="58"/>
      <c r="I422" s="58"/>
    </row>
    <row r="423" spans="2:9" ht="15.5">
      <c r="B423" s="253"/>
      <c r="C423" s="58"/>
      <c r="D423" s="58"/>
      <c r="E423" s="58"/>
      <c r="F423" s="58"/>
      <c r="G423" s="58"/>
      <c r="H423" s="58"/>
      <c r="I423" s="58"/>
    </row>
    <row r="424" spans="2:9" ht="15.5">
      <c r="B424" s="253"/>
      <c r="C424" s="58"/>
      <c r="D424" s="58"/>
      <c r="E424" s="58"/>
      <c r="F424" s="58"/>
      <c r="G424" s="58"/>
      <c r="H424" s="58"/>
      <c r="I424" s="58"/>
    </row>
    <row r="425" spans="2:9" ht="15.5">
      <c r="B425" s="253"/>
      <c r="C425" s="58"/>
      <c r="D425" s="58"/>
      <c r="E425" s="58"/>
      <c r="F425" s="58"/>
      <c r="G425" s="58"/>
      <c r="H425" s="58"/>
      <c r="I425" s="58"/>
    </row>
    <row r="426" spans="2:9" ht="15.5">
      <c r="B426" s="253"/>
      <c r="C426" s="58"/>
      <c r="D426" s="58"/>
      <c r="E426" s="58"/>
      <c r="F426" s="58"/>
      <c r="G426" s="58"/>
      <c r="H426" s="58"/>
      <c r="I426" s="58"/>
    </row>
    <row r="427" spans="2:9" ht="15.5">
      <c r="B427" s="253"/>
      <c r="C427" s="58"/>
      <c r="D427" s="58"/>
      <c r="E427" s="58"/>
      <c r="F427" s="58"/>
      <c r="G427" s="58"/>
      <c r="H427" s="58"/>
      <c r="I427" s="58"/>
    </row>
    <row r="428" spans="2:9" ht="15.5">
      <c r="B428" s="253"/>
      <c r="C428" s="58"/>
      <c r="D428" s="58"/>
      <c r="E428" s="58"/>
      <c r="F428" s="58"/>
      <c r="G428" s="58"/>
      <c r="H428" s="58"/>
      <c r="I428" s="58"/>
    </row>
    <row r="429" spans="2:9" ht="15.5">
      <c r="B429" s="253"/>
      <c r="C429" s="58"/>
      <c r="D429" s="58"/>
      <c r="E429" s="58"/>
      <c r="F429" s="58"/>
      <c r="G429" s="58"/>
      <c r="H429" s="58"/>
      <c r="I429" s="58"/>
    </row>
    <row r="430" spans="2:9" ht="15.5">
      <c r="B430" s="253"/>
      <c r="C430" s="58"/>
      <c r="D430" s="58"/>
      <c r="E430" s="58"/>
      <c r="F430" s="58"/>
      <c r="G430" s="58"/>
      <c r="H430" s="58"/>
      <c r="I430" s="58"/>
    </row>
    <row r="431" spans="2:9" ht="15.5">
      <c r="B431" s="253"/>
      <c r="C431" s="58"/>
      <c r="D431" s="58"/>
      <c r="E431" s="58"/>
      <c r="F431" s="58"/>
      <c r="G431" s="58"/>
      <c r="H431" s="58"/>
      <c r="I431" s="58"/>
    </row>
    <row r="432" spans="2:9" ht="15.5">
      <c r="B432" s="253"/>
      <c r="C432" s="58"/>
      <c r="D432" s="58"/>
      <c r="E432" s="58"/>
      <c r="F432" s="58"/>
      <c r="G432" s="58"/>
      <c r="H432" s="58"/>
      <c r="I432" s="58"/>
    </row>
    <row r="433" spans="2:9" ht="15.5">
      <c r="B433" s="253"/>
      <c r="C433" s="58"/>
      <c r="D433" s="58"/>
      <c r="E433" s="58"/>
      <c r="F433" s="58"/>
      <c r="G433" s="58"/>
      <c r="H433" s="58"/>
      <c r="I433" s="58"/>
    </row>
    <row r="434" spans="2:9" ht="15.5">
      <c r="B434" s="253"/>
      <c r="C434" s="58"/>
      <c r="D434" s="58"/>
      <c r="E434" s="58"/>
      <c r="F434" s="58"/>
      <c r="G434" s="58"/>
      <c r="H434" s="58"/>
      <c r="I434" s="58"/>
    </row>
    <row r="435" spans="2:9" ht="15.5">
      <c r="B435" s="253"/>
      <c r="C435" s="58"/>
      <c r="D435" s="58"/>
      <c r="E435" s="58"/>
      <c r="F435" s="58"/>
      <c r="G435" s="58"/>
      <c r="H435" s="58"/>
      <c r="I435" s="58"/>
    </row>
    <row r="436" spans="2:9" ht="15.5">
      <c r="B436" s="253"/>
      <c r="C436" s="58"/>
      <c r="D436" s="58"/>
      <c r="E436" s="58"/>
      <c r="F436" s="58"/>
      <c r="G436" s="58"/>
      <c r="H436" s="58"/>
      <c r="I436" s="58"/>
    </row>
    <row r="437" spans="2:9" ht="15.5">
      <c r="B437" s="253"/>
      <c r="C437" s="58"/>
      <c r="D437" s="58"/>
      <c r="E437" s="58"/>
      <c r="F437" s="58"/>
      <c r="G437" s="58"/>
      <c r="H437" s="58"/>
      <c r="I437" s="58"/>
    </row>
    <row r="438" spans="2:9" ht="15.5">
      <c r="B438" s="253"/>
      <c r="C438" s="58"/>
      <c r="D438" s="58"/>
      <c r="E438" s="58"/>
      <c r="F438" s="58"/>
      <c r="G438" s="58"/>
      <c r="H438" s="58"/>
      <c r="I438" s="58"/>
    </row>
    <row r="439" spans="2:9" ht="15.5">
      <c r="B439" s="253"/>
      <c r="C439" s="58"/>
      <c r="D439" s="58"/>
      <c r="E439" s="58"/>
      <c r="F439" s="58"/>
      <c r="G439" s="58"/>
      <c r="H439" s="58"/>
      <c r="I439" s="58"/>
    </row>
    <row r="440" spans="2:9" ht="15.5">
      <c r="B440" s="253"/>
      <c r="C440" s="58"/>
      <c r="D440" s="58"/>
      <c r="E440" s="58"/>
      <c r="F440" s="58"/>
      <c r="G440" s="58"/>
      <c r="H440" s="58"/>
      <c r="I440" s="58"/>
    </row>
    <row r="441" spans="2:9" ht="15.5">
      <c r="B441" s="253"/>
      <c r="C441" s="58"/>
      <c r="D441" s="58"/>
      <c r="E441" s="58"/>
      <c r="F441" s="58"/>
      <c r="G441" s="58"/>
      <c r="H441" s="58"/>
      <c r="I441" s="58"/>
    </row>
    <row r="442" spans="2:9" ht="15.5">
      <c r="B442" s="253"/>
      <c r="C442" s="58"/>
      <c r="D442" s="58"/>
      <c r="E442" s="58"/>
      <c r="F442" s="58"/>
      <c r="G442" s="58"/>
      <c r="H442" s="58"/>
      <c r="I442" s="58"/>
    </row>
    <row r="443" spans="2:9" ht="15.5">
      <c r="B443" s="253"/>
      <c r="C443" s="58"/>
      <c r="D443" s="58"/>
      <c r="E443" s="58"/>
      <c r="F443" s="58"/>
      <c r="G443" s="58"/>
      <c r="H443" s="58"/>
      <c r="I443" s="58"/>
    </row>
    <row r="444" spans="2:9" ht="15.5">
      <c r="B444" s="253"/>
      <c r="C444" s="58"/>
      <c r="D444" s="58"/>
      <c r="E444" s="58"/>
      <c r="F444" s="58"/>
      <c r="G444" s="58"/>
      <c r="H444" s="58"/>
      <c r="I444" s="58"/>
    </row>
    <row r="445" spans="2:9" ht="15.5">
      <c r="B445" s="253"/>
      <c r="C445" s="58"/>
      <c r="D445" s="58"/>
      <c r="E445" s="58"/>
      <c r="F445" s="58"/>
      <c r="G445" s="58"/>
      <c r="H445" s="58"/>
      <c r="I445" s="58"/>
    </row>
    <row r="446" spans="2:9" ht="15.5">
      <c r="B446" s="253"/>
      <c r="C446" s="58"/>
      <c r="D446" s="58"/>
      <c r="E446" s="58"/>
      <c r="F446" s="58"/>
      <c r="G446" s="58"/>
      <c r="H446" s="58"/>
      <c r="I446" s="58"/>
    </row>
    <row r="447" spans="2:9" ht="15.5">
      <c r="B447" s="253"/>
      <c r="C447" s="58"/>
      <c r="D447" s="58"/>
      <c r="E447" s="58"/>
      <c r="F447" s="58"/>
      <c r="G447" s="58"/>
      <c r="H447" s="58"/>
      <c r="I447" s="58"/>
    </row>
    <row r="448" spans="2:9" ht="15.5">
      <c r="B448" s="253"/>
      <c r="C448" s="58"/>
      <c r="D448" s="58"/>
      <c r="E448" s="58"/>
      <c r="F448" s="58"/>
      <c r="G448" s="58"/>
      <c r="H448" s="58"/>
      <c r="I448" s="58"/>
    </row>
    <row r="449" spans="2:9" ht="15.5">
      <c r="B449" s="253"/>
      <c r="C449" s="58"/>
      <c r="D449" s="58"/>
      <c r="E449" s="58"/>
      <c r="F449" s="58"/>
      <c r="G449" s="58"/>
      <c r="H449" s="58"/>
      <c r="I449" s="58"/>
    </row>
    <row r="450" spans="2:9" ht="15.5">
      <c r="B450" s="253"/>
      <c r="C450" s="58"/>
      <c r="D450" s="58"/>
      <c r="E450" s="58"/>
      <c r="F450" s="58"/>
      <c r="G450" s="58"/>
      <c r="H450" s="58"/>
      <c r="I450" s="58"/>
    </row>
    <row r="451" spans="2:9" ht="15.5">
      <c r="B451" s="253"/>
      <c r="C451" s="58"/>
      <c r="D451" s="58"/>
      <c r="E451" s="58"/>
      <c r="F451" s="58"/>
      <c r="G451" s="58"/>
      <c r="H451" s="58"/>
      <c r="I451" s="58"/>
    </row>
    <row r="452" spans="2:9" ht="15.5">
      <c r="B452" s="253"/>
      <c r="C452" s="58"/>
      <c r="D452" s="58"/>
      <c r="E452" s="58"/>
      <c r="F452" s="58"/>
      <c r="G452" s="58"/>
      <c r="H452" s="58"/>
      <c r="I452" s="58"/>
    </row>
    <row r="453" spans="2:9" ht="15.5">
      <c r="B453" s="253"/>
      <c r="C453" s="58"/>
      <c r="D453" s="58"/>
      <c r="E453" s="58"/>
      <c r="F453" s="58"/>
      <c r="G453" s="58"/>
      <c r="H453" s="58"/>
      <c r="I453" s="58"/>
    </row>
    <row r="454" spans="2:9" ht="15.5">
      <c r="B454" s="253"/>
      <c r="C454" s="58"/>
      <c r="D454" s="58"/>
      <c r="E454" s="58"/>
      <c r="F454" s="58"/>
      <c r="G454" s="58"/>
      <c r="H454" s="58"/>
      <c r="I454" s="58"/>
    </row>
    <row r="455" spans="2:9" ht="15.5">
      <c r="B455" s="253"/>
      <c r="C455" s="58"/>
      <c r="D455" s="58"/>
      <c r="E455" s="58"/>
      <c r="F455" s="58"/>
      <c r="G455" s="58"/>
      <c r="H455" s="58"/>
      <c r="I455" s="58"/>
    </row>
    <row r="456" spans="2:9" ht="15.5">
      <c r="B456" s="253"/>
      <c r="C456" s="58"/>
      <c r="D456" s="58"/>
      <c r="E456" s="58"/>
      <c r="F456" s="58"/>
      <c r="G456" s="58"/>
      <c r="H456" s="58"/>
      <c r="I456" s="58"/>
    </row>
    <row r="457" spans="2:9" ht="15.5">
      <c r="B457" s="253"/>
      <c r="C457" s="58"/>
      <c r="D457" s="58"/>
      <c r="E457" s="58"/>
      <c r="F457" s="58"/>
      <c r="G457" s="58"/>
      <c r="H457" s="58"/>
      <c r="I457" s="58"/>
    </row>
    <row r="458" spans="2:9" ht="15.5">
      <c r="B458" s="253"/>
      <c r="C458" s="58"/>
      <c r="D458" s="58"/>
      <c r="E458" s="58"/>
      <c r="F458" s="58"/>
      <c r="G458" s="58"/>
      <c r="H458" s="58"/>
      <c r="I458" s="58"/>
    </row>
    <row r="459" spans="2:9" ht="15.5">
      <c r="B459" s="253"/>
      <c r="C459" s="58"/>
      <c r="D459" s="58"/>
      <c r="E459" s="58"/>
      <c r="F459" s="58"/>
      <c r="G459" s="58"/>
      <c r="H459" s="58"/>
      <c r="I459" s="58"/>
    </row>
    <row r="460" spans="2:9" ht="15.5">
      <c r="B460" s="253"/>
      <c r="C460" s="58"/>
      <c r="D460" s="58"/>
      <c r="E460" s="58"/>
      <c r="F460" s="58"/>
      <c r="G460" s="58"/>
      <c r="H460" s="58"/>
      <c r="I460" s="58"/>
    </row>
    <row r="461" spans="2:9" ht="15.5">
      <c r="B461" s="253"/>
      <c r="C461" s="58"/>
      <c r="D461" s="58"/>
      <c r="E461" s="58"/>
      <c r="F461" s="58"/>
      <c r="G461" s="58"/>
      <c r="H461" s="58"/>
      <c r="I461" s="58"/>
    </row>
    <row r="462" spans="2:9" ht="15.5">
      <c r="B462" s="253"/>
      <c r="C462" s="58"/>
      <c r="D462" s="58"/>
      <c r="E462" s="58"/>
      <c r="F462" s="58"/>
      <c r="G462" s="58"/>
      <c r="H462" s="58"/>
      <c r="I462" s="58"/>
    </row>
    <row r="463" spans="2:9" ht="15.5">
      <c r="B463" s="253"/>
      <c r="C463" s="58"/>
      <c r="D463" s="58"/>
      <c r="E463" s="58"/>
      <c r="F463" s="58"/>
      <c r="G463" s="58"/>
      <c r="H463" s="58"/>
      <c r="I463" s="58"/>
    </row>
    <row r="464" spans="2:9" ht="15.5">
      <c r="B464" s="253"/>
      <c r="C464" s="58"/>
      <c r="D464" s="58"/>
      <c r="E464" s="58"/>
      <c r="F464" s="58"/>
      <c r="G464" s="58"/>
      <c r="H464" s="58"/>
      <c r="I464" s="58"/>
    </row>
    <row r="465" spans="2:9" ht="15.5">
      <c r="B465" s="253"/>
      <c r="C465" s="58"/>
      <c r="D465" s="58"/>
      <c r="E465" s="58"/>
      <c r="F465" s="58"/>
      <c r="G465" s="58"/>
      <c r="H465" s="58"/>
      <c r="I465" s="58"/>
    </row>
    <row r="466" spans="2:9" ht="15.5">
      <c r="B466" s="253"/>
      <c r="C466" s="58"/>
      <c r="D466" s="58"/>
      <c r="E466" s="58"/>
      <c r="F466" s="58"/>
      <c r="G466" s="58"/>
      <c r="H466" s="58"/>
      <c r="I466" s="58"/>
    </row>
    <row r="467" spans="2:9" ht="15.5">
      <c r="B467" s="253"/>
      <c r="C467" s="58"/>
      <c r="D467" s="58"/>
      <c r="E467" s="58"/>
      <c r="F467" s="58"/>
      <c r="G467" s="58"/>
      <c r="H467" s="58"/>
      <c r="I467" s="58"/>
    </row>
    <row r="468" spans="2:9" ht="15.5">
      <c r="B468" s="253"/>
      <c r="C468" s="58"/>
      <c r="D468" s="58"/>
      <c r="E468" s="58"/>
      <c r="F468" s="58"/>
      <c r="G468" s="58"/>
      <c r="H468" s="58"/>
      <c r="I468" s="58"/>
    </row>
    <row r="469" spans="2:9" ht="15.5">
      <c r="B469" s="253"/>
      <c r="C469" s="58"/>
      <c r="D469" s="58"/>
      <c r="E469" s="58"/>
      <c r="F469" s="58"/>
      <c r="G469" s="58"/>
      <c r="H469" s="58"/>
      <c r="I469" s="58"/>
    </row>
    <row r="470" spans="2:9" ht="15.5">
      <c r="B470" s="253"/>
      <c r="C470" s="58"/>
      <c r="D470" s="58"/>
      <c r="E470" s="58"/>
      <c r="F470" s="58"/>
      <c r="G470" s="58"/>
      <c r="H470" s="58"/>
      <c r="I470" s="58"/>
    </row>
    <row r="471" spans="2:9" ht="15.5">
      <c r="B471" s="253"/>
      <c r="C471" s="58"/>
      <c r="D471" s="58"/>
      <c r="E471" s="58"/>
      <c r="F471" s="58"/>
      <c r="G471" s="58"/>
      <c r="H471" s="58"/>
      <c r="I471" s="58"/>
    </row>
    <row r="472" spans="2:9" ht="15.5">
      <c r="B472" s="253"/>
      <c r="C472" s="58"/>
      <c r="D472" s="58"/>
      <c r="E472" s="58"/>
      <c r="F472" s="58"/>
      <c r="G472" s="58"/>
      <c r="H472" s="58"/>
      <c r="I472" s="58"/>
    </row>
    <row r="473" spans="2:9" ht="15.5">
      <c r="B473" s="253"/>
      <c r="C473" s="58"/>
      <c r="D473" s="58"/>
      <c r="E473" s="58"/>
      <c r="F473" s="58"/>
      <c r="G473" s="58"/>
      <c r="H473" s="58"/>
      <c r="I473" s="58"/>
    </row>
    <row r="474" spans="2:9" ht="15.5">
      <c r="B474" s="253"/>
      <c r="C474" s="58"/>
      <c r="D474" s="58"/>
      <c r="E474" s="58"/>
      <c r="F474" s="58"/>
      <c r="G474" s="58"/>
      <c r="H474" s="58"/>
      <c r="I474" s="58"/>
    </row>
    <row r="475" spans="2:9" ht="15.5">
      <c r="B475" s="253"/>
      <c r="C475" s="58"/>
      <c r="D475" s="58"/>
      <c r="E475" s="58"/>
      <c r="F475" s="58"/>
      <c r="G475" s="58"/>
      <c r="H475" s="58"/>
      <c r="I475" s="58"/>
    </row>
    <row r="476" spans="2:9" ht="15.5">
      <c r="B476" s="253"/>
      <c r="C476" s="58"/>
      <c r="D476" s="58"/>
      <c r="E476" s="58"/>
      <c r="F476" s="58"/>
      <c r="G476" s="58"/>
      <c r="H476" s="58"/>
      <c r="I476" s="58"/>
    </row>
    <row r="477" spans="2:9" ht="15.5">
      <c r="B477" s="253"/>
      <c r="C477" s="58"/>
      <c r="D477" s="58"/>
      <c r="E477" s="58"/>
      <c r="F477" s="58"/>
      <c r="G477" s="58"/>
      <c r="H477" s="58"/>
      <c r="I477" s="58"/>
    </row>
    <row r="478" spans="2:9" ht="15.5">
      <c r="B478" s="253"/>
      <c r="C478" s="58"/>
      <c r="D478" s="58"/>
      <c r="E478" s="58"/>
      <c r="F478" s="58"/>
      <c r="G478" s="58"/>
      <c r="H478" s="58"/>
      <c r="I478" s="58"/>
    </row>
    <row r="479" spans="2:9" ht="15.5">
      <c r="B479" s="253"/>
      <c r="C479" s="58"/>
      <c r="D479" s="58"/>
      <c r="E479" s="58"/>
      <c r="F479" s="58"/>
      <c r="G479" s="58"/>
      <c r="H479" s="58"/>
      <c r="I479" s="58"/>
    </row>
    <row r="480" spans="2:9" ht="15.5">
      <c r="B480" s="253"/>
      <c r="C480" s="58"/>
      <c r="D480" s="58"/>
      <c r="E480" s="58"/>
      <c r="F480" s="58"/>
      <c r="G480" s="58"/>
      <c r="H480" s="58"/>
      <c r="I480" s="58"/>
    </row>
    <row r="481" spans="2:9" ht="15.5">
      <c r="B481" s="253"/>
      <c r="C481" s="58"/>
      <c r="D481" s="58"/>
      <c r="E481" s="58"/>
      <c r="F481" s="58"/>
      <c r="G481" s="58"/>
      <c r="H481" s="58"/>
      <c r="I481" s="58"/>
    </row>
    <row r="482" spans="2:9" ht="15.5">
      <c r="B482" s="253"/>
      <c r="C482" s="58"/>
      <c r="D482" s="58"/>
      <c r="E482" s="58"/>
      <c r="F482" s="58"/>
      <c r="G482" s="58"/>
      <c r="H482" s="58"/>
      <c r="I482" s="58"/>
    </row>
    <row r="483" spans="2:9" ht="15.5">
      <c r="B483" s="253"/>
      <c r="C483" s="58"/>
      <c r="D483" s="58"/>
      <c r="E483" s="58"/>
      <c r="F483" s="58"/>
      <c r="G483" s="58"/>
      <c r="H483" s="58"/>
      <c r="I483" s="58"/>
    </row>
    <row r="484" spans="2:9" ht="15.5">
      <c r="B484" s="253"/>
      <c r="C484" s="58"/>
      <c r="D484" s="58"/>
      <c r="E484" s="58"/>
      <c r="F484" s="58"/>
      <c r="G484" s="58"/>
      <c r="H484" s="58"/>
      <c r="I484" s="58"/>
    </row>
    <row r="485" spans="2:9" ht="15.5">
      <c r="B485" s="253"/>
      <c r="C485" s="58"/>
      <c r="D485" s="58"/>
      <c r="E485" s="58"/>
      <c r="F485" s="58"/>
      <c r="G485" s="58"/>
      <c r="H485" s="58"/>
      <c r="I485" s="58"/>
    </row>
    <row r="486" spans="2:9" ht="15.5">
      <c r="B486" s="253"/>
      <c r="C486" s="58"/>
      <c r="D486" s="58"/>
      <c r="E486" s="58"/>
      <c r="F486" s="58"/>
      <c r="G486" s="58"/>
      <c r="H486" s="58"/>
      <c r="I486" s="58"/>
    </row>
    <row r="487" spans="2:9" ht="15.5">
      <c r="B487" s="253"/>
      <c r="C487" s="58"/>
      <c r="D487" s="58"/>
      <c r="E487" s="58"/>
      <c r="F487" s="58"/>
      <c r="G487" s="58"/>
      <c r="H487" s="58"/>
      <c r="I487" s="58"/>
    </row>
    <row r="488" spans="2:9" ht="15.5">
      <c r="B488" s="253"/>
      <c r="C488" s="58"/>
      <c r="D488" s="58"/>
      <c r="E488" s="58"/>
      <c r="F488" s="58"/>
      <c r="G488" s="58"/>
      <c r="H488" s="58"/>
      <c r="I488" s="58"/>
    </row>
    <row r="489" spans="2:9" ht="15.5">
      <c r="B489" s="253"/>
      <c r="C489" s="58"/>
      <c r="D489" s="58"/>
      <c r="E489" s="58"/>
      <c r="F489" s="58"/>
      <c r="G489" s="58"/>
      <c r="H489" s="58"/>
      <c r="I489" s="58"/>
    </row>
    <row r="490" spans="2:9" ht="15.5">
      <c r="B490" s="253"/>
      <c r="C490" s="58"/>
      <c r="D490" s="58"/>
      <c r="E490" s="58"/>
      <c r="F490" s="58"/>
      <c r="G490" s="58"/>
      <c r="H490" s="58"/>
      <c r="I490" s="58"/>
    </row>
    <row r="491" spans="2:9" ht="15.5">
      <c r="B491" s="253"/>
      <c r="C491" s="58"/>
      <c r="D491" s="58"/>
      <c r="E491" s="58"/>
      <c r="F491" s="58"/>
      <c r="G491" s="58"/>
      <c r="H491" s="58"/>
      <c r="I491" s="58"/>
    </row>
    <row r="492" spans="2:9" ht="15.5">
      <c r="B492" s="253"/>
      <c r="C492" s="58"/>
      <c r="D492" s="58"/>
      <c r="E492" s="58"/>
      <c r="F492" s="58"/>
      <c r="G492" s="58"/>
      <c r="H492" s="58"/>
      <c r="I492" s="58"/>
    </row>
    <row r="493" spans="2:9" ht="15.5">
      <c r="B493" s="253"/>
      <c r="C493" s="58"/>
      <c r="D493" s="58"/>
      <c r="E493" s="58"/>
      <c r="F493" s="58"/>
      <c r="G493" s="58"/>
      <c r="H493" s="58"/>
      <c r="I493" s="58"/>
    </row>
    <row r="494" spans="2:9" ht="15.5">
      <c r="B494" s="253"/>
      <c r="C494" s="58"/>
      <c r="D494" s="58"/>
      <c r="E494" s="58"/>
      <c r="F494" s="58"/>
      <c r="G494" s="58"/>
      <c r="H494" s="58"/>
      <c r="I494" s="58"/>
    </row>
    <row r="495" spans="2:9" ht="15.5">
      <c r="B495" s="253"/>
      <c r="C495" s="58"/>
      <c r="D495" s="58"/>
      <c r="E495" s="58"/>
      <c r="F495" s="58"/>
      <c r="G495" s="58"/>
      <c r="H495" s="58"/>
      <c r="I495" s="58"/>
    </row>
    <row r="496" spans="2:9" ht="15.5">
      <c r="B496" s="253"/>
      <c r="C496" s="58"/>
      <c r="D496" s="58"/>
      <c r="E496" s="58"/>
      <c r="F496" s="58"/>
      <c r="G496" s="58"/>
      <c r="H496" s="58"/>
      <c r="I496" s="58"/>
    </row>
    <row r="497" spans="2:9" ht="15.5">
      <c r="B497" s="253"/>
      <c r="C497" s="58"/>
      <c r="D497" s="58"/>
      <c r="E497" s="58"/>
      <c r="F497" s="58"/>
      <c r="G497" s="58"/>
      <c r="H497" s="58"/>
      <c r="I497" s="58"/>
    </row>
    <row r="498" spans="2:9" ht="15.5">
      <c r="B498" s="253"/>
      <c r="C498" s="58"/>
      <c r="D498" s="58"/>
      <c r="E498" s="58"/>
      <c r="F498" s="58"/>
      <c r="G498" s="58"/>
      <c r="H498" s="58"/>
      <c r="I498" s="58"/>
    </row>
    <row r="499" spans="2:9" ht="15.5">
      <c r="B499" s="253"/>
      <c r="C499" s="58"/>
      <c r="D499" s="58"/>
      <c r="E499" s="58"/>
      <c r="F499" s="58"/>
      <c r="G499" s="58"/>
      <c r="H499" s="58"/>
      <c r="I499" s="58"/>
    </row>
    <row r="500" spans="2:9" ht="15.5">
      <c r="B500" s="253"/>
      <c r="C500" s="58"/>
      <c r="D500" s="58"/>
      <c r="E500" s="58"/>
      <c r="F500" s="58"/>
      <c r="G500" s="58"/>
      <c r="H500" s="58"/>
      <c r="I500" s="58"/>
    </row>
    <row r="501" spans="2:9" ht="15.5">
      <c r="B501" s="253"/>
      <c r="C501" s="58"/>
      <c r="D501" s="58"/>
      <c r="E501" s="58"/>
      <c r="F501" s="58"/>
      <c r="G501" s="58"/>
      <c r="H501" s="58"/>
      <c r="I501" s="58"/>
    </row>
    <row r="502" spans="2:9" ht="15.5">
      <c r="B502" s="253"/>
      <c r="C502" s="58"/>
      <c r="D502" s="58"/>
      <c r="E502" s="58"/>
      <c r="F502" s="58"/>
      <c r="G502" s="58"/>
      <c r="H502" s="58"/>
      <c r="I502" s="58"/>
    </row>
    <row r="503" spans="2:9" ht="15.5">
      <c r="B503" s="253"/>
      <c r="C503" s="58"/>
      <c r="D503" s="58"/>
      <c r="E503" s="58"/>
      <c r="F503" s="58"/>
      <c r="G503" s="58"/>
      <c r="H503" s="58"/>
      <c r="I503" s="58"/>
    </row>
    <row r="504" spans="2:9" ht="15.5">
      <c r="B504" s="253"/>
      <c r="C504" s="58"/>
      <c r="D504" s="58"/>
      <c r="E504" s="58"/>
      <c r="F504" s="58"/>
      <c r="G504" s="58"/>
      <c r="H504" s="58"/>
      <c r="I504" s="58"/>
    </row>
    <row r="505" spans="2:9" ht="15.5">
      <c r="B505" s="253"/>
      <c r="C505" s="58"/>
      <c r="D505" s="58"/>
      <c r="E505" s="58"/>
      <c r="F505" s="58"/>
      <c r="G505" s="58"/>
      <c r="H505" s="58"/>
      <c r="I505" s="58"/>
    </row>
    <row r="506" spans="2:9" ht="15.5">
      <c r="B506" s="253"/>
      <c r="C506" s="58"/>
      <c r="D506" s="58"/>
      <c r="E506" s="58"/>
      <c r="F506" s="58"/>
      <c r="G506" s="58"/>
      <c r="H506" s="58"/>
      <c r="I506" s="58"/>
    </row>
    <row r="507" spans="2:9" ht="15.5">
      <c r="B507" s="253"/>
      <c r="C507" s="58"/>
      <c r="D507" s="58"/>
      <c r="E507" s="58"/>
      <c r="F507" s="58"/>
      <c r="G507" s="58"/>
      <c r="H507" s="58"/>
      <c r="I507" s="58"/>
    </row>
    <row r="508" spans="2:9" ht="15.5">
      <c r="B508" s="253"/>
      <c r="C508" s="58"/>
      <c r="D508" s="58"/>
      <c r="E508" s="58"/>
      <c r="F508" s="58"/>
      <c r="G508" s="58"/>
      <c r="H508" s="58"/>
      <c r="I508" s="58"/>
    </row>
    <row r="509" spans="2:9" ht="15.5">
      <c r="B509" s="253"/>
      <c r="C509" s="58"/>
      <c r="D509" s="58"/>
      <c r="E509" s="58"/>
      <c r="F509" s="58"/>
      <c r="G509" s="58"/>
      <c r="H509" s="58"/>
      <c r="I509" s="58"/>
    </row>
    <row r="510" spans="2:9" ht="15.5">
      <c r="B510" s="253"/>
      <c r="C510" s="58"/>
      <c r="D510" s="58"/>
      <c r="E510" s="58"/>
      <c r="F510" s="58"/>
      <c r="G510" s="58"/>
      <c r="H510" s="58"/>
      <c r="I510" s="58"/>
    </row>
    <row r="511" spans="2:9" ht="15.5">
      <c r="B511" s="253"/>
      <c r="C511" s="58"/>
      <c r="D511" s="58"/>
      <c r="E511" s="58"/>
      <c r="F511" s="58"/>
      <c r="G511" s="58"/>
      <c r="H511" s="58"/>
      <c r="I511" s="58"/>
    </row>
    <row r="512" spans="2:9" ht="15.5">
      <c r="B512" s="253"/>
      <c r="C512" s="58"/>
      <c r="D512" s="58"/>
      <c r="E512" s="58"/>
      <c r="F512" s="58"/>
      <c r="G512" s="58"/>
      <c r="H512" s="58"/>
      <c r="I512" s="58"/>
    </row>
    <row r="513" spans="2:9" ht="15.5">
      <c r="B513" s="253"/>
      <c r="C513" s="58"/>
      <c r="D513" s="58"/>
      <c r="E513" s="58"/>
      <c r="F513" s="58"/>
      <c r="G513" s="58"/>
      <c r="H513" s="58"/>
      <c r="I513" s="58"/>
    </row>
    <row r="514" spans="2:9" ht="15.5">
      <c r="B514" s="253"/>
      <c r="C514" s="58"/>
      <c r="D514" s="58"/>
      <c r="E514" s="58"/>
      <c r="F514" s="58"/>
      <c r="G514" s="58"/>
      <c r="H514" s="58"/>
      <c r="I514" s="58"/>
    </row>
    <row r="515" spans="2:9" ht="15.5">
      <c r="B515" s="253"/>
      <c r="C515" s="58"/>
      <c r="D515" s="58"/>
      <c r="E515" s="58"/>
      <c r="F515" s="58"/>
      <c r="G515" s="58"/>
      <c r="H515" s="58"/>
      <c r="I515" s="58"/>
    </row>
    <row r="516" spans="2:9" ht="15.5">
      <c r="B516" s="253"/>
      <c r="C516" s="58"/>
      <c r="D516" s="58"/>
      <c r="E516" s="58"/>
      <c r="F516" s="58"/>
      <c r="G516" s="58"/>
      <c r="H516" s="58"/>
      <c r="I516" s="58"/>
    </row>
    <row r="517" spans="2:9" ht="15.5">
      <c r="B517" s="253"/>
      <c r="C517" s="58"/>
      <c r="D517" s="58"/>
      <c r="E517" s="58"/>
      <c r="F517" s="58"/>
      <c r="G517" s="58"/>
      <c r="H517" s="58"/>
      <c r="I517" s="58"/>
    </row>
    <row r="518" spans="2:9" ht="15.5">
      <c r="B518" s="253"/>
      <c r="C518" s="58"/>
      <c r="D518" s="58"/>
      <c r="E518" s="58"/>
      <c r="F518" s="58"/>
      <c r="G518" s="58"/>
      <c r="H518" s="58"/>
      <c r="I518" s="58"/>
    </row>
  </sheetData>
  <mergeCells count="13">
    <mergeCell ref="B1:I1"/>
    <mergeCell ref="B3:I3"/>
    <mergeCell ref="B2:I2"/>
    <mergeCell ref="B56:I56"/>
    <mergeCell ref="B76:I76"/>
    <mergeCell ref="B102:I102"/>
    <mergeCell ref="B47:I47"/>
    <mergeCell ref="B51:I51"/>
    <mergeCell ref="B77:I77"/>
    <mergeCell ref="B54:I54"/>
    <mergeCell ref="B55:I55"/>
    <mergeCell ref="B70:I70"/>
    <mergeCell ref="B99:I99"/>
  </mergeCells>
  <printOptions horizontalCentered="1"/>
  <pageMargins left="0.75" right="0.75" top="1" bottom="1" header="0.5" footer="0.5"/>
  <pageSetup fitToHeight="2" orientation="landscape" scale="32" r:id="rId1"/>
  <headerFooter alignWithMargins="0"/>
  <rowBreaks count="1" manualBreakCount="1">
    <brk id="53" max="8" man="1"/>
  </rowBreaks>
  <customProperties>
    <customPr name="EpmWorksheetKeyString_GUID" r:id="rId2"/>
    <customPr name="_pios_id" r:id="rId3"/>
  </customProperties>
  <ignoredErrors>
    <ignoredError sqref="C89" formula="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N37"/>
  <sheetViews>
    <sheetView workbookViewId="0" topLeftCell="A1"/>
  </sheetViews>
  <sheetFormatPr defaultRowHeight="12.75"/>
  <cols>
    <col min="1" max="1" width="3.85714285714286" customWidth="1"/>
    <col min="2" max="2" width="31" customWidth="1"/>
    <col min="3" max="7" width="9.14285714285714" customWidth="1"/>
    <col min="8" max="8" width="12.5714285714286" customWidth="1"/>
    <col min="9" max="9" width="9.14285714285714" customWidth="1"/>
    <col min="10" max="10" width="11.2857142857143" customWidth="1"/>
    <col min="11" max="13" width="9.14285714285714" customWidth="1"/>
    <col min="14" max="14" width="14.5714285714286" customWidth="1"/>
  </cols>
  <sheetData>
    <row r="1" spans="2:13" ht="15.5">
      <c r="B1" s="1192" t="str">
        <f>+'9 - Excess ADIT'!I2</f>
        <v>Dayton Power and Light</v>
      </c>
      <c r="C1" s="1192"/>
      <c r="D1" s="1192"/>
      <c r="E1" s="1192"/>
      <c r="F1" s="1192"/>
      <c r="G1" s="1192"/>
      <c r="H1" s="1192"/>
      <c r="I1" s="1192"/>
      <c r="J1" s="1192"/>
      <c r="K1" s="1192"/>
      <c r="L1" s="1192"/>
      <c r="M1" s="1192"/>
    </row>
    <row r="2" spans="2:13" ht="15.5">
      <c r="B2" s="1192" t="str">
        <f>+'9 - Excess ADIT'!I3</f>
        <v xml:space="preserve">ATTACHMENT H-15A </v>
      </c>
      <c r="C2" s="1192"/>
      <c r="D2" s="1192"/>
      <c r="E2" s="1192"/>
      <c r="F2" s="1192"/>
      <c r="G2" s="1192"/>
      <c r="H2" s="1192"/>
      <c r="I2" s="1192"/>
      <c r="J2" s="1192"/>
      <c r="K2" s="1192"/>
      <c r="L2" s="1192"/>
      <c r="M2" s="1192"/>
    </row>
    <row r="3" spans="2:13" ht="15.5">
      <c r="B3" s="1192" t="s">
        <v>871</v>
      </c>
      <c r="C3" s="1192"/>
      <c r="D3" s="1192"/>
      <c r="E3" s="1192"/>
      <c r="F3" s="1192"/>
      <c r="G3" s="1192"/>
      <c r="H3" s="1192"/>
      <c r="I3" s="1192"/>
      <c r="J3" s="1192"/>
      <c r="K3" s="1192"/>
      <c r="L3" s="1192"/>
      <c r="M3" s="1192"/>
    </row>
    <row r="4" spans="2:13" ht="15.5">
      <c r="B4" s="1192" t="s">
        <v>829</v>
      </c>
      <c r="C4" s="1192"/>
      <c r="D4" s="1192"/>
      <c r="E4" s="1192"/>
      <c r="F4" s="1192"/>
      <c r="G4" s="1192"/>
      <c r="H4" s="1192"/>
      <c r="I4" s="1192"/>
      <c r="J4" s="1192"/>
      <c r="K4" s="1192"/>
      <c r="L4" s="1192"/>
      <c r="M4" s="1192"/>
    </row>
    <row r="5" spans="2:13" s="975" customFormat="1" ht="15.5">
      <c r="B5" s="1072"/>
      <c r="C5" s="1072"/>
      <c r="D5" s="1072"/>
      <c r="E5" s="1072"/>
      <c r="F5" s="1072"/>
      <c r="G5" s="1072"/>
      <c r="H5" s="1072"/>
      <c r="I5" s="1072"/>
      <c r="J5" s="1072"/>
      <c r="K5" s="1072"/>
      <c r="L5" s="1072"/>
      <c r="M5" s="1072"/>
    </row>
    <row r="6" spans="8:12" ht="12.5">
      <c r="H6" s="1186" t="s">
        <v>899</v>
      </c>
      <c r="I6" s="1186"/>
      <c r="J6" s="1186"/>
      <c r="K6" s="1186"/>
      <c r="L6" s="1186"/>
    </row>
    <row r="7" spans="1:14" ht="47.25" customHeight="1">
      <c r="A7" s="587" t="s">
        <v>763</v>
      </c>
      <c r="B7" s="1099" t="s">
        <v>711</v>
      </c>
      <c r="C7" s="1099"/>
      <c r="D7" s="1099" t="s">
        <v>451</v>
      </c>
      <c r="E7" s="1099"/>
      <c r="F7" s="1099" t="s">
        <v>398</v>
      </c>
      <c r="G7" s="1099"/>
      <c r="H7" s="1099" t="s">
        <v>225</v>
      </c>
      <c r="I7" s="1099"/>
      <c r="J7" s="1099" t="s">
        <v>872</v>
      </c>
      <c r="K7" s="1099"/>
      <c r="L7" s="1099" t="s">
        <v>263</v>
      </c>
      <c r="N7" s="1116" t="s">
        <v>898</v>
      </c>
    </row>
    <row r="8" ht="12.5"/>
    <row r="9" spans="1:14" ht="12.5">
      <c r="A9">
        <v>1</v>
      </c>
      <c r="B9" s="587" t="s">
        <v>873</v>
      </c>
      <c r="D9">
        <v>920</v>
      </c>
      <c r="F9" s="1100">
        <v>0</v>
      </c>
      <c r="G9" s="1101"/>
      <c r="H9" s="1100">
        <v>0</v>
      </c>
      <c r="I9" s="1101"/>
      <c r="J9" s="1100">
        <v>0</v>
      </c>
      <c r="K9" s="1101"/>
      <c r="L9" s="1100">
        <v>0</v>
      </c>
      <c r="N9" s="1137">
        <f>+F9-H9-J9-L9</f>
        <v>0</v>
      </c>
    </row>
    <row r="10" spans="6:14" ht="12.5">
      <c r="F10" s="1101"/>
      <c r="G10" s="1101"/>
      <c r="H10" s="1101"/>
      <c r="I10" s="1101"/>
      <c r="J10" s="1101"/>
      <c r="K10" s="1101"/>
      <c r="L10" s="1101"/>
      <c r="N10" s="1101"/>
    </row>
    <row r="11" spans="1:14" ht="12.5">
      <c r="A11">
        <f>+A9+1</f>
        <v>2</v>
      </c>
      <c r="B11" s="587" t="s">
        <v>874</v>
      </c>
      <c r="D11">
        <v>921</v>
      </c>
      <c r="F11" s="1100">
        <v>0</v>
      </c>
      <c r="G11" s="1101"/>
      <c r="H11" s="1100">
        <v>0</v>
      </c>
      <c r="I11" s="1101"/>
      <c r="J11" s="1100">
        <v>0</v>
      </c>
      <c r="K11" s="1101"/>
      <c r="L11" s="1100">
        <v>0</v>
      </c>
      <c r="N11" s="1137">
        <f>+F11-H11-J11-L11</f>
        <v>0</v>
      </c>
    </row>
    <row r="12" spans="6:14" ht="12.5">
      <c r="F12" s="1101"/>
      <c r="G12" s="1101"/>
      <c r="H12" s="1101"/>
      <c r="I12" s="1101"/>
      <c r="J12" s="1101"/>
      <c r="K12" s="1101"/>
      <c r="L12" s="1101"/>
      <c r="N12" s="1101"/>
    </row>
    <row r="13" spans="1:14" ht="12.5">
      <c r="A13">
        <f>+A11+1</f>
        <v>3</v>
      </c>
      <c r="B13" s="587" t="s">
        <v>875</v>
      </c>
      <c r="D13">
        <v>922</v>
      </c>
      <c r="F13" s="1100">
        <v>0</v>
      </c>
      <c r="G13" s="1101"/>
      <c r="H13" s="1100">
        <v>0</v>
      </c>
      <c r="I13" s="1101"/>
      <c r="J13" s="1100">
        <v>0</v>
      </c>
      <c r="K13" s="1101"/>
      <c r="L13" s="1100">
        <v>0</v>
      </c>
      <c r="N13" s="1137">
        <f>+F13-H13-J13-L13</f>
        <v>0</v>
      </c>
    </row>
    <row r="14" spans="6:14" ht="12.5">
      <c r="F14" s="1101"/>
      <c r="G14" s="1101"/>
      <c r="H14" s="1101"/>
      <c r="I14" s="1101"/>
      <c r="J14" s="1101"/>
      <c r="K14" s="1101"/>
      <c r="L14" s="1101"/>
      <c r="N14" s="1101"/>
    </row>
    <row r="15" spans="1:14" ht="12.5">
      <c r="A15">
        <f>+A13+1</f>
        <v>4</v>
      </c>
      <c r="B15" s="587" t="s">
        <v>876</v>
      </c>
      <c r="D15">
        <v>923</v>
      </c>
      <c r="F15" s="1100">
        <v>0</v>
      </c>
      <c r="G15" s="1101"/>
      <c r="H15" s="1100">
        <v>0</v>
      </c>
      <c r="I15" s="1101"/>
      <c r="J15" s="1100">
        <v>0</v>
      </c>
      <c r="K15" s="1101"/>
      <c r="L15" s="1100">
        <v>0</v>
      </c>
      <c r="N15" s="1137">
        <f>+F15-H15-J15-L15</f>
        <v>0</v>
      </c>
    </row>
    <row r="16" spans="6:14" ht="12.5">
      <c r="F16" s="1101"/>
      <c r="G16" s="1101"/>
      <c r="H16" s="1101"/>
      <c r="I16" s="1101"/>
      <c r="J16" s="1101"/>
      <c r="K16" s="1101"/>
      <c r="L16" s="1101"/>
      <c r="N16" s="1101"/>
    </row>
    <row r="17" spans="1:14" ht="12.5">
      <c r="A17">
        <f>+A15+1</f>
        <v>5</v>
      </c>
      <c r="B17" s="587" t="s">
        <v>877</v>
      </c>
      <c r="D17">
        <v>924</v>
      </c>
      <c r="F17" s="1100">
        <v>0</v>
      </c>
      <c r="G17" s="1101"/>
      <c r="H17" s="1100">
        <v>0</v>
      </c>
      <c r="I17" s="1101"/>
      <c r="J17" s="1100">
        <v>0</v>
      </c>
      <c r="K17" s="1101"/>
      <c r="L17" s="1100">
        <v>0</v>
      </c>
      <c r="N17" s="1137">
        <f>+F17-H17-J17-L17</f>
        <v>0</v>
      </c>
    </row>
    <row r="18" spans="6:14" ht="12.5">
      <c r="F18" s="1101"/>
      <c r="G18" s="1101"/>
      <c r="H18" s="1101"/>
      <c r="I18" s="1101"/>
      <c r="J18" s="1101"/>
      <c r="K18" s="1101"/>
      <c r="L18" s="1101"/>
      <c r="N18" s="1101"/>
    </row>
    <row r="19" spans="1:14" ht="12.5">
      <c r="A19">
        <f>+A17+1</f>
        <v>6</v>
      </c>
      <c r="B19" s="587" t="s">
        <v>878</v>
      </c>
      <c r="D19">
        <v>925</v>
      </c>
      <c r="F19" s="1100">
        <v>0</v>
      </c>
      <c r="G19" s="1101"/>
      <c r="H19" s="1100">
        <v>0</v>
      </c>
      <c r="I19" s="1101"/>
      <c r="J19" s="1100">
        <v>0</v>
      </c>
      <c r="K19" s="1101"/>
      <c r="L19" s="1100">
        <v>0</v>
      </c>
      <c r="N19" s="1137">
        <f>+F19-H19-J19-L19</f>
        <v>0</v>
      </c>
    </row>
    <row r="20" spans="6:14" ht="12.5">
      <c r="F20" s="1101"/>
      <c r="G20" s="1101"/>
      <c r="H20" s="1101"/>
      <c r="I20" s="1101"/>
      <c r="J20" s="1101"/>
      <c r="K20" s="1101"/>
      <c r="L20" s="1101"/>
      <c r="N20" s="1101"/>
    </row>
    <row r="21" spans="1:14" ht="12.5">
      <c r="A21">
        <f>+A19+1</f>
        <v>7</v>
      </c>
      <c r="B21" s="587" t="s">
        <v>879</v>
      </c>
      <c r="D21">
        <v>926</v>
      </c>
      <c r="F21" s="1100">
        <v>0</v>
      </c>
      <c r="G21" s="1101"/>
      <c r="H21" s="1100">
        <v>0</v>
      </c>
      <c r="I21" s="1101"/>
      <c r="J21" s="1100">
        <v>0</v>
      </c>
      <c r="K21" s="1101"/>
      <c r="L21" s="1100">
        <v>0</v>
      </c>
      <c r="N21" s="1137">
        <f>+F21-H21-J21-L21</f>
        <v>0</v>
      </c>
    </row>
    <row r="22" spans="6:14" ht="12.5">
      <c r="F22" s="1101"/>
      <c r="G22" s="1101"/>
      <c r="H22" s="1101"/>
      <c r="I22" s="1101"/>
      <c r="J22" s="1101"/>
      <c r="K22" s="1101"/>
      <c r="L22" s="1101"/>
      <c r="N22" s="1101"/>
    </row>
    <row r="23" spans="1:14" ht="12.5">
      <c r="A23" s="975">
        <f>+A21+1</f>
        <v>8</v>
      </c>
      <c r="B23" s="587" t="s">
        <v>880</v>
      </c>
      <c r="D23">
        <v>927</v>
      </c>
      <c r="F23" s="1100">
        <v>0</v>
      </c>
      <c r="G23" s="1101"/>
      <c r="H23" s="1100">
        <v>0</v>
      </c>
      <c r="I23" s="1101"/>
      <c r="J23" s="1100">
        <v>0</v>
      </c>
      <c r="K23" s="1101"/>
      <c r="L23" s="1100">
        <v>0</v>
      </c>
      <c r="N23" s="1137">
        <f>+F23-H23-J23-L23</f>
        <v>0</v>
      </c>
    </row>
    <row r="24" spans="1:14" ht="12.5">
      <c r="A24" s="975"/>
      <c r="F24" s="1101"/>
      <c r="G24" s="1101"/>
      <c r="H24" s="1101"/>
      <c r="I24" s="1101"/>
      <c r="J24" s="1101"/>
      <c r="K24" s="1101"/>
      <c r="L24" s="1101"/>
      <c r="N24" s="1101"/>
    </row>
    <row r="25" spans="1:14" ht="12.5">
      <c r="A25" s="975">
        <f>+A23+1</f>
        <v>9</v>
      </c>
      <c r="B25" s="587" t="s">
        <v>881</v>
      </c>
      <c r="D25">
        <v>928</v>
      </c>
      <c r="F25" s="1100">
        <v>0</v>
      </c>
      <c r="G25" s="1101"/>
      <c r="H25" s="1100">
        <v>0</v>
      </c>
      <c r="I25" s="1101"/>
      <c r="J25" s="1100">
        <v>0</v>
      </c>
      <c r="K25" s="1101"/>
      <c r="L25" s="1100">
        <v>0</v>
      </c>
      <c r="N25" s="1137">
        <f>+F25-H25-J25-L25</f>
        <v>0</v>
      </c>
    </row>
    <row r="26" spans="1:14" ht="12.5">
      <c r="A26" s="975"/>
      <c r="F26" s="1101"/>
      <c r="G26" s="1101"/>
      <c r="H26" s="1101"/>
      <c r="I26" s="1101"/>
      <c r="J26" s="1101"/>
      <c r="K26" s="1101"/>
      <c r="L26" s="1101"/>
      <c r="N26" s="1101"/>
    </row>
    <row r="27" spans="1:14" ht="12.5">
      <c r="A27" s="975">
        <f>+A25+1</f>
        <v>10</v>
      </c>
      <c r="B27" s="587" t="s">
        <v>882</v>
      </c>
      <c r="D27">
        <v>929</v>
      </c>
      <c r="F27" s="1100">
        <v>0</v>
      </c>
      <c r="G27" s="1101"/>
      <c r="H27" s="1100">
        <v>0</v>
      </c>
      <c r="I27" s="1101"/>
      <c r="J27" s="1100">
        <v>0</v>
      </c>
      <c r="K27" s="1101"/>
      <c r="L27" s="1100">
        <v>0</v>
      </c>
      <c r="N27" s="1137">
        <f>+F27-H27-J27-L27</f>
        <v>0</v>
      </c>
    </row>
    <row r="28" spans="1:14" ht="12.5">
      <c r="A28" s="975"/>
      <c r="F28" s="1101"/>
      <c r="G28" s="1101"/>
      <c r="H28" s="1101"/>
      <c r="I28" s="1101"/>
      <c r="J28" s="1101"/>
      <c r="K28" s="1101"/>
      <c r="L28" s="1101"/>
      <c r="N28" s="1101"/>
    </row>
    <row r="29" spans="1:14" ht="12.5">
      <c r="A29" s="975">
        <f>+A27+1</f>
        <v>11</v>
      </c>
      <c r="B29" s="587" t="s">
        <v>883</v>
      </c>
      <c r="D29">
        <v>930.10</v>
      </c>
      <c r="F29" s="1100">
        <v>0</v>
      </c>
      <c r="G29" s="1101"/>
      <c r="H29" s="1100">
        <v>0</v>
      </c>
      <c r="I29" s="1101"/>
      <c r="J29" s="1100">
        <v>0</v>
      </c>
      <c r="K29" s="1101"/>
      <c r="L29" s="1100">
        <v>0</v>
      </c>
      <c r="N29" s="1137">
        <f>+F29-H29-J29-L29</f>
        <v>0</v>
      </c>
    </row>
    <row r="30" spans="1:14" ht="12.5">
      <c r="A30" s="975"/>
      <c r="F30" s="1101"/>
      <c r="G30" s="1101"/>
      <c r="H30" s="1101"/>
      <c r="I30" s="1101"/>
      <c r="J30" s="1101"/>
      <c r="K30" s="1101"/>
      <c r="L30" s="1101"/>
      <c r="N30" s="1101"/>
    </row>
    <row r="31" spans="1:14" ht="12.5">
      <c r="A31" s="975">
        <f>+A29+1</f>
        <v>12</v>
      </c>
      <c r="B31" s="587" t="s">
        <v>884</v>
      </c>
      <c r="D31">
        <v>930.20</v>
      </c>
      <c r="F31" s="1100">
        <v>0</v>
      </c>
      <c r="G31" s="1101"/>
      <c r="H31" s="1100">
        <v>0</v>
      </c>
      <c r="I31" s="1101"/>
      <c r="J31" s="1100">
        <v>0</v>
      </c>
      <c r="K31" s="1101"/>
      <c r="L31" s="1100">
        <v>0</v>
      </c>
      <c r="N31" s="1137">
        <f>+F31-H31-J31-L31</f>
        <v>0</v>
      </c>
    </row>
    <row r="32" spans="1:14" ht="12.5">
      <c r="A32" s="975"/>
      <c r="F32" s="1101"/>
      <c r="G32" s="1101"/>
      <c r="H32" s="1101"/>
      <c r="I32" s="1101"/>
      <c r="J32" s="1101"/>
      <c r="K32" s="1101"/>
      <c r="L32" s="1101"/>
      <c r="N32" s="1101"/>
    </row>
    <row r="33" spans="1:14" ht="12.5">
      <c r="A33" s="975">
        <f>+A31+1</f>
        <v>13</v>
      </c>
      <c r="B33" s="587" t="s">
        <v>885</v>
      </c>
      <c r="D33">
        <v>931</v>
      </c>
      <c r="F33" s="1100">
        <v>0</v>
      </c>
      <c r="G33" s="1101"/>
      <c r="H33" s="1100">
        <v>0</v>
      </c>
      <c r="I33" s="1101"/>
      <c r="J33" s="1100">
        <v>0</v>
      </c>
      <c r="K33" s="1101"/>
      <c r="L33" s="1100">
        <v>0</v>
      </c>
      <c r="N33" s="1137">
        <f>+F33-H33-J33-L33</f>
        <v>0</v>
      </c>
    </row>
    <row r="34" spans="6:14" ht="12.5">
      <c r="F34" s="1101"/>
      <c r="G34" s="1101"/>
      <c r="H34" s="1101"/>
      <c r="I34" s="1101"/>
      <c r="J34" s="1101"/>
      <c r="K34" s="1101"/>
      <c r="L34" s="1101"/>
      <c r="N34" s="1101"/>
    </row>
    <row r="35" spans="1:14" ht="12.5">
      <c r="A35">
        <f>+A33+1</f>
        <v>14</v>
      </c>
      <c r="B35" s="587" t="s">
        <v>886</v>
      </c>
      <c r="D35">
        <v>935</v>
      </c>
      <c r="F35" s="1100">
        <v>0</v>
      </c>
      <c r="G35" s="1101"/>
      <c r="H35" s="1100">
        <v>0</v>
      </c>
      <c r="I35" s="1101"/>
      <c r="J35" s="1100">
        <v>0</v>
      </c>
      <c r="K35" s="1101"/>
      <c r="L35" s="1100">
        <v>0</v>
      </c>
      <c r="N35" s="1137">
        <f>+F35-H35-J35-L35</f>
        <v>0</v>
      </c>
    </row>
    <row r="36" spans="6:14" ht="12.5">
      <c r="F36" s="1101"/>
      <c r="G36" s="1101"/>
      <c r="H36" s="1101"/>
      <c r="I36" s="1101"/>
      <c r="J36" s="1101"/>
      <c r="K36" s="1101"/>
      <c r="L36" s="1101"/>
      <c r="N36" s="1101"/>
    </row>
    <row r="37" spans="1:14" ht="12.5">
      <c r="A37">
        <f>+A35+1</f>
        <v>15</v>
      </c>
      <c r="B37" s="587" t="s">
        <v>65</v>
      </c>
      <c r="F37" s="1101">
        <f>+SUM(F9:F35)</f>
        <v>0</v>
      </c>
      <c r="G37" s="1101"/>
      <c r="H37" s="1101">
        <f>+SUM(H9:H35)</f>
        <v>0</v>
      </c>
      <c r="I37" s="1101"/>
      <c r="J37" s="1101">
        <f>+SUM(J9:J35)</f>
        <v>0</v>
      </c>
      <c r="K37" s="1101"/>
      <c r="L37" s="1101">
        <f>+SUM(L9:L35)</f>
        <v>0</v>
      </c>
      <c r="N37" s="1101">
        <f>+SUM(N9:N35)</f>
        <v>0</v>
      </c>
    </row>
  </sheetData>
  <mergeCells count="5">
    <mergeCell ref="B1:M1"/>
    <mergeCell ref="B2:M2"/>
    <mergeCell ref="B3:M3"/>
    <mergeCell ref="B4:M4"/>
    <mergeCell ref="H6:L6"/>
  </mergeCell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S38"/>
  <sheetViews>
    <sheetView zoomScale="70" zoomScaleNormal="70" workbookViewId="0" topLeftCell="A1"/>
  </sheetViews>
  <sheetFormatPr defaultRowHeight="12.75"/>
  <cols>
    <col min="1" max="1" width="4.57142857142857" style="640" customWidth="1"/>
    <col min="2" max="2" width="33.7142857142857" customWidth="1"/>
    <col min="3" max="3" width="12.1428571428571" bestFit="1" customWidth="1"/>
    <col min="4" max="4" width="12.1428571428571" style="640" customWidth="1"/>
    <col min="5" max="5" width="17.4285714285714" style="640" customWidth="1"/>
    <col min="6" max="6" width="12.1428571428571" style="640" customWidth="1"/>
    <col min="7" max="7" width="13.1428571428571" bestFit="1" customWidth="1"/>
    <col min="8" max="8" width="18.2857142857143" customWidth="1"/>
    <col min="9" max="9" width="16.1428571428571" customWidth="1"/>
    <col min="10" max="10" width="16.4285714285714" customWidth="1"/>
    <col min="11" max="11" width="14.7142857142857" customWidth="1"/>
    <col min="12" max="13" width="14.7142857142857" style="927" customWidth="1"/>
    <col min="14" max="14" width="19.4285714285714" customWidth="1"/>
    <col min="15" max="15" width="11.2857142857143" bestFit="1" customWidth="1"/>
    <col min="16" max="17" width="11.2857142857143" style="927" customWidth="1"/>
    <col min="18" max="18" width="14.7142857142857" customWidth="1"/>
    <col min="19" max="19" width="21.7142857142857" customWidth="1"/>
  </cols>
  <sheetData>
    <row r="1" spans="1:19" s="640" customFormat="1" ht="18">
      <c r="A1" s="975"/>
      <c r="B1" s="975"/>
      <c r="C1" s="975"/>
      <c r="D1" s="975"/>
      <c r="E1" s="975"/>
      <c r="F1" s="975"/>
      <c r="G1" s="975"/>
      <c r="H1" s="647" t="s">
        <v>0</v>
      </c>
      <c r="I1" s="975"/>
      <c r="J1" s="975"/>
      <c r="K1" s="975"/>
      <c r="L1" s="975"/>
      <c r="M1" s="975"/>
      <c r="N1" s="975"/>
      <c r="O1" s="975"/>
      <c r="P1" s="975"/>
      <c r="Q1" s="975"/>
      <c r="R1" s="975"/>
      <c r="S1" s="925"/>
    </row>
    <row r="2" spans="1:19" s="640" customFormat="1" ht="18">
      <c r="A2" s="975"/>
      <c r="B2" s="975"/>
      <c r="C2" s="975"/>
      <c r="D2" s="975"/>
      <c r="E2" s="975"/>
      <c r="F2" s="975"/>
      <c r="G2" s="975"/>
      <c r="H2" s="647" t="s">
        <v>299</v>
      </c>
      <c r="I2" s="975"/>
      <c r="J2" s="975"/>
      <c r="K2" s="975"/>
      <c r="L2" s="975"/>
      <c r="M2" s="975"/>
      <c r="N2" s="975"/>
      <c r="O2" s="975"/>
      <c r="P2" s="975"/>
      <c r="Q2" s="975"/>
      <c r="R2" s="975"/>
      <c r="S2" s="975"/>
    </row>
    <row r="3" spans="1:19" ht="18">
      <c r="A3" s="975"/>
      <c r="B3" s="628"/>
      <c r="C3" s="639"/>
      <c r="D3" s="639"/>
      <c r="E3" s="639"/>
      <c r="F3" s="639"/>
      <c r="G3" s="639"/>
      <c r="H3" s="677" t="s">
        <v>812</v>
      </c>
      <c r="I3" s="637"/>
      <c r="J3" s="639"/>
      <c r="K3" s="639"/>
      <c r="L3" s="639"/>
      <c r="M3" s="639"/>
      <c r="N3" s="639"/>
      <c r="O3" s="639"/>
      <c r="P3" s="639"/>
      <c r="Q3" s="639"/>
      <c r="R3" s="639"/>
      <c r="S3" s="975"/>
    </row>
    <row r="4" spans="1:19" s="718" customFormat="1" ht="18">
      <c r="A4" s="975"/>
      <c r="B4" s="628"/>
      <c r="C4" s="639"/>
      <c r="D4" s="639"/>
      <c r="E4" s="639"/>
      <c r="F4" s="639"/>
      <c r="G4" s="639"/>
      <c r="H4" s="677"/>
      <c r="I4" s="637"/>
      <c r="J4" s="639"/>
      <c r="K4" s="639"/>
      <c r="L4" s="639"/>
      <c r="M4" s="639"/>
      <c r="N4" s="639"/>
      <c r="O4" s="639"/>
      <c r="P4" s="639"/>
      <c r="Q4" s="639"/>
      <c r="R4" s="639"/>
      <c r="S4" s="975"/>
    </row>
    <row r="5" spans="1:19" s="718" customFormat="1" ht="18">
      <c r="A5" s="975"/>
      <c r="B5" s="220" t="s">
        <v>300</v>
      </c>
      <c r="C5" s="639"/>
      <c r="D5" s="639"/>
      <c r="E5" s="639"/>
      <c r="F5" s="639"/>
      <c r="G5" s="639"/>
      <c r="H5" s="677"/>
      <c r="I5" s="637"/>
      <c r="J5" s="639"/>
      <c r="K5" s="639"/>
      <c r="L5" s="639"/>
      <c r="M5" s="639"/>
      <c r="N5" s="639"/>
      <c r="O5" s="639"/>
      <c r="P5" s="639"/>
      <c r="Q5" s="639"/>
      <c r="R5" s="639"/>
      <c r="S5" s="975"/>
    </row>
    <row r="6" spans="1:19" ht="15.5">
      <c r="A6" s="216"/>
      <c r="B6" s="827" t="s">
        <v>813</v>
      </c>
      <c r="C6" s="627"/>
      <c r="D6" s="627"/>
      <c r="E6" s="627"/>
      <c r="F6" s="627"/>
      <c r="G6" s="627"/>
      <c r="H6" s="216"/>
      <c r="I6" s="216"/>
      <c r="J6" s="627"/>
      <c r="K6" s="627"/>
      <c r="L6" s="627"/>
      <c r="M6" s="627"/>
      <c r="N6" s="627"/>
      <c r="O6" s="627"/>
      <c r="P6" s="627"/>
      <c r="Q6" s="627"/>
      <c r="R6" s="627"/>
      <c r="S6" s="975"/>
    </row>
    <row r="7" spans="1:19" ht="15.5">
      <c r="A7" s="216"/>
      <c r="B7" s="633" t="s">
        <v>345</v>
      </c>
      <c r="C7" s="627"/>
      <c r="D7" s="627"/>
      <c r="E7" s="627"/>
      <c r="F7" s="627"/>
      <c r="G7" s="627"/>
      <c r="H7" s="627"/>
      <c r="I7" s="627"/>
      <c r="J7" s="627"/>
      <c r="K7" s="627"/>
      <c r="L7" s="627"/>
      <c r="M7" s="627"/>
      <c r="N7" s="627"/>
      <c r="O7" s="627"/>
      <c r="P7" s="627"/>
      <c r="Q7" s="627"/>
      <c r="R7" s="627"/>
      <c r="S7" s="975"/>
    </row>
    <row r="8" spans="1:19" ht="15.5">
      <c r="A8" s="216"/>
      <c r="B8" s="628" t="s">
        <v>301</v>
      </c>
      <c r="C8" s="628" t="s">
        <v>302</v>
      </c>
      <c r="D8" s="628" t="s">
        <v>303</v>
      </c>
      <c r="E8" s="628" t="s">
        <v>304</v>
      </c>
      <c r="F8" s="628" t="s">
        <v>305</v>
      </c>
      <c r="G8" s="628" t="s">
        <v>306</v>
      </c>
      <c r="H8" s="628" t="s">
        <v>307</v>
      </c>
      <c r="I8" s="628" t="s">
        <v>308</v>
      </c>
      <c r="J8" s="628" t="s">
        <v>309</v>
      </c>
      <c r="K8" s="628" t="s">
        <v>310</v>
      </c>
      <c r="L8" s="628" t="s">
        <v>311</v>
      </c>
      <c r="M8" s="628" t="s">
        <v>312</v>
      </c>
      <c r="N8" s="628" t="s">
        <v>313</v>
      </c>
      <c r="O8" s="628" t="s">
        <v>314</v>
      </c>
      <c r="P8" s="628" t="s">
        <v>315</v>
      </c>
      <c r="Q8" s="628" t="s">
        <v>316</v>
      </c>
      <c r="R8" s="628" t="s">
        <v>317</v>
      </c>
      <c r="S8" s="628" t="s">
        <v>982</v>
      </c>
    </row>
    <row r="9" spans="1:19" ht="62">
      <c r="A9" s="216"/>
      <c r="B9" s="634" t="s">
        <v>318</v>
      </c>
      <c r="C9" s="634" t="s">
        <v>319</v>
      </c>
      <c r="D9" s="634" t="s">
        <v>320</v>
      </c>
      <c r="E9" s="634" t="s">
        <v>321</v>
      </c>
      <c r="F9" s="634" t="s">
        <v>322</v>
      </c>
      <c r="G9" s="634" t="s">
        <v>323</v>
      </c>
      <c r="H9" s="634" t="s">
        <v>324</v>
      </c>
      <c r="I9" s="634" t="s">
        <v>225</v>
      </c>
      <c r="J9" s="634" t="s">
        <v>346</v>
      </c>
      <c r="K9" s="634" t="s">
        <v>325</v>
      </c>
      <c r="L9" s="634" t="s">
        <v>21</v>
      </c>
      <c r="M9" s="634" t="s">
        <v>326</v>
      </c>
      <c r="N9" s="634" t="s">
        <v>327</v>
      </c>
      <c r="O9" s="634" t="s">
        <v>328</v>
      </c>
      <c r="P9" s="634" t="s">
        <v>66</v>
      </c>
      <c r="Q9" s="634" t="s">
        <v>329</v>
      </c>
      <c r="R9" s="634" t="s">
        <v>330</v>
      </c>
      <c r="S9" s="634" t="s">
        <v>331</v>
      </c>
    </row>
    <row r="10" spans="1:19" ht="15.5">
      <c r="A10" s="216"/>
      <c r="B10" s="633"/>
      <c r="C10" s="628"/>
      <c r="D10" s="628"/>
      <c r="E10" s="628"/>
      <c r="F10" s="628"/>
      <c r="G10" s="628"/>
      <c r="H10" s="628"/>
      <c r="I10" s="628"/>
      <c r="J10" s="627"/>
      <c r="K10" s="627"/>
      <c r="L10" s="627"/>
      <c r="M10" s="627"/>
      <c r="N10" s="627"/>
      <c r="O10" s="627"/>
      <c r="P10" s="627"/>
      <c r="Q10" s="627"/>
      <c r="R10" s="264"/>
      <c r="S10" s="264"/>
    </row>
    <row r="11" spans="1:19" ht="46.5">
      <c r="A11" s="642">
        <v>1</v>
      </c>
      <c r="B11" s="716" t="s">
        <v>347</v>
      </c>
      <c r="C11" s="635">
        <v>0</v>
      </c>
      <c r="D11" s="715"/>
      <c r="E11" s="715"/>
      <c r="F11" s="715"/>
      <c r="G11" s="56">
        <f>365/365</f>
        <v>1</v>
      </c>
      <c r="H11" s="853">
        <f>+J11+N11+R11</f>
        <v>-13207798</v>
      </c>
      <c r="I11" s="854">
        <v>-13207798</v>
      </c>
      <c r="J11" s="855">
        <f>G11*I11</f>
        <v>-13207798</v>
      </c>
      <c r="K11" s="854">
        <v>0</v>
      </c>
      <c r="L11" s="725">
        <f>+'Appendix A'!$H$27</f>
        <v>0.16002770040064465</v>
      </c>
      <c r="M11" s="928">
        <f>+K11*L11</f>
        <v>0</v>
      </c>
      <c r="N11" s="855">
        <f>+G11*M11</f>
        <v>0</v>
      </c>
      <c r="O11" s="854">
        <v>0</v>
      </c>
      <c r="P11" s="725">
        <f>+'Appendix A'!$H$16</f>
        <v>0.09138981159089922</v>
      </c>
      <c r="Q11" s="928">
        <f>+O11*P11</f>
        <v>0</v>
      </c>
      <c r="R11" s="855">
        <f>+G11*Q11</f>
        <v>0</v>
      </c>
      <c r="S11" s="1060">
        <f>+J11+N11+R11</f>
        <v>-13207798</v>
      </c>
    </row>
    <row r="12" spans="1:19" ht="15.5">
      <c r="A12" s="642">
        <f>+A11+1</f>
        <v>2</v>
      </c>
      <c r="B12" s="627" t="s">
        <v>332</v>
      </c>
      <c r="C12" s="635">
        <v>0</v>
      </c>
      <c r="D12" s="653">
        <v>31</v>
      </c>
      <c r="E12" s="654">
        <f>E13+D13</f>
        <v>335</v>
      </c>
      <c r="F12" s="654">
        <f>SUM(D12:D23)</f>
        <v>365</v>
      </c>
      <c r="G12" s="56">
        <f>335/365</f>
        <v>0.9178082191780822</v>
      </c>
      <c r="H12" s="853">
        <f t="shared" si="0" ref="H12:H24">+J12+N12+R12</f>
        <v>-1152190.4337899545</v>
      </c>
      <c r="I12" s="854">
        <f>+((-11855067-$I$11)+-16417191)/12</f>
        <v>-1255371.6666666667</v>
      </c>
      <c r="J12" s="855">
        <f t="shared" si="1" ref="J12:J23">G12*I12</f>
        <v>-1152190.4337899545</v>
      </c>
      <c r="K12" s="854">
        <v>0</v>
      </c>
      <c r="L12" s="725">
        <f>+'Appendix A'!$H$27</f>
        <v>0.16002770040064465</v>
      </c>
      <c r="M12" s="928">
        <f t="shared" si="2" ref="M12:M23">+K12*L12</f>
        <v>0</v>
      </c>
      <c r="N12" s="855">
        <f t="shared" si="3" ref="N12:N23">+G12*M12</f>
        <v>0</v>
      </c>
      <c r="O12" s="854">
        <v>0</v>
      </c>
      <c r="P12" s="725">
        <f>+'Appendix A'!$H$16</f>
        <v>0.09138981159089922</v>
      </c>
      <c r="Q12" s="928">
        <f t="shared" si="4" ref="Q12:Q23">+O12*P12</f>
        <v>0</v>
      </c>
      <c r="R12" s="855">
        <f t="shared" si="5" ref="R12:R23">+G12*Q12</f>
        <v>0</v>
      </c>
      <c r="S12" s="1060">
        <f t="shared" si="6" ref="S12:S24">+J12+N12+R12</f>
        <v>-1152190.4337899545</v>
      </c>
    </row>
    <row r="13" spans="1:19" ht="15.5">
      <c r="A13" s="642">
        <f t="shared" si="7" ref="A13:A24">+A12+1</f>
        <v>3</v>
      </c>
      <c r="B13" s="627" t="s">
        <v>333</v>
      </c>
      <c r="C13" s="715">
        <f>+$C$12</f>
        <v>0</v>
      </c>
      <c r="D13" s="655">
        <v>28</v>
      </c>
      <c r="E13" s="654">
        <f t="shared" si="8" ref="E13:E20">E14+D14</f>
        <v>307</v>
      </c>
      <c r="F13" s="654">
        <f>F12</f>
        <v>365</v>
      </c>
      <c r="G13" s="56">
        <f>307/365</f>
        <v>0.84109589041095889</v>
      </c>
      <c r="H13" s="853">
        <f>+J13+N13+R13</f>
        <v>-1055887.9497716895</v>
      </c>
      <c r="I13" s="854">
        <f t="shared" si="9" ref="I13:I23">+((-11855067-$I$11)+-16417191)/12</f>
        <v>-1255371.6666666667</v>
      </c>
      <c r="J13" s="855">
        <f>G13*I13</f>
        <v>-1055887.9497716895</v>
      </c>
      <c r="K13" s="854">
        <v>0</v>
      </c>
      <c r="L13" s="725">
        <f>+'Appendix A'!$H$27</f>
        <v>0.16002770040064465</v>
      </c>
      <c r="M13" s="928">
        <f>+K13*L13</f>
        <v>0</v>
      </c>
      <c r="N13" s="855">
        <f>+G13*M13</f>
        <v>0</v>
      </c>
      <c r="O13" s="854">
        <v>0</v>
      </c>
      <c r="P13" s="725">
        <f>+'Appendix A'!$H$16</f>
        <v>0.09138981159089922</v>
      </c>
      <c r="Q13" s="928">
        <f>+O13*P13</f>
        <v>0</v>
      </c>
      <c r="R13" s="855">
        <f>+G13*Q13</f>
        <v>0</v>
      </c>
      <c r="S13" s="1060">
        <f>+J13+N13+R13</f>
        <v>-1055887.9497716895</v>
      </c>
    </row>
    <row r="14" spans="1:19" ht="15.5">
      <c r="A14" s="642">
        <f>+A13+1</f>
        <v>4</v>
      </c>
      <c r="B14" s="627" t="s">
        <v>334</v>
      </c>
      <c r="C14" s="715">
        <f t="shared" si="10" ref="C14:C23">+$C$12</f>
        <v>0</v>
      </c>
      <c r="D14" s="653">
        <v>31</v>
      </c>
      <c r="E14" s="654">
        <f>E15+D15</f>
        <v>276</v>
      </c>
      <c r="F14" s="654">
        <f t="shared" si="11" ref="F14:F23">F13</f>
        <v>365</v>
      </c>
      <c r="G14" s="56">
        <f>276/365</f>
        <v>0.75616438356164384</v>
      </c>
      <c r="H14" s="853">
        <f>+J14+N14+R14</f>
        <v>-949267.34246575343</v>
      </c>
      <c r="I14" s="854">
        <f>+((-11855067-$I$11)+-16417191)/12</f>
        <v>-1255371.6666666667</v>
      </c>
      <c r="J14" s="855">
        <f>G14*I14</f>
        <v>-949267.34246575343</v>
      </c>
      <c r="K14" s="854">
        <v>0</v>
      </c>
      <c r="L14" s="725">
        <f>+'Appendix A'!$H$27</f>
        <v>0.16002770040064465</v>
      </c>
      <c r="M14" s="928">
        <f>+K14*L14</f>
        <v>0</v>
      </c>
      <c r="N14" s="855">
        <f>+G14*M14</f>
        <v>0</v>
      </c>
      <c r="O14" s="854">
        <v>0</v>
      </c>
      <c r="P14" s="725">
        <f>+'Appendix A'!$H$16</f>
        <v>0.09138981159089922</v>
      </c>
      <c r="Q14" s="928">
        <f>+O14*P14</f>
        <v>0</v>
      </c>
      <c r="R14" s="855">
        <f>+G14*Q14</f>
        <v>0</v>
      </c>
      <c r="S14" s="1060">
        <f>+J14+N14+R14</f>
        <v>-949267.34246575343</v>
      </c>
    </row>
    <row r="15" spans="1:19" ht="15.5">
      <c r="A15" s="642">
        <f>+A14+1</f>
        <v>5</v>
      </c>
      <c r="B15" s="627" t="s">
        <v>335</v>
      </c>
      <c r="C15" s="715">
        <f>+$C$12</f>
        <v>0</v>
      </c>
      <c r="D15" s="653">
        <v>30</v>
      </c>
      <c r="E15" s="654">
        <f>E16+D16</f>
        <v>246</v>
      </c>
      <c r="F15" s="654">
        <f>F14</f>
        <v>365</v>
      </c>
      <c r="G15" s="56">
        <f>246/365</f>
        <v>0.67397260273972603</v>
      </c>
      <c r="H15" s="853">
        <f>+J15+N15+R15</f>
        <v>-846086.10958904121</v>
      </c>
      <c r="I15" s="854">
        <f>+((-11855067-$I$11)+-16417191)/12</f>
        <v>-1255371.6666666667</v>
      </c>
      <c r="J15" s="855">
        <f>G15*I15</f>
        <v>-846086.10958904121</v>
      </c>
      <c r="K15" s="854">
        <v>0</v>
      </c>
      <c r="L15" s="725">
        <f>+'Appendix A'!$H$27</f>
        <v>0.16002770040064465</v>
      </c>
      <c r="M15" s="928">
        <f>+K15*L15</f>
        <v>0</v>
      </c>
      <c r="N15" s="855">
        <f>+G15*M15</f>
        <v>0</v>
      </c>
      <c r="O15" s="854">
        <v>0</v>
      </c>
      <c r="P15" s="725">
        <f>+'Appendix A'!$H$16</f>
        <v>0.09138981159089922</v>
      </c>
      <c r="Q15" s="928">
        <f>+O15*P15</f>
        <v>0</v>
      </c>
      <c r="R15" s="855">
        <f>+G15*Q15</f>
        <v>0</v>
      </c>
      <c r="S15" s="1060">
        <f>+J15+N15+R15</f>
        <v>-846086.10958904121</v>
      </c>
    </row>
    <row r="16" spans="1:19" ht="15.5">
      <c r="A16" s="642">
        <f>+A15+1</f>
        <v>6</v>
      </c>
      <c r="B16" s="627" t="s">
        <v>336</v>
      </c>
      <c r="C16" s="715">
        <f>+$C$12</f>
        <v>0</v>
      </c>
      <c r="D16" s="653">
        <v>31</v>
      </c>
      <c r="E16" s="654">
        <f>E17+D17</f>
        <v>215</v>
      </c>
      <c r="F16" s="654">
        <f>F15</f>
        <v>365</v>
      </c>
      <c r="G16" s="56">
        <f>215/365</f>
        <v>0.58904109589041098</v>
      </c>
      <c r="H16" s="853">
        <f>+J16+N16+R16</f>
        <v>-739465.50228310504</v>
      </c>
      <c r="I16" s="854">
        <f>+((-11855067-$I$11)+-16417191)/12</f>
        <v>-1255371.6666666667</v>
      </c>
      <c r="J16" s="855">
        <f>G16*I16</f>
        <v>-739465.50228310504</v>
      </c>
      <c r="K16" s="854">
        <v>0</v>
      </c>
      <c r="L16" s="725">
        <f>+'Appendix A'!$H$27</f>
        <v>0.16002770040064465</v>
      </c>
      <c r="M16" s="928">
        <f>+K16*L16</f>
        <v>0</v>
      </c>
      <c r="N16" s="855">
        <f>+G16*M16</f>
        <v>0</v>
      </c>
      <c r="O16" s="854">
        <v>0</v>
      </c>
      <c r="P16" s="725">
        <f>+'Appendix A'!$H$16</f>
        <v>0.09138981159089922</v>
      </c>
      <c r="Q16" s="928">
        <f>+O16*P16</f>
        <v>0</v>
      </c>
      <c r="R16" s="855">
        <f>+G16*Q16</f>
        <v>0</v>
      </c>
      <c r="S16" s="1060">
        <f>+J16+N16+R16</f>
        <v>-739465.50228310504</v>
      </c>
    </row>
    <row r="17" spans="1:19" ht="15.5">
      <c r="A17" s="642">
        <f>+A16+1</f>
        <v>7</v>
      </c>
      <c r="B17" s="627" t="s">
        <v>337</v>
      </c>
      <c r="C17" s="715">
        <f>+$C$12</f>
        <v>0</v>
      </c>
      <c r="D17" s="653">
        <v>30</v>
      </c>
      <c r="E17" s="654">
        <f>E18+D18</f>
        <v>185</v>
      </c>
      <c r="F17" s="654">
        <f>F16</f>
        <v>365</v>
      </c>
      <c r="G17" s="56">
        <f>185/365</f>
        <v>0.50684931506849318</v>
      </c>
      <c r="H17" s="853">
        <f>+J17+N17+R17</f>
        <v>-636284.26940639282</v>
      </c>
      <c r="I17" s="854">
        <f>+((-11855067-$I$11)+-16417191)/12</f>
        <v>-1255371.6666666667</v>
      </c>
      <c r="J17" s="855">
        <f>G17*I17</f>
        <v>-636284.26940639282</v>
      </c>
      <c r="K17" s="854">
        <v>0</v>
      </c>
      <c r="L17" s="725">
        <f>+'Appendix A'!$H$27</f>
        <v>0.16002770040064465</v>
      </c>
      <c r="M17" s="928">
        <f>+K17*L17</f>
        <v>0</v>
      </c>
      <c r="N17" s="855">
        <f>+G17*M17</f>
        <v>0</v>
      </c>
      <c r="O17" s="854">
        <v>0</v>
      </c>
      <c r="P17" s="725">
        <f>+'Appendix A'!$H$16</f>
        <v>0.09138981159089922</v>
      </c>
      <c r="Q17" s="928">
        <f>+O17*P17</f>
        <v>0</v>
      </c>
      <c r="R17" s="855">
        <f>+G17*Q17</f>
        <v>0</v>
      </c>
      <c r="S17" s="1060">
        <f>+J17+N17+R17</f>
        <v>-636284.26940639282</v>
      </c>
    </row>
    <row r="18" spans="1:19" ht="15.5">
      <c r="A18" s="642">
        <f>+A17+1</f>
        <v>8</v>
      </c>
      <c r="B18" s="627" t="s">
        <v>338</v>
      </c>
      <c r="C18" s="715">
        <f>+$C$12</f>
        <v>0</v>
      </c>
      <c r="D18" s="653">
        <v>31</v>
      </c>
      <c r="E18" s="654">
        <f>E19+D19</f>
        <v>154</v>
      </c>
      <c r="F18" s="654">
        <f>F17</f>
        <v>365</v>
      </c>
      <c r="G18" s="56">
        <f>154/365</f>
        <v>0.42191780821917807</v>
      </c>
      <c r="H18" s="853">
        <f>+J18+N18+R18</f>
        <v>-529663.66210045666</v>
      </c>
      <c r="I18" s="854">
        <f>+((-11855067-$I$11)+-16417191)/12</f>
        <v>-1255371.6666666667</v>
      </c>
      <c r="J18" s="855">
        <f>G18*I18</f>
        <v>-529663.66210045666</v>
      </c>
      <c r="K18" s="854">
        <v>0</v>
      </c>
      <c r="L18" s="725">
        <f>+'Appendix A'!$H$27</f>
        <v>0.16002770040064465</v>
      </c>
      <c r="M18" s="928">
        <f>+K18*L18</f>
        <v>0</v>
      </c>
      <c r="N18" s="855">
        <f>+G18*M18</f>
        <v>0</v>
      </c>
      <c r="O18" s="854">
        <v>0</v>
      </c>
      <c r="P18" s="725">
        <f>+'Appendix A'!$H$16</f>
        <v>0.09138981159089922</v>
      </c>
      <c r="Q18" s="928">
        <f>+O18*P18</f>
        <v>0</v>
      </c>
      <c r="R18" s="855">
        <f>+G18*Q18</f>
        <v>0</v>
      </c>
      <c r="S18" s="1060">
        <f>+J18+N18+R18</f>
        <v>-529663.66210045666</v>
      </c>
    </row>
    <row r="19" spans="1:19" ht="15.5">
      <c r="A19" s="642">
        <f>+A18+1</f>
        <v>9</v>
      </c>
      <c r="B19" s="627" t="s">
        <v>339</v>
      </c>
      <c r="C19" s="715">
        <f>+$C$12</f>
        <v>0</v>
      </c>
      <c r="D19" s="653">
        <v>31</v>
      </c>
      <c r="E19" s="654">
        <f>E20+D20</f>
        <v>123</v>
      </c>
      <c r="F19" s="654">
        <f>F18</f>
        <v>365</v>
      </c>
      <c r="G19" s="56">
        <f>123/365</f>
        <v>0.33698630136986302</v>
      </c>
      <c r="H19" s="853">
        <f>+J19+N19+R19</f>
        <v>-423043.05479452061</v>
      </c>
      <c r="I19" s="854">
        <f>+((-11855067-$I$11)+-16417191)/12</f>
        <v>-1255371.6666666667</v>
      </c>
      <c r="J19" s="855">
        <f>G19*I19</f>
        <v>-423043.05479452061</v>
      </c>
      <c r="K19" s="854">
        <v>0</v>
      </c>
      <c r="L19" s="725">
        <f>+'Appendix A'!$H$27</f>
        <v>0.16002770040064465</v>
      </c>
      <c r="M19" s="928">
        <f>+K19*L19</f>
        <v>0</v>
      </c>
      <c r="N19" s="855">
        <f>+G19*M19</f>
        <v>0</v>
      </c>
      <c r="O19" s="854">
        <v>0</v>
      </c>
      <c r="P19" s="725">
        <f>+'Appendix A'!$H$16</f>
        <v>0.09138981159089922</v>
      </c>
      <c r="Q19" s="928">
        <f>+O19*P19</f>
        <v>0</v>
      </c>
      <c r="R19" s="855">
        <f>+G19*Q19</f>
        <v>0</v>
      </c>
      <c r="S19" s="1060">
        <f>+J19+N19+R19</f>
        <v>-423043.05479452061</v>
      </c>
    </row>
    <row r="20" spans="1:19" ht="15.5">
      <c r="A20" s="642">
        <f>+A19+1</f>
        <v>10</v>
      </c>
      <c r="B20" s="627" t="s">
        <v>340</v>
      </c>
      <c r="C20" s="715">
        <f>+$C$12</f>
        <v>0</v>
      </c>
      <c r="D20" s="653">
        <v>30</v>
      </c>
      <c r="E20" s="654">
        <f>E21+D21</f>
        <v>93</v>
      </c>
      <c r="F20" s="654">
        <f>F19</f>
        <v>365</v>
      </c>
      <c r="G20" s="56">
        <f>93/365</f>
        <v>0.25479452054794521</v>
      </c>
      <c r="H20" s="853">
        <f>+J20+N20+R20</f>
        <v>-319861.82191780827</v>
      </c>
      <c r="I20" s="854">
        <f>+((-11855067-$I$11)+-16417191)/12</f>
        <v>-1255371.6666666667</v>
      </c>
      <c r="J20" s="855">
        <f>G20*I20</f>
        <v>-319861.82191780827</v>
      </c>
      <c r="K20" s="854">
        <v>0</v>
      </c>
      <c r="L20" s="725">
        <f>+'Appendix A'!$H$27</f>
        <v>0.16002770040064465</v>
      </c>
      <c r="M20" s="928">
        <f>+K20*L20</f>
        <v>0</v>
      </c>
      <c r="N20" s="855">
        <f>+G20*M20</f>
        <v>0</v>
      </c>
      <c r="O20" s="854">
        <v>0</v>
      </c>
      <c r="P20" s="725">
        <f>+'Appendix A'!$H$16</f>
        <v>0.09138981159089922</v>
      </c>
      <c r="Q20" s="928">
        <f>+O20*P20</f>
        <v>0</v>
      </c>
      <c r="R20" s="855">
        <f>+G20*Q20</f>
        <v>0</v>
      </c>
      <c r="S20" s="1060">
        <f>+J20+N20+R20</f>
        <v>-319861.82191780827</v>
      </c>
    </row>
    <row r="21" spans="1:19" ht="15.5">
      <c r="A21" s="642">
        <f>+A20+1</f>
        <v>11</v>
      </c>
      <c r="B21" s="627" t="s">
        <v>341</v>
      </c>
      <c r="C21" s="715">
        <f>+$C$12</f>
        <v>0</v>
      </c>
      <c r="D21" s="653">
        <v>31</v>
      </c>
      <c r="E21" s="654">
        <f>E22+D22</f>
        <v>62</v>
      </c>
      <c r="F21" s="654">
        <f>F20</f>
        <v>365</v>
      </c>
      <c r="G21" s="56">
        <f>62/365</f>
        <v>0.16986301369863013</v>
      </c>
      <c r="H21" s="853">
        <f>+J21+N21+R21</f>
        <v>-213241.21461187216</v>
      </c>
      <c r="I21" s="854">
        <f>+((-11855067-$I$11)+-16417191)/12</f>
        <v>-1255371.6666666667</v>
      </c>
      <c r="J21" s="855">
        <f>G21*I21</f>
        <v>-213241.21461187216</v>
      </c>
      <c r="K21" s="854">
        <v>0</v>
      </c>
      <c r="L21" s="725">
        <f>+'Appendix A'!$H$27</f>
        <v>0.16002770040064465</v>
      </c>
      <c r="M21" s="928">
        <f>+K21*L21</f>
        <v>0</v>
      </c>
      <c r="N21" s="855">
        <f>+G21*M21</f>
        <v>0</v>
      </c>
      <c r="O21" s="854">
        <v>0</v>
      </c>
      <c r="P21" s="725">
        <f>+'Appendix A'!$H$16</f>
        <v>0.09138981159089922</v>
      </c>
      <c r="Q21" s="928">
        <f>+O21*P21</f>
        <v>0</v>
      </c>
      <c r="R21" s="855">
        <f>+G21*Q21</f>
        <v>0</v>
      </c>
      <c r="S21" s="1060">
        <f>+J21+N21+R21</f>
        <v>-213241.21461187216</v>
      </c>
    </row>
    <row r="22" spans="1:19" ht="15.5">
      <c r="A22" s="642">
        <f>+A21+1</f>
        <v>12</v>
      </c>
      <c r="B22" s="627" t="s">
        <v>342</v>
      </c>
      <c r="C22" s="715">
        <f>+$C$12</f>
        <v>0</v>
      </c>
      <c r="D22" s="653">
        <v>30</v>
      </c>
      <c r="E22" s="654">
        <f>E23+D23</f>
        <v>32</v>
      </c>
      <c r="F22" s="654">
        <f>F21</f>
        <v>365</v>
      </c>
      <c r="G22" s="56">
        <f>32/365</f>
        <v>0.087671232876712329</v>
      </c>
      <c r="H22" s="853">
        <f>+J22+N22+R22</f>
        <v>-110059.98173515983</v>
      </c>
      <c r="I22" s="854">
        <f>+((-11855067-$I$11)+-16417191)/12</f>
        <v>-1255371.6666666667</v>
      </c>
      <c r="J22" s="855">
        <f>G22*I22</f>
        <v>-110059.98173515983</v>
      </c>
      <c r="K22" s="854">
        <v>0</v>
      </c>
      <c r="L22" s="725">
        <f>+'Appendix A'!$H$27</f>
        <v>0.16002770040064465</v>
      </c>
      <c r="M22" s="928">
        <f>+K22*L22</f>
        <v>0</v>
      </c>
      <c r="N22" s="855">
        <f>+G22*M22</f>
        <v>0</v>
      </c>
      <c r="O22" s="854">
        <v>0</v>
      </c>
      <c r="P22" s="725">
        <f>+'Appendix A'!$H$16</f>
        <v>0.09138981159089922</v>
      </c>
      <c r="Q22" s="928">
        <f>+O22*P22</f>
        <v>0</v>
      </c>
      <c r="R22" s="855">
        <f>+G22*Q22</f>
        <v>0</v>
      </c>
      <c r="S22" s="1060">
        <f>+J22+N22+R22</f>
        <v>-110059.98173515983</v>
      </c>
    </row>
    <row r="23" spans="1:19" ht="18.5">
      <c r="A23" s="642">
        <f>+A22+1</f>
        <v>13</v>
      </c>
      <c r="B23" s="627" t="s">
        <v>343</v>
      </c>
      <c r="C23" s="715">
        <f>+$C$12</f>
        <v>0</v>
      </c>
      <c r="D23" s="653">
        <v>31</v>
      </c>
      <c r="E23" s="654">
        <v>1</v>
      </c>
      <c r="F23" s="654">
        <f>F22</f>
        <v>365</v>
      </c>
      <c r="G23" s="56">
        <f>1/365</f>
        <v>0.0027397260273972603</v>
      </c>
      <c r="H23" s="1057">
        <f>+J23+N23+R23</f>
        <v>-3439.3744292237448</v>
      </c>
      <c r="I23" s="1058">
        <f>+((-11855067-$I$11)+-16417191)/12</f>
        <v>-1255371.6666666667</v>
      </c>
      <c r="J23" s="1059">
        <f>G23*I23</f>
        <v>-3439.3744292237448</v>
      </c>
      <c r="K23" s="1058">
        <v>0</v>
      </c>
      <c r="L23" s="725">
        <f>+'Appendix A'!$H$27</f>
        <v>0.16002770040064465</v>
      </c>
      <c r="M23" s="928">
        <f>+K23*L23</f>
        <v>0</v>
      </c>
      <c r="N23" s="1059">
        <f>+G23*M23</f>
        <v>0</v>
      </c>
      <c r="O23" s="1058">
        <v>0</v>
      </c>
      <c r="P23" s="725">
        <f>+'Appendix A'!$H$16</f>
        <v>0.09138981159089922</v>
      </c>
      <c r="Q23" s="928">
        <f>+O23*P23</f>
        <v>0</v>
      </c>
      <c r="R23" s="1059">
        <f>+G23*Q23</f>
        <v>0</v>
      </c>
      <c r="S23" s="1061">
        <f>+J23+N23+R23</f>
        <v>-3439.3744292237448</v>
      </c>
    </row>
    <row r="24" spans="1:19" ht="15.5">
      <c r="A24" s="642">
        <f>+A23+1</f>
        <v>14</v>
      </c>
      <c r="B24" s="643" t="s">
        <v>344</v>
      </c>
      <c r="C24" s="627"/>
      <c r="D24" s="629">
        <f>+SUM(D12:D23)</f>
        <v>365</v>
      </c>
      <c r="E24" s="627"/>
      <c r="F24" s="627"/>
      <c r="G24" s="627"/>
      <c r="H24" s="853">
        <f>+J24+N24+R24</f>
        <v>-20186288.716894973</v>
      </c>
      <c r="I24" s="855">
        <f>SUM(I11:I23)</f>
        <v>-28272258.000000011</v>
      </c>
      <c r="J24" s="855">
        <f t="shared" si="12" ref="J24:O24">SUM(J11:J23)</f>
        <v>-20186288.716894973</v>
      </c>
      <c r="K24" s="855">
        <f>SUM(K11:K23)</f>
        <v>0</v>
      </c>
      <c r="L24" s="855"/>
      <c r="M24" s="855"/>
      <c r="N24" s="855">
        <f t="shared" si="13" ref="N24">SUM(N11:N23)</f>
        <v>0</v>
      </c>
      <c r="O24" s="855">
        <f>SUM(O11:O23)</f>
        <v>0</v>
      </c>
      <c r="P24" s="855"/>
      <c r="Q24" s="855"/>
      <c r="R24" s="855">
        <f t="shared" si="14" ref="R24">SUM(R11:R23)</f>
        <v>0</v>
      </c>
      <c r="S24" s="1060">
        <f>+J24+N24+R24</f>
        <v>-20186288.716894973</v>
      </c>
    </row>
    <row r="25" spans="1:19" s="708" customFormat="1" ht="15.5">
      <c r="A25" s="642"/>
      <c r="B25" s="643"/>
      <c r="C25" s="627"/>
      <c r="D25" s="629"/>
      <c r="E25" s="627"/>
      <c r="F25" s="627"/>
      <c r="G25" s="627"/>
      <c r="H25" s="629"/>
      <c r="I25" s="629"/>
      <c r="J25" s="629"/>
      <c r="K25" s="629"/>
      <c r="L25" s="629"/>
      <c r="M25" s="629"/>
      <c r="N25" s="629"/>
      <c r="O25" s="629"/>
      <c r="P25" s="629"/>
      <c r="Q25" s="629"/>
      <c r="R25" s="629"/>
      <c r="S25" s="975"/>
    </row>
    <row r="26" spans="1:19" s="708" customFormat="1" ht="15.5">
      <c r="A26" s="642"/>
      <c r="B26" s="643"/>
      <c r="C26" s="627"/>
      <c r="D26" s="629"/>
      <c r="E26" s="627"/>
      <c r="F26" s="627"/>
      <c r="G26" s="627"/>
      <c r="H26" s="629"/>
      <c r="I26" s="629"/>
      <c r="J26" s="629"/>
      <c r="K26" s="629"/>
      <c r="L26" s="629"/>
      <c r="M26" s="629"/>
      <c r="N26" s="629"/>
      <c r="O26" s="629"/>
      <c r="P26" s="629"/>
      <c r="Q26" s="629"/>
      <c r="R26" s="629"/>
      <c r="S26" s="975"/>
    </row>
    <row r="27" spans="1:18" ht="15.5">
      <c r="A27" s="216"/>
      <c r="B27" s="216" t="s">
        <v>1019</v>
      </c>
      <c r="C27" s="216"/>
      <c r="D27" s="216"/>
      <c r="E27" s="216"/>
      <c r="F27" s="216"/>
      <c r="G27" s="216"/>
      <c r="H27" s="216"/>
      <c r="I27" s="216"/>
      <c r="J27" s="216"/>
      <c r="K27" s="216"/>
      <c r="L27" s="216"/>
      <c r="M27" s="216"/>
      <c r="N27" s="216"/>
      <c r="O27" s="216"/>
      <c r="P27" s="216"/>
      <c r="Q27" s="216"/>
      <c r="R27" s="216"/>
    </row>
    <row r="28" spans="1:18" ht="15.5">
      <c r="A28" s="216"/>
      <c r="B28" s="216"/>
      <c r="C28" s="216"/>
      <c r="D28" s="216"/>
      <c r="E28" s="216"/>
      <c r="F28" s="216"/>
      <c r="G28" s="216"/>
      <c r="H28" s="216"/>
      <c r="I28" s="216"/>
      <c r="J28" s="216"/>
      <c r="K28" s="216"/>
      <c r="L28" s="216"/>
      <c r="M28" s="216"/>
      <c r="N28" s="216"/>
      <c r="O28" s="216"/>
      <c r="P28" s="216"/>
      <c r="Q28" s="216"/>
      <c r="R28" s="216"/>
    </row>
    <row r="29" spans="1:18" ht="15.5">
      <c r="A29" s="216"/>
      <c r="B29" s="216"/>
      <c r="C29" s="216"/>
      <c r="D29" s="216"/>
      <c r="E29" s="216"/>
      <c r="F29" s="216"/>
      <c r="G29" s="216"/>
      <c r="H29" s="216"/>
      <c r="I29" s="216"/>
      <c r="J29" s="216"/>
      <c r="K29" s="216"/>
      <c r="L29" s="216"/>
      <c r="M29" s="216"/>
      <c r="N29" s="216"/>
      <c r="O29" s="216"/>
      <c r="P29" s="216"/>
      <c r="Q29" s="216"/>
      <c r="R29" s="216"/>
    </row>
    <row r="30" spans="1:18" ht="15.5">
      <c r="A30" s="216"/>
      <c r="B30" s="58"/>
      <c r="C30" s="216"/>
      <c r="D30" s="216"/>
      <c r="E30" s="216"/>
      <c r="F30" s="216"/>
      <c r="G30" s="216"/>
      <c r="H30" s="216"/>
      <c r="I30" s="216"/>
      <c r="J30" s="216"/>
      <c r="K30" s="216"/>
      <c r="L30" s="216"/>
      <c r="M30" s="216"/>
      <c r="N30" s="216"/>
      <c r="O30" s="216"/>
      <c r="P30" s="216"/>
      <c r="Q30" s="216"/>
      <c r="R30" s="216"/>
    </row>
    <row r="31" spans="1:18" ht="15.5">
      <c r="A31" s="216"/>
      <c r="B31" s="216"/>
      <c r="C31" s="216"/>
      <c r="D31" s="216"/>
      <c r="E31" s="216"/>
      <c r="F31" s="216"/>
      <c r="G31" s="216"/>
      <c r="H31" s="216"/>
      <c r="I31" s="216"/>
      <c r="J31" s="216"/>
      <c r="K31" s="216"/>
      <c r="L31" s="216"/>
      <c r="M31" s="216"/>
      <c r="N31" s="216"/>
      <c r="O31" s="216"/>
      <c r="P31" s="216"/>
      <c r="Q31" s="216"/>
      <c r="R31" s="216"/>
    </row>
    <row r="32" spans="1:18" ht="15.5">
      <c r="A32" s="216"/>
      <c r="B32" s="216"/>
      <c r="C32" s="216"/>
      <c r="D32" s="216"/>
      <c r="E32" s="216"/>
      <c r="F32" s="216"/>
      <c r="G32" s="216"/>
      <c r="H32" s="216"/>
      <c r="I32" s="216"/>
      <c r="J32" s="216"/>
      <c r="K32" s="216"/>
      <c r="L32" s="216"/>
      <c r="M32" s="216"/>
      <c r="N32" s="216"/>
      <c r="O32" s="216"/>
      <c r="P32" s="216"/>
      <c r="Q32" s="216"/>
      <c r="R32" s="216"/>
    </row>
    <row r="33" spans="1:18" ht="15.5">
      <c r="A33" s="216"/>
      <c r="B33" s="216"/>
      <c r="C33" s="216"/>
      <c r="D33" s="216"/>
      <c r="E33" s="216"/>
      <c r="F33" s="216"/>
      <c r="G33" s="216"/>
      <c r="H33" s="216"/>
      <c r="I33" s="216"/>
      <c r="J33" s="216"/>
      <c r="K33" s="216"/>
      <c r="L33" s="216"/>
      <c r="M33" s="216"/>
      <c r="N33" s="216"/>
      <c r="O33" s="216"/>
      <c r="P33" s="216"/>
      <c r="Q33" s="216"/>
      <c r="R33" s="216"/>
    </row>
    <row r="34" spans="1:18" ht="15.5">
      <c r="A34" s="216"/>
      <c r="B34" s="216"/>
      <c r="C34" s="216"/>
      <c r="D34" s="216"/>
      <c r="E34" s="216"/>
      <c r="F34" s="216"/>
      <c r="G34" s="216"/>
      <c r="H34" s="216"/>
      <c r="I34" s="216"/>
      <c r="J34" s="216"/>
      <c r="K34" s="216"/>
      <c r="L34" s="216"/>
      <c r="M34" s="216"/>
      <c r="N34" s="216"/>
      <c r="O34" s="216"/>
      <c r="P34" s="216"/>
      <c r="Q34" s="216"/>
      <c r="R34" s="216"/>
    </row>
    <row r="35" spans="1:18" ht="15.5">
      <c r="A35" s="216"/>
      <c r="B35" s="216"/>
      <c r="C35" s="216"/>
      <c r="D35" s="216"/>
      <c r="E35" s="216"/>
      <c r="F35" s="216"/>
      <c r="G35" s="216"/>
      <c r="H35" s="216"/>
      <c r="I35" s="216"/>
      <c r="J35" s="216"/>
      <c r="K35" s="216"/>
      <c r="L35" s="216"/>
      <c r="M35" s="216"/>
      <c r="N35" s="216"/>
      <c r="O35" s="216"/>
      <c r="P35" s="216"/>
      <c r="Q35" s="216"/>
      <c r="R35" s="216"/>
    </row>
    <row r="36" spans="1:18" ht="15.5">
      <c r="A36" s="216"/>
      <c r="B36" s="216"/>
      <c r="C36" s="216"/>
      <c r="D36" s="216"/>
      <c r="E36" s="216"/>
      <c r="F36" s="216"/>
      <c r="G36" s="216"/>
      <c r="H36" s="216"/>
      <c r="I36" s="216"/>
      <c r="J36" s="216"/>
      <c r="K36" s="216"/>
      <c r="L36" s="216"/>
      <c r="M36" s="216"/>
      <c r="N36" s="216"/>
      <c r="O36" s="216"/>
      <c r="P36" s="216"/>
      <c r="Q36" s="216"/>
      <c r="R36" s="216"/>
    </row>
    <row r="37" spans="1:18" ht="15.5">
      <c r="A37" s="216"/>
      <c r="B37" s="216"/>
      <c r="C37" s="216"/>
      <c r="D37" s="216"/>
      <c r="E37" s="216"/>
      <c r="F37" s="216"/>
      <c r="G37" s="216"/>
      <c r="H37" s="216"/>
      <c r="I37" s="216"/>
      <c r="J37" s="216"/>
      <c r="K37" s="216"/>
      <c r="L37" s="216"/>
      <c r="M37" s="216"/>
      <c r="N37" s="216"/>
      <c r="O37" s="216"/>
      <c r="P37" s="216"/>
      <c r="Q37" s="216"/>
      <c r="R37" s="216"/>
    </row>
    <row r="38" spans="1:18" ht="15.5">
      <c r="A38" s="216"/>
      <c r="B38" s="975"/>
      <c r="C38" s="216"/>
      <c r="D38" s="216"/>
      <c r="E38" s="216"/>
      <c r="F38" s="216"/>
      <c r="G38" s="216"/>
      <c r="H38" s="216"/>
      <c r="I38" s="216"/>
      <c r="J38" s="216"/>
      <c r="K38" s="216"/>
      <c r="L38" s="216"/>
      <c r="M38" s="216"/>
      <c r="N38" s="216"/>
      <c r="O38" s="216"/>
      <c r="P38" s="216"/>
      <c r="Q38" s="216"/>
      <c r="R38" s="216"/>
    </row>
  </sheetData>
  <pageMargins left="0.7" right="0.7" top="0.75" bottom="0.75" header="0.3" footer="0.3"/>
  <pageSetup orientation="landscape" scale="35" r:id="rId1"/>
  <customProperties>
    <customPr name="EpmWorksheetKeyString_GUID" r:id="rId2"/>
    <customPr name="_pios_id" r:id="rId3"/>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B508"/>
  <sheetViews>
    <sheetView showGridLines="0" zoomScale="70" zoomScaleNormal="70" workbookViewId="0" topLeftCell="A1"/>
  </sheetViews>
  <sheetFormatPr defaultColWidth="18.7242857142857" defaultRowHeight="15.75"/>
  <cols>
    <col min="1" max="1" width="5.85714285714286" style="216" customWidth="1"/>
    <col min="2" max="2" width="65.7142857142857" style="244" customWidth="1"/>
    <col min="3" max="3" width="38.7142857142857" style="216" bestFit="1" customWidth="1"/>
    <col min="4" max="4" width="22.7142857142857" style="216" customWidth="1"/>
    <col min="5" max="5" width="23.7142857142857" style="216" customWidth="1"/>
    <col min="6" max="6" width="24.7142857142857" style="216" customWidth="1"/>
    <col min="7" max="7" width="24" style="216" bestFit="1" customWidth="1"/>
    <col min="8" max="8" width="24" style="216" customWidth="1"/>
    <col min="9" max="9" width="135.285714285714" style="216" customWidth="1"/>
    <col min="10" max="10" width="19.2857142857143" style="216" customWidth="1"/>
    <col min="11" max="28" width="18.7142857142857" style="216"/>
    <col min="29" max="16384" width="18.7142857142857" style="216"/>
  </cols>
  <sheetData>
    <row r="1" spans="2:10" ht="18">
      <c r="B1" s="1152" t="str">
        <f>+'Appendix A'!A3</f>
        <v>Dayton Power and Light</v>
      </c>
      <c r="C1" s="1154"/>
      <c r="D1" s="1154"/>
      <c r="E1" s="1154"/>
      <c r="F1" s="1154"/>
      <c r="G1" s="1154"/>
      <c r="H1" s="1154"/>
      <c r="I1" s="1154"/>
      <c r="J1" s="215"/>
    </row>
    <row r="2" spans="2:10" ht="18">
      <c r="B2" s="1153" t="str">
        <f>+'1A - ADIT'!B2:I2</f>
        <v xml:space="preserve">ATTACHMENT H-15A </v>
      </c>
      <c r="C2" s="1153"/>
      <c r="D2" s="1153"/>
      <c r="E2" s="1153"/>
      <c r="F2" s="1153"/>
      <c r="G2" s="1153"/>
      <c r="H2" s="1153"/>
      <c r="I2" s="1153"/>
      <c r="J2" s="215"/>
    </row>
    <row r="3" spans="2:10" s="215" customFormat="1" ht="18">
      <c r="B3" s="1153" t="s">
        <v>348</v>
      </c>
      <c r="C3" s="1153"/>
      <c r="D3" s="1153"/>
      <c r="E3" s="1153"/>
      <c r="F3" s="1153"/>
      <c r="G3" s="1153"/>
      <c r="H3" s="1153"/>
      <c r="I3" s="1153"/>
      <c r="J3" s="217"/>
    </row>
    <row r="4" spans="2:9" ht="15.5">
      <c r="B4" s="223"/>
      <c r="C4" s="222"/>
      <c r="D4" s="222"/>
      <c r="E4" s="222"/>
      <c r="F4" s="222"/>
      <c r="G4" s="222"/>
      <c r="H4" s="222"/>
      <c r="I4" s="222"/>
    </row>
    <row r="5" spans="2:9" ht="17.5">
      <c r="B5" s="45"/>
      <c r="C5" s="4"/>
      <c r="D5" s="223" t="s">
        <v>224</v>
      </c>
      <c r="E5" s="223"/>
      <c r="F5" s="220"/>
      <c r="G5" s="223"/>
      <c r="H5" s="223"/>
      <c r="I5" s="220"/>
    </row>
    <row r="6" spans="2:9" ht="17.5">
      <c r="B6" s="224"/>
      <c r="C6" s="220"/>
      <c r="D6" s="223" t="s">
        <v>225</v>
      </c>
      <c r="E6" s="223" t="s">
        <v>226</v>
      </c>
      <c r="F6" s="223" t="s">
        <v>227</v>
      </c>
      <c r="G6" s="698"/>
      <c r="H6" s="223" t="s">
        <v>65</v>
      </c>
      <c r="I6" s="925"/>
    </row>
    <row r="7" spans="2:9" ht="17.5">
      <c r="B7" s="224"/>
      <c r="C7" s="220"/>
      <c r="D7" s="223" t="s">
        <v>229</v>
      </c>
      <c r="E7" s="223" t="s">
        <v>229</v>
      </c>
      <c r="F7" s="223" t="s">
        <v>229</v>
      </c>
      <c r="G7" s="698"/>
      <c r="H7" s="223" t="s">
        <v>230</v>
      </c>
      <c r="I7" s="926"/>
    </row>
    <row r="8" spans="2:10" ht="25">
      <c r="B8" s="573"/>
      <c r="C8" s="570"/>
      <c r="D8" s="570"/>
      <c r="E8" s="570"/>
      <c r="F8" s="570"/>
      <c r="H8" s="570"/>
      <c r="I8" s="926"/>
      <c r="J8" s="574"/>
    </row>
    <row r="9" spans="1:9" ht="15.5">
      <c r="A9" s="642">
        <v>1</v>
      </c>
      <c r="B9" s="224"/>
      <c r="C9" s="225" t="s">
        <v>241</v>
      </c>
      <c r="D9" s="226">
        <f>+E40</f>
        <v>0</v>
      </c>
      <c r="E9" s="226">
        <f>+F40</f>
        <v>-260315</v>
      </c>
      <c r="F9" s="226">
        <f>+G40</f>
        <v>5257989</v>
      </c>
      <c r="G9" s="575"/>
      <c r="H9" s="226"/>
      <c r="I9" s="641" t="str">
        <f>"(Line "&amp;A40&amp;")"</f>
        <v>(Line 22)</v>
      </c>
    </row>
    <row r="10" spans="1:9" ht="15.5">
      <c r="A10" s="642">
        <f>+A9+1</f>
        <v>2</v>
      </c>
      <c r="B10" s="224"/>
      <c r="C10" s="225" t="s">
        <v>276</v>
      </c>
      <c r="D10" s="226">
        <f>+E61</f>
        <v>-11203668</v>
      </c>
      <c r="E10" s="226">
        <f>+F61</f>
        <v>0</v>
      </c>
      <c r="F10" s="226">
        <f>+G61</f>
        <v>0</v>
      </c>
      <c r="G10" s="226"/>
      <c r="H10" s="226"/>
      <c r="I10" s="641" t="str">
        <f>"(Line "&amp;A61&amp;")"</f>
        <v>(Line 25)</v>
      </c>
    </row>
    <row r="11" spans="1:9" ht="15.5">
      <c r="A11" s="642">
        <f>+A10+1</f>
        <v>3</v>
      </c>
      <c r="B11" s="224"/>
      <c r="C11" s="728" t="s">
        <v>283</v>
      </c>
      <c r="D11" s="714">
        <f>+E87</f>
        <v>0</v>
      </c>
      <c r="E11" s="714">
        <f>+F87</f>
        <v>0</v>
      </c>
      <c r="F11" s="714">
        <f>+G87</f>
        <v>-3823707</v>
      </c>
      <c r="G11" s="714"/>
      <c r="H11" s="226"/>
      <c r="I11" s="641" t="str">
        <f>"(Line "&amp;A87&amp;")"</f>
        <v>(Line 36)</v>
      </c>
    </row>
    <row r="12" spans="1:9" ht="15.5">
      <c r="A12" s="642">
        <f>+A11+1</f>
        <v>4</v>
      </c>
      <c r="B12" s="224"/>
      <c r="C12" s="225" t="s">
        <v>85</v>
      </c>
      <c r="D12" s="226">
        <f>+SUM(D9:D11)</f>
        <v>-11203668</v>
      </c>
      <c r="E12" s="226">
        <f t="shared" si="0" ref="E12:F12">+SUM(E9:E11)</f>
        <v>-260315</v>
      </c>
      <c r="F12" s="226">
        <f>+SUM(F9:F11)</f>
        <v>1434282</v>
      </c>
      <c r="G12" s="226"/>
      <c r="H12" s="226"/>
      <c r="I12" s="641" t="str">
        <f>"(Line "&amp;A9&amp;" + Line "&amp;A10&amp;" + "&amp;A11&amp;")"</f>
        <v>(Line 1 + Line 2 + 3)</v>
      </c>
    </row>
    <row r="13" spans="1:9" ht="15.5">
      <c r="A13" s="642">
        <f t="shared" si="1" ref="A13:A14">+A12+1</f>
        <v>5</v>
      </c>
      <c r="B13" s="224"/>
      <c r="C13" s="225" t="s">
        <v>13</v>
      </c>
      <c r="D13" s="220"/>
      <c r="E13" s="220"/>
      <c r="F13" s="725">
        <f>'Appendix A'!H16</f>
        <v>0.09138981159089922</v>
      </c>
      <c r="H13" s="220"/>
      <c r="I13" s="28" t="str">
        <f>"(Appendix A, Line "&amp;'Appendix A'!A16&amp;")"</f>
        <v>(Appendix A, Line 5)</v>
      </c>
    </row>
    <row r="14" spans="1:9" ht="15.5">
      <c r="A14" s="642">
        <f>+A13+1</f>
        <v>6</v>
      </c>
      <c r="B14" s="224"/>
      <c r="C14" s="225" t="s">
        <v>21</v>
      </c>
      <c r="D14" s="220"/>
      <c r="E14" s="725">
        <f>'Appendix A'!H27</f>
        <v>0.16002770040064465</v>
      </c>
      <c r="F14" s="220"/>
      <c r="H14" s="220"/>
      <c r="I14" s="28" t="str">
        <f>"(Appendix A, Line "&amp;'Appendix A'!A27&amp;")"</f>
        <v>(Appendix A, Line 12)</v>
      </c>
    </row>
    <row r="15" spans="1:9" ht="15.5">
      <c r="A15" s="642">
        <f>+A14+1</f>
        <v>7</v>
      </c>
      <c r="B15" s="224"/>
      <c r="C15" s="225" t="s">
        <v>234</v>
      </c>
      <c r="D15" s="226">
        <f>+D12</f>
        <v>-11203668</v>
      </c>
      <c r="E15" s="226">
        <f>+E14*E12</f>
        <v>-41657.610829793812</v>
      </c>
      <c r="F15" s="226">
        <f>+F13*F12</f>
        <v>131078.76174821812</v>
      </c>
      <c r="G15" s="226"/>
      <c r="H15" s="227">
        <f>SUM(D15:G15)</f>
        <v>-11114246.849081574</v>
      </c>
      <c r="I15" s="641" t="str">
        <f>"(Line "&amp;A12&amp;" * Line "&amp;A13&amp;" or Line "&amp;A14&amp;")"</f>
        <v>(Line 4 * Line 5 or Line 6)</v>
      </c>
    </row>
    <row r="16" spans="1:9" ht="29.25" customHeight="1">
      <c r="A16" s="642"/>
      <c r="B16" s="224"/>
      <c r="C16" s="225"/>
      <c r="D16" s="226"/>
      <c r="E16" s="226"/>
      <c r="F16" s="226"/>
      <c r="G16" s="227"/>
      <c r="H16" s="227"/>
      <c r="I16" s="641"/>
    </row>
    <row r="17" spans="1:10" ht="15.5">
      <c r="A17" s="642"/>
      <c r="B17" s="224" t="s">
        <v>349</v>
      </c>
      <c r="C17" s="225"/>
      <c r="D17" s="226"/>
      <c r="E17" s="226"/>
      <c r="F17" s="226"/>
      <c r="G17" s="227"/>
      <c r="H17" s="227"/>
      <c r="I17" s="641"/>
      <c r="J17" s="569"/>
    </row>
    <row r="18" spans="1:9" ht="15.5">
      <c r="A18" s="642"/>
      <c r="B18" s="220"/>
      <c r="C18" s="220"/>
      <c r="D18" s="220"/>
      <c r="E18" s="220"/>
      <c r="F18" s="220"/>
      <c r="G18" s="220"/>
      <c r="H18" s="220"/>
      <c r="I18" s="641"/>
    </row>
    <row r="19" spans="1:9" ht="15.5">
      <c r="A19" s="642"/>
      <c r="B19" s="224" t="s">
        <v>978</v>
      </c>
      <c r="C19" s="220"/>
      <c r="D19" s="220"/>
      <c r="E19" s="220"/>
      <c r="F19" s="220"/>
      <c r="G19" s="220"/>
      <c r="H19" s="220"/>
      <c r="I19" s="641"/>
    </row>
    <row r="20" spans="1:9" ht="15.5">
      <c r="A20" s="642"/>
      <c r="B20" s="224" t="s">
        <v>240</v>
      </c>
      <c r="C20" s="220"/>
      <c r="D20" s="220"/>
      <c r="E20" s="220"/>
      <c r="F20" s="220"/>
      <c r="G20" s="220"/>
      <c r="H20" s="220"/>
      <c r="I20" s="220"/>
    </row>
    <row r="21" spans="1:9" ht="15.5">
      <c r="A21" s="642"/>
      <c r="B21" s="224"/>
      <c r="C21" s="220"/>
      <c r="D21" s="220"/>
      <c r="E21" s="220"/>
      <c r="F21" s="220"/>
      <c r="G21" s="225"/>
      <c r="H21" s="225"/>
      <c r="I21" s="220"/>
    </row>
    <row r="22" spans="1:9" ht="15.5">
      <c r="A22" s="642"/>
      <c r="B22" s="230" t="s">
        <v>195</v>
      </c>
      <c r="C22" s="231" t="s">
        <v>197</v>
      </c>
      <c r="D22" s="231" t="s">
        <v>198</v>
      </c>
      <c r="E22" s="231" t="s">
        <v>199</v>
      </c>
      <c r="F22" s="231" t="s">
        <v>201</v>
      </c>
      <c r="G22" s="231" t="s">
        <v>203</v>
      </c>
      <c r="H22" s="231"/>
      <c r="I22" s="231" t="s">
        <v>205</v>
      </c>
    </row>
    <row r="23" spans="1:8" ht="25.15" customHeight="1">
      <c r="A23" s="642"/>
      <c r="B23" s="224"/>
      <c r="C23" s="223" t="s">
        <v>65</v>
      </c>
      <c r="D23" s="223"/>
      <c r="E23" s="223" t="s">
        <v>224</v>
      </c>
      <c r="F23" s="223"/>
      <c r="G23" s="223"/>
      <c r="H23" s="223"/>
    </row>
    <row r="24" spans="1:28" ht="41.25" customHeight="1">
      <c r="A24" s="642"/>
      <c r="B24" s="232" t="s">
        <v>241</v>
      </c>
      <c r="C24" s="223"/>
      <c r="D24" s="223"/>
      <c r="E24" s="223" t="s">
        <v>225</v>
      </c>
      <c r="F24" s="223" t="s">
        <v>226</v>
      </c>
      <c r="G24" s="223" t="s">
        <v>227</v>
      </c>
      <c r="H24" s="223"/>
      <c r="X24" s="533"/>
      <c r="Y24" s="533"/>
      <c r="Z24" s="533"/>
      <c r="AA24" s="533"/>
      <c r="AB24" s="533"/>
    </row>
    <row r="25" spans="1:9" ht="25.15" customHeight="1" thickBot="1">
      <c r="A25" s="642"/>
      <c r="B25" s="224"/>
      <c r="C25" s="223"/>
      <c r="D25" s="223" t="s">
        <v>242</v>
      </c>
      <c r="E25" s="223" t="s">
        <v>229</v>
      </c>
      <c r="F25" s="223" t="s">
        <v>229</v>
      </c>
      <c r="G25" s="223" t="s">
        <v>229</v>
      </c>
      <c r="H25" s="697"/>
      <c r="I25" s="223" t="s">
        <v>243</v>
      </c>
    </row>
    <row r="26" spans="1:9" ht="42.75" customHeight="1" thickBot="1">
      <c r="A26" s="642">
        <f>+A15+1</f>
        <v>8</v>
      </c>
      <c r="B26" s="555" t="s">
        <v>244</v>
      </c>
      <c r="C26" s="837">
        <v>639063</v>
      </c>
      <c r="D26" s="838">
        <v>0</v>
      </c>
      <c r="E26" s="838">
        <v>0</v>
      </c>
      <c r="F26" s="838">
        <v>0</v>
      </c>
      <c r="G26" s="838">
        <f>+C26</f>
        <v>639063</v>
      </c>
      <c r="H26" s="1048"/>
      <c r="I26" s="651" t="s">
        <v>245</v>
      </c>
    </row>
    <row r="27" spans="1:9" ht="38.25" customHeight="1" thickBot="1">
      <c r="A27" s="642">
        <f>+A26+1</f>
        <v>9</v>
      </c>
      <c r="B27" s="557" t="s">
        <v>246</v>
      </c>
      <c r="C27" s="839">
        <v>6674578</v>
      </c>
      <c r="D27" s="840">
        <f>+C27</f>
        <v>6674578</v>
      </c>
      <c r="E27" s="840">
        <v>0</v>
      </c>
      <c r="F27" s="840">
        <v>0</v>
      </c>
      <c r="G27" s="838">
        <v>0</v>
      </c>
      <c r="H27" s="1049"/>
      <c r="I27" s="651" t="s">
        <v>247</v>
      </c>
    </row>
    <row r="28" spans="1:9" ht="35.25" customHeight="1">
      <c r="A28" s="642">
        <f t="shared" si="2" ref="A28:A39">+A27+1</f>
        <v>10</v>
      </c>
      <c r="B28" s="557" t="s">
        <v>248</v>
      </c>
      <c r="C28" s="839">
        <v>1933430</v>
      </c>
      <c r="D28" s="840">
        <v>0</v>
      </c>
      <c r="E28" s="840">
        <v>0</v>
      </c>
      <c r="F28" s="840">
        <v>0</v>
      </c>
      <c r="G28" s="838">
        <f t="shared" si="3" ref="G28">+C28</f>
        <v>1933430</v>
      </c>
      <c r="H28" s="1049"/>
      <c r="I28" s="651" t="s">
        <v>245</v>
      </c>
    </row>
    <row r="29" spans="1:9" ht="25.15" customHeight="1">
      <c r="A29" s="642">
        <f>+A28+1</f>
        <v>11</v>
      </c>
      <c r="B29" s="784" t="s">
        <v>249</v>
      </c>
      <c r="C29" s="839">
        <v>-1766546</v>
      </c>
      <c r="D29" s="840">
        <f>+C29</f>
        <v>-1766546</v>
      </c>
      <c r="E29" s="840">
        <v>0</v>
      </c>
      <c r="F29" s="840">
        <v>0</v>
      </c>
      <c r="G29" s="840">
        <v>0</v>
      </c>
      <c r="H29" s="1049"/>
      <c r="I29" s="649" t="s">
        <v>250</v>
      </c>
    </row>
    <row r="30" spans="1:9" ht="25.15" customHeight="1">
      <c r="A30" s="642">
        <f>+A29+1</f>
        <v>12</v>
      </c>
      <c r="B30" s="557" t="s">
        <v>251</v>
      </c>
      <c r="C30" s="839">
        <v>1540794</v>
      </c>
      <c r="D30" s="840">
        <v>0</v>
      </c>
      <c r="E30" s="840">
        <v>0</v>
      </c>
      <c r="F30" s="840">
        <v>0</v>
      </c>
      <c r="G30" s="840">
        <f>+C30</f>
        <v>1540794</v>
      </c>
      <c r="H30" s="1049"/>
      <c r="I30" s="651" t="s">
        <v>252</v>
      </c>
    </row>
    <row r="31" spans="1:9" ht="25.15" customHeight="1">
      <c r="A31" s="642">
        <f>+A30+1</f>
        <v>13</v>
      </c>
      <c r="B31" s="557" t="s">
        <v>253</v>
      </c>
      <c r="C31" s="839">
        <v>937979</v>
      </c>
      <c r="D31" s="840">
        <f>+C31</f>
        <v>937979</v>
      </c>
      <c r="E31" s="840">
        <v>0</v>
      </c>
      <c r="F31" s="840"/>
      <c r="G31" s="840">
        <v>0</v>
      </c>
      <c r="H31" s="1049"/>
      <c r="I31" s="651" t="s">
        <v>350</v>
      </c>
    </row>
    <row r="32" spans="1:9" ht="25.15" customHeight="1">
      <c r="A32" s="642">
        <f>+A31+1</f>
        <v>14</v>
      </c>
      <c r="B32" s="557" t="s">
        <v>255</v>
      </c>
      <c r="C32" s="839">
        <v>1144702</v>
      </c>
      <c r="D32" s="840">
        <v>0</v>
      </c>
      <c r="E32" s="840">
        <v>0</v>
      </c>
      <c r="F32" s="840">
        <v>0</v>
      </c>
      <c r="G32" s="840">
        <f>+C32</f>
        <v>1144702</v>
      </c>
      <c r="H32" s="1049"/>
      <c r="I32" s="651" t="s">
        <v>256</v>
      </c>
    </row>
    <row r="33" spans="1:10" s="218" customFormat="1" ht="35.15" customHeight="1">
      <c r="A33" s="642">
        <f>+A32+1</f>
        <v>15</v>
      </c>
      <c r="B33" s="557" t="s">
        <v>257</v>
      </c>
      <c r="C33" s="839">
        <v>369006</v>
      </c>
      <c r="D33" s="840">
        <f>+C33</f>
        <v>369006</v>
      </c>
      <c r="E33" s="840">
        <v>0</v>
      </c>
      <c r="F33" s="840">
        <v>0</v>
      </c>
      <c r="G33" s="840">
        <v>0</v>
      </c>
      <c r="H33" s="1049"/>
      <c r="I33" s="651" t="s">
        <v>258</v>
      </c>
      <c r="J33" s="216"/>
    </row>
    <row r="34" spans="1:9" ht="35.15" customHeight="1">
      <c r="A34" s="642">
        <f>+A33+1</f>
        <v>16</v>
      </c>
      <c r="B34" s="557" t="s">
        <v>259</v>
      </c>
      <c r="C34" s="839">
        <v>-260315</v>
      </c>
      <c r="D34" s="840">
        <v>0</v>
      </c>
      <c r="E34" s="840">
        <v>0</v>
      </c>
      <c r="F34" s="840">
        <f>+C34</f>
        <v>-260315</v>
      </c>
      <c r="G34" s="840">
        <v>0</v>
      </c>
      <c r="H34" s="1049"/>
      <c r="I34" s="651" t="s">
        <v>983</v>
      </c>
    </row>
    <row r="35" spans="1:9" ht="35.15" customHeight="1">
      <c r="A35" s="642">
        <f>+A34+1</f>
        <v>17</v>
      </c>
      <c r="B35" s="557" t="s">
        <v>260</v>
      </c>
      <c r="C35" s="839">
        <v>1128335</v>
      </c>
      <c r="D35" s="840">
        <f>+C35</f>
        <v>1128335</v>
      </c>
      <c r="E35" s="840">
        <v>0</v>
      </c>
      <c r="F35" s="840">
        <v>0</v>
      </c>
      <c r="G35" s="840">
        <v>0</v>
      </c>
      <c r="H35" s="1049"/>
      <c r="I35" s="651" t="s">
        <v>351</v>
      </c>
    </row>
    <row r="36" spans="1:9" ht="35.15" customHeight="1">
      <c r="A36" s="642">
        <f>+A35+1</f>
        <v>18</v>
      </c>
      <c r="B36" s="557" t="s">
        <v>262</v>
      </c>
      <c r="C36" s="839">
        <v>-224000</v>
      </c>
      <c r="D36" s="840">
        <f>+C36</f>
        <v>-224000</v>
      </c>
      <c r="E36" s="840">
        <v>0</v>
      </c>
      <c r="F36" s="840">
        <v>0</v>
      </c>
      <c r="G36" s="840">
        <v>0</v>
      </c>
      <c r="H36" s="1049"/>
      <c r="I36" s="651" t="s">
        <v>352</v>
      </c>
    </row>
    <row r="37" spans="1:9" ht="35.15" customHeight="1">
      <c r="A37" s="642">
        <f>+A36+1</f>
        <v>19</v>
      </c>
      <c r="B37" s="557" t="s">
        <v>263</v>
      </c>
      <c r="C37" s="841">
        <v>195974</v>
      </c>
      <c r="D37" s="840">
        <f>+C37</f>
        <v>195974</v>
      </c>
      <c r="E37" s="840">
        <v>0</v>
      </c>
      <c r="F37" s="840">
        <v>0</v>
      </c>
      <c r="G37" s="840">
        <v>0</v>
      </c>
      <c r="H37" s="1049"/>
      <c r="I37" s="651" t="s">
        <v>353</v>
      </c>
    </row>
    <row r="38" spans="1:9" ht="35.15" customHeight="1">
      <c r="A38" s="642">
        <f>+A37+1</f>
        <v>20</v>
      </c>
      <c r="B38" s="558" t="s">
        <v>265</v>
      </c>
      <c r="C38" s="842">
        <f t="shared" si="4" ref="C38:G38">SUM(C26:C37)</f>
        <v>12313000</v>
      </c>
      <c r="D38" s="842">
        <f>SUM(D26:D37)</f>
        <v>7315326</v>
      </c>
      <c r="E38" s="842">
        <f>SUM(E26:E37)</f>
        <v>0</v>
      </c>
      <c r="F38" s="842">
        <f>SUM(F26:F37)</f>
        <v>-260315</v>
      </c>
      <c r="G38" s="842">
        <f>SUM(G26:G37)</f>
        <v>5257989</v>
      </c>
      <c r="H38" s="842"/>
      <c r="I38" s="233"/>
    </row>
    <row r="39" spans="1:9" ht="35.15" customHeight="1">
      <c r="A39" s="642">
        <f>+A38+1</f>
        <v>21</v>
      </c>
      <c r="B39" s="554" t="s">
        <v>266</v>
      </c>
      <c r="C39" s="843">
        <f>SUM(D39:G39)</f>
        <v>-1766546</v>
      </c>
      <c r="D39" s="843">
        <f>D29</f>
        <v>-1766546</v>
      </c>
      <c r="E39" s="844">
        <f>E29</f>
        <v>0</v>
      </c>
      <c r="F39" s="845">
        <f>F29</f>
        <v>0</v>
      </c>
      <c r="G39" s="845">
        <f>G29</f>
        <v>0</v>
      </c>
      <c r="H39" s="845"/>
      <c r="I39" s="246" t="str">
        <f>+'1A - ADIT'!I44</f>
        <v>All FAS 109 items excluded from formula rate</v>
      </c>
    </row>
    <row r="40" spans="1:10" ht="38.25" customHeight="1" thickBot="1">
      <c r="A40" s="642">
        <f>+A39+1</f>
        <v>22</v>
      </c>
      <c r="B40" s="553" t="s">
        <v>65</v>
      </c>
      <c r="C40" s="846">
        <f>+C38-C39</f>
        <v>14079546</v>
      </c>
      <c r="D40" s="846">
        <f t="shared" si="5" ref="D40:G40">+D38-D39</f>
        <v>9081872</v>
      </c>
      <c r="E40" s="846">
        <f>+E38-E39</f>
        <v>0</v>
      </c>
      <c r="F40" s="846">
        <f>+F38-F39</f>
        <v>-260315</v>
      </c>
      <c r="G40" s="846">
        <f>+G38-G39</f>
        <v>5257989</v>
      </c>
      <c r="H40" s="846"/>
      <c r="I40" s="552"/>
      <c r="J40" s="218"/>
    </row>
    <row r="41" spans="1:10" ht="30" customHeight="1">
      <c r="A41" s="642"/>
      <c r="B41" s="219"/>
      <c r="C41" s="645"/>
      <c r="D41" s="646"/>
      <c r="E41" s="646"/>
      <c r="F41" s="646"/>
      <c r="G41" s="646"/>
      <c r="H41" s="646"/>
      <c r="I41" s="638"/>
      <c r="J41" s="218"/>
    </row>
    <row r="42" spans="1:9" ht="15.75" customHeight="1">
      <c r="A42" s="642"/>
      <c r="B42" s="58" t="s">
        <v>268</v>
      </c>
      <c r="C42" s="58"/>
      <c r="D42" s="248"/>
      <c r="E42" s="732"/>
      <c r="F42" s="73"/>
      <c r="G42" s="218"/>
      <c r="H42" s="218"/>
      <c r="I42" s="733"/>
    </row>
    <row r="43" spans="1:10" s="215" customFormat="1" ht="17.5">
      <c r="A43" s="598"/>
      <c r="B43" s="1147" t="s">
        <v>354</v>
      </c>
      <c r="C43" s="1148"/>
      <c r="D43" s="1148"/>
      <c r="E43" s="1148"/>
      <c r="F43" s="1148"/>
      <c r="G43" s="1148"/>
      <c r="H43" s="1148"/>
      <c r="I43" s="1148"/>
      <c r="J43" s="216"/>
    </row>
    <row r="44" spans="1:10" s="215" customFormat="1" ht="17.5">
      <c r="A44" s="598"/>
      <c r="B44" s="253" t="s">
        <v>270</v>
      </c>
      <c r="C44" s="58"/>
      <c r="D44" s="218"/>
      <c r="E44" s="58"/>
      <c r="F44" s="58"/>
      <c r="G44" s="73"/>
      <c r="H44" s="73"/>
      <c r="I44" s="73"/>
      <c r="J44" s="216"/>
    </row>
    <row r="45" spans="1:10" s="215" customFormat="1" ht="17.5">
      <c r="A45" s="598"/>
      <c r="B45" s="253" t="s">
        <v>281</v>
      </c>
      <c r="C45" s="58"/>
      <c r="D45" s="218"/>
      <c r="E45" s="58"/>
      <c r="F45" s="58"/>
      <c r="G45" s="73"/>
      <c r="H45" s="73"/>
      <c r="I45" s="73"/>
      <c r="J45" s="216"/>
    </row>
    <row r="46" spans="1:9" ht="15.5">
      <c r="A46" s="642"/>
      <c r="B46" s="253" t="s">
        <v>355</v>
      </c>
      <c r="C46" s="58"/>
      <c r="D46" s="218"/>
      <c r="E46" s="58"/>
      <c r="F46" s="58"/>
      <c r="G46" s="73"/>
      <c r="H46" s="73"/>
      <c r="I46" s="73"/>
    </row>
    <row r="47" spans="1:9" ht="15" customHeight="1">
      <c r="A47" s="642"/>
      <c r="B47" s="1148" t="s">
        <v>356</v>
      </c>
      <c r="C47" s="1148"/>
      <c r="D47" s="1148"/>
      <c r="E47" s="1148"/>
      <c r="F47" s="1148"/>
      <c r="G47" s="1148"/>
      <c r="H47" s="1148"/>
      <c r="I47" s="1148"/>
    </row>
    <row r="48" spans="1:9" ht="15.5">
      <c r="A48" s="642"/>
      <c r="B48" s="236" t="s">
        <v>274</v>
      </c>
      <c r="C48" s="644"/>
      <c r="D48" s="734"/>
      <c r="E48" s="644"/>
      <c r="F48" s="644"/>
      <c r="G48" s="644"/>
      <c r="H48" s="644"/>
      <c r="I48" s="1018"/>
    </row>
    <row r="49" spans="1:9" ht="15.5">
      <c r="A49" s="642"/>
      <c r="B49" s="236"/>
      <c r="C49" s="218"/>
      <c r="D49" s="218"/>
      <c r="E49" s="218"/>
      <c r="F49" s="218"/>
      <c r="G49" s="218"/>
      <c r="H49" s="218"/>
      <c r="I49" s="218"/>
    </row>
    <row r="50" spans="1:9" ht="15.5">
      <c r="A50" s="642"/>
      <c r="B50" s="236"/>
      <c r="C50" s="711"/>
      <c r="D50" s="711"/>
      <c r="E50" s="711"/>
      <c r="F50" s="711"/>
      <c r="G50" s="711"/>
      <c r="H50" s="711"/>
      <c r="I50" s="1018"/>
    </row>
    <row r="51" spans="1:10" ht="18">
      <c r="A51" s="642"/>
      <c r="B51" s="1149" t="str">
        <f>+B1</f>
        <v>Dayton Power and Light</v>
      </c>
      <c r="C51" s="1150"/>
      <c r="D51" s="1150"/>
      <c r="E51" s="1150"/>
      <c r="F51" s="1150"/>
      <c r="G51" s="1150"/>
      <c r="H51" s="1150"/>
      <c r="I51" s="1150"/>
      <c r="J51" s="215"/>
    </row>
    <row r="52" spans="1:10" ht="18">
      <c r="A52" s="642"/>
      <c r="B52" s="1151" t="str">
        <f>+B2</f>
        <v xml:space="preserve">ATTACHMENT H-15A </v>
      </c>
      <c r="C52" s="1151"/>
      <c r="D52" s="1151"/>
      <c r="E52" s="1151"/>
      <c r="F52" s="1151"/>
      <c r="G52" s="1151"/>
      <c r="H52" s="1151"/>
      <c r="I52" s="1151"/>
      <c r="J52" s="215"/>
    </row>
    <row r="53" spans="1:10" ht="18">
      <c r="A53" s="642"/>
      <c r="B53" s="1151" t="str">
        <f>+B3</f>
        <v>Attachment 1C - Accumulated Deferred Income Taxes (ADIT) Worksheet - December 31 of Prior Year</v>
      </c>
      <c r="C53" s="1151"/>
      <c r="D53" s="1151"/>
      <c r="E53" s="1151"/>
      <c r="F53" s="1151"/>
      <c r="G53" s="1151"/>
      <c r="H53" s="1151"/>
      <c r="I53" s="1151"/>
      <c r="J53" s="215"/>
    </row>
    <row r="54" spans="1:9" ht="15.5">
      <c r="A54" s="642"/>
      <c r="B54" s="1155"/>
      <c r="C54" s="1155"/>
      <c r="D54" s="1155"/>
      <c r="E54" s="1155"/>
      <c r="F54" s="1155"/>
      <c r="G54" s="1155"/>
      <c r="H54" s="1155"/>
      <c r="I54" s="1155"/>
    </row>
    <row r="55" spans="1:9" ht="25.15" customHeight="1">
      <c r="A55" s="642"/>
      <c r="B55" s="711" t="s">
        <v>195</v>
      </c>
      <c r="C55" s="711" t="s">
        <v>197</v>
      </c>
      <c r="D55" s="711" t="s">
        <v>198</v>
      </c>
      <c r="E55" s="711" t="s">
        <v>199</v>
      </c>
      <c r="F55" s="711" t="s">
        <v>201</v>
      </c>
      <c r="G55" s="711" t="s">
        <v>203</v>
      </c>
      <c r="H55" s="1047"/>
      <c r="I55" s="925"/>
    </row>
    <row r="56" spans="1:9" ht="25.15" customHeight="1">
      <c r="A56" s="642"/>
      <c r="B56" s="218"/>
      <c r="C56" s="239" t="s">
        <v>65</v>
      </c>
      <c r="D56" s="239"/>
      <c r="E56" s="239" t="s">
        <v>224</v>
      </c>
      <c r="F56" s="239"/>
      <c r="G56" s="239"/>
      <c r="H56" s="239"/>
      <c r="I56" s="926"/>
    </row>
    <row r="57" spans="1:10" s="218" customFormat="1" ht="26.5" customHeight="1">
      <c r="A57" s="644"/>
      <c r="B57" s="240" t="s">
        <v>276</v>
      </c>
      <c r="C57" s="239"/>
      <c r="D57" s="239"/>
      <c r="E57" s="239" t="s">
        <v>225</v>
      </c>
      <c r="F57" s="239" t="s">
        <v>226</v>
      </c>
      <c r="G57" s="239" t="s">
        <v>227</v>
      </c>
      <c r="H57" s="239"/>
      <c r="I57" s="926"/>
      <c r="J57" s="216"/>
    </row>
    <row r="58" spans="1:9" ht="22.15" customHeight="1" thickBot="1">
      <c r="A58" s="642"/>
      <c r="B58" s="236"/>
      <c r="C58" s="239"/>
      <c r="D58" s="239" t="str">
        <f>+D25</f>
        <v>Excluded</v>
      </c>
      <c r="E58" s="239" t="s">
        <v>229</v>
      </c>
      <c r="F58" s="239" t="s">
        <v>229</v>
      </c>
      <c r="G58" s="239" t="s">
        <v>229</v>
      </c>
      <c r="H58" s="239"/>
      <c r="I58" s="231" t="s">
        <v>1014</v>
      </c>
    </row>
    <row r="59" spans="1:9" ht="27.65" customHeight="1">
      <c r="A59" s="642">
        <f>+A40+1</f>
        <v>23</v>
      </c>
      <c r="B59" s="785" t="s">
        <v>277</v>
      </c>
      <c r="C59" s="847">
        <v>0</v>
      </c>
      <c r="D59" s="847">
        <v>0</v>
      </c>
      <c r="E59" s="838">
        <v>0</v>
      </c>
      <c r="F59" s="838">
        <v>0</v>
      </c>
      <c r="G59" s="838">
        <v>0</v>
      </c>
      <c r="H59" s="1050"/>
      <c r="I59" s="650" t="s">
        <v>994</v>
      </c>
    </row>
    <row r="60" spans="1:9" ht="35.15" customHeight="1">
      <c r="A60" s="642">
        <f>+A59+1</f>
        <v>24</v>
      </c>
      <c r="B60" s="557" t="s">
        <v>805</v>
      </c>
      <c r="C60" s="840">
        <v>0</v>
      </c>
      <c r="D60" s="840">
        <f>+C60</f>
        <v>0</v>
      </c>
      <c r="E60" s="840">
        <v>-11203668</v>
      </c>
      <c r="F60" s="840">
        <v>0</v>
      </c>
      <c r="G60" s="840">
        <v>0</v>
      </c>
      <c r="H60" s="1049"/>
      <c r="I60" s="960" t="s">
        <v>278</v>
      </c>
    </row>
    <row r="61" spans="1:10" ht="35.15" customHeight="1" thickBot="1">
      <c r="A61" s="642">
        <f>+A60+1</f>
        <v>25</v>
      </c>
      <c r="B61" s="553" t="s">
        <v>65</v>
      </c>
      <c r="C61" s="846">
        <f>+SUM(C59:C60)</f>
        <v>0</v>
      </c>
      <c r="D61" s="846">
        <f t="shared" si="6" ref="D61:G61">+SUM(D59:D60)</f>
        <v>0</v>
      </c>
      <c r="E61" s="846">
        <f>+SUM(E59:E60)</f>
        <v>-11203668</v>
      </c>
      <c r="F61" s="846">
        <f>+SUM(F59:F60)</f>
        <v>0</v>
      </c>
      <c r="G61" s="846">
        <f>+SUM(G59:G60)</f>
        <v>0</v>
      </c>
      <c r="H61" s="846"/>
      <c r="I61" s="552"/>
      <c r="J61" s="218"/>
    </row>
    <row r="62" spans="1:9" ht="23.5" customHeight="1">
      <c r="A62" s="642"/>
      <c r="B62" s="58" t="s">
        <v>279</v>
      </c>
      <c r="C62" s="219"/>
      <c r="D62" s="219"/>
      <c r="E62" s="1017"/>
      <c r="F62" s="234"/>
      <c r="G62" s="235"/>
      <c r="H62" s="235"/>
      <c r="I62" s="638"/>
    </row>
    <row r="63" spans="1:9" ht="23.5" customHeight="1">
      <c r="A63" s="642"/>
      <c r="B63" s="253" t="s">
        <v>280</v>
      </c>
      <c r="C63" s="219"/>
      <c r="D63" s="235"/>
      <c r="E63" s="219"/>
      <c r="F63" s="219"/>
      <c r="G63" s="1017"/>
      <c r="H63" s="1017"/>
      <c r="I63" s="1017"/>
    </row>
    <row r="64" spans="1:9" ht="15.5">
      <c r="A64" s="642"/>
      <c r="B64" s="253" t="s">
        <v>270</v>
      </c>
      <c r="C64" s="219"/>
      <c r="D64" s="235"/>
      <c r="E64" s="219"/>
      <c r="F64" s="219"/>
      <c r="G64" s="1017"/>
      <c r="H64" s="1017"/>
      <c r="I64" s="1017"/>
    </row>
    <row r="65" spans="1:9" ht="18" customHeight="1">
      <c r="A65" s="642"/>
      <c r="B65" s="253" t="s">
        <v>281</v>
      </c>
      <c r="C65" s="219"/>
      <c r="D65" s="235"/>
      <c r="E65" s="219"/>
      <c r="F65" s="219"/>
      <c r="G65" s="1017"/>
      <c r="H65" s="1017"/>
      <c r="I65" s="1017"/>
    </row>
    <row r="66" spans="1:10" s="215" customFormat="1" ht="18" customHeight="1">
      <c r="A66" s="598"/>
      <c r="B66" s="253" t="s">
        <v>282</v>
      </c>
      <c r="C66" s="219"/>
      <c r="D66" s="235"/>
      <c r="E66" s="219"/>
      <c r="F66" s="219"/>
      <c r="G66" s="1017"/>
      <c r="H66" s="1017"/>
      <c r="I66" s="1017"/>
      <c r="J66" s="216"/>
    </row>
    <row r="67" spans="1:10" s="215" customFormat="1" ht="17.5">
      <c r="A67" s="598"/>
      <c r="B67" s="1148" t="s">
        <v>356</v>
      </c>
      <c r="C67" s="1148"/>
      <c r="D67" s="1148"/>
      <c r="E67" s="1148"/>
      <c r="F67" s="1148"/>
      <c r="G67" s="1148"/>
      <c r="H67" s="1148"/>
      <c r="I67" s="1148"/>
      <c r="J67" s="216"/>
    </row>
    <row r="68" spans="1:10" s="215" customFormat="1" ht="17.5">
      <c r="A68" s="598"/>
      <c r="B68" s="236" t="s">
        <v>274</v>
      </c>
      <c r="C68" s="644"/>
      <c r="D68" s="734"/>
      <c r="E68" s="644"/>
      <c r="F68" s="644"/>
      <c r="G68" s="644"/>
      <c r="H68" s="644"/>
      <c r="I68" s="1018"/>
      <c r="J68" s="216"/>
    </row>
    <row r="69" spans="1:10" s="215" customFormat="1" ht="17.5">
      <c r="A69" s="598"/>
      <c r="B69" s="711"/>
      <c r="C69" s="237"/>
      <c r="D69" s="237"/>
      <c r="E69" s="237"/>
      <c r="F69" s="237"/>
      <c r="G69" s="237"/>
      <c r="H69" s="237"/>
      <c r="I69" s="237"/>
      <c r="J69" s="216"/>
    </row>
    <row r="70" spans="1:10" ht="18">
      <c r="A70" s="642"/>
      <c r="B70" s="254" t="str">
        <f>B1</f>
        <v>Dayton Power and Light</v>
      </c>
      <c r="C70" s="255"/>
      <c r="D70" s="255"/>
      <c r="E70" s="255"/>
      <c r="F70" s="255"/>
      <c r="G70" s="255"/>
      <c r="H70" s="255"/>
      <c r="I70" s="256"/>
      <c r="J70" s="215"/>
    </row>
    <row r="71" spans="1:10" ht="18">
      <c r="A71" s="642"/>
      <c r="B71" s="1149" t="str">
        <f>+B52</f>
        <v xml:space="preserve">ATTACHMENT H-15A </v>
      </c>
      <c r="C71" s="1149"/>
      <c r="D71" s="1149"/>
      <c r="E71" s="1149"/>
      <c r="F71" s="1149"/>
      <c r="G71" s="1149"/>
      <c r="H71" s="1149"/>
      <c r="I71" s="1149"/>
      <c r="J71" s="215"/>
    </row>
    <row r="72" spans="1:10" ht="18">
      <c r="A72" s="642"/>
      <c r="B72" s="1149" t="str">
        <f>+B3</f>
        <v>Attachment 1C - Accumulated Deferred Income Taxes (ADIT) Worksheet - December 31 of Prior Year</v>
      </c>
      <c r="C72" s="1149"/>
      <c r="D72" s="1149"/>
      <c r="E72" s="1149"/>
      <c r="F72" s="1149"/>
      <c r="G72" s="1149"/>
      <c r="H72" s="1149"/>
      <c r="I72" s="1149"/>
      <c r="J72" s="215"/>
    </row>
    <row r="73" spans="1:10" ht="20.15" customHeight="1">
      <c r="A73" s="642"/>
      <c r="B73" s="241"/>
      <c r="C73" s="217"/>
      <c r="D73" s="217"/>
      <c r="E73" s="217"/>
      <c r="F73" s="217"/>
      <c r="G73" s="213"/>
      <c r="H73" s="1063"/>
      <c r="I73" s="270"/>
      <c r="J73" s="215"/>
    </row>
    <row r="74" spans="1:9" ht="36.75" customHeight="1">
      <c r="A74" s="642"/>
      <c r="B74" s="230" t="s">
        <v>195</v>
      </c>
      <c r="C74" s="231" t="s">
        <v>197</v>
      </c>
      <c r="D74" s="231" t="s">
        <v>198</v>
      </c>
      <c r="E74" s="231" t="s">
        <v>199</v>
      </c>
      <c r="F74" s="231" t="s">
        <v>201</v>
      </c>
      <c r="G74" s="231" t="s">
        <v>203</v>
      </c>
      <c r="H74" s="230"/>
      <c r="I74" s="231" t="s">
        <v>205</v>
      </c>
    </row>
    <row r="75" spans="1:8" ht="33.75" customHeight="1">
      <c r="A75" s="642"/>
      <c r="B75" s="240" t="s">
        <v>283</v>
      </c>
      <c r="C75" s="223" t="s">
        <v>65</v>
      </c>
      <c r="D75" s="243"/>
      <c r="E75" s="243" t="s">
        <v>357</v>
      </c>
      <c r="F75" s="243" t="s">
        <v>226</v>
      </c>
      <c r="G75" s="243" t="s">
        <v>227</v>
      </c>
      <c r="H75" s="230"/>
    </row>
    <row r="76" spans="1:8" ht="36" customHeight="1" thickBot="1">
      <c r="A76" s="642"/>
      <c r="C76" s="223"/>
      <c r="D76" s="223" t="str">
        <f>+D58</f>
        <v>Excluded</v>
      </c>
      <c r="E76" s="223" t="str">
        <f>+E58</f>
        <v>Related</v>
      </c>
      <c r="F76" s="223" t="str">
        <f>+F58</f>
        <v>Related</v>
      </c>
      <c r="G76" s="223" t="str">
        <f>+G58</f>
        <v>Related</v>
      </c>
      <c r="H76" s="230"/>
    </row>
    <row r="77" spans="1:9" ht="30.75" customHeight="1">
      <c r="A77" s="642">
        <f>+A61+1</f>
        <v>26</v>
      </c>
      <c r="B77" s="555" t="s">
        <v>284</v>
      </c>
      <c r="C77" s="838">
        <v>-5262284</v>
      </c>
      <c r="D77" s="838">
        <v>0</v>
      </c>
      <c r="E77" s="838">
        <v>0</v>
      </c>
      <c r="F77" s="838">
        <v>0</v>
      </c>
      <c r="G77" s="838">
        <f>+C77</f>
        <v>-5262284</v>
      </c>
      <c r="H77" s="1050"/>
      <c r="I77" s="959" t="s">
        <v>285</v>
      </c>
    </row>
    <row r="78" spans="1:9" ht="43.5" customHeight="1">
      <c r="A78" s="642">
        <f>+A77+1</f>
        <v>27</v>
      </c>
      <c r="B78" s="557" t="s">
        <v>286</v>
      </c>
      <c r="C78" s="840">
        <v>-2442970</v>
      </c>
      <c r="D78" s="840">
        <v>0</v>
      </c>
      <c r="E78" s="840">
        <v>0</v>
      </c>
      <c r="F78" s="840">
        <f>+C78</f>
        <v>-2442970</v>
      </c>
      <c r="G78" s="840">
        <v>0</v>
      </c>
      <c r="H78" s="1049"/>
      <c r="I78" s="652" t="s">
        <v>287</v>
      </c>
    </row>
    <row r="79" spans="1:9" ht="40.5" customHeight="1">
      <c r="A79" s="642">
        <f t="shared" si="7" ref="A79:A87">+A78+1</f>
        <v>28</v>
      </c>
      <c r="B79" s="557" t="s">
        <v>288</v>
      </c>
      <c r="C79" s="840">
        <v>-15990185</v>
      </c>
      <c r="D79" s="840">
        <f>+C79</f>
        <v>-15990185</v>
      </c>
      <c r="E79" s="840">
        <v>0</v>
      </c>
      <c r="F79" s="840">
        <v>0</v>
      </c>
      <c r="G79" s="840">
        <v>0</v>
      </c>
      <c r="H79" s="1049"/>
      <c r="I79" s="652" t="s">
        <v>984</v>
      </c>
    </row>
    <row r="80" spans="1:9" s="814" customFormat="1" ht="33" customHeight="1">
      <c r="A80" s="961">
        <f>+A79+1</f>
        <v>29</v>
      </c>
      <c r="B80" s="962" t="s">
        <v>289</v>
      </c>
      <c r="C80" s="850">
        <v>-23889846</v>
      </c>
      <c r="D80" s="850">
        <f>+C80</f>
        <v>-23889846</v>
      </c>
      <c r="E80" s="850">
        <v>0</v>
      </c>
      <c r="F80" s="850">
        <v>0</v>
      </c>
      <c r="G80" s="850">
        <v>0</v>
      </c>
      <c r="H80" s="1049"/>
      <c r="I80" s="652" t="s">
        <v>987</v>
      </c>
    </row>
    <row r="81" spans="1:9" ht="25.15" customHeight="1">
      <c r="A81" s="642">
        <f>+A80+1</f>
        <v>30</v>
      </c>
      <c r="B81" s="784" t="s">
        <v>290</v>
      </c>
      <c r="C81" s="840">
        <v>11163037</v>
      </c>
      <c r="D81" s="840">
        <f>+C81</f>
        <v>11163037</v>
      </c>
      <c r="E81" s="840">
        <v>0</v>
      </c>
      <c r="F81" s="840">
        <v>0</v>
      </c>
      <c r="G81" s="840">
        <v>0</v>
      </c>
      <c r="H81" s="1049"/>
      <c r="I81" s="648" t="s">
        <v>250</v>
      </c>
    </row>
    <row r="82" spans="1:9" ht="25.15" customHeight="1">
      <c r="A82" s="642">
        <f>+A81+1</f>
        <v>31</v>
      </c>
      <c r="B82" s="557" t="s">
        <v>291</v>
      </c>
      <c r="C82" s="840">
        <v>1438577</v>
      </c>
      <c r="D82" s="840">
        <v>0</v>
      </c>
      <c r="E82" s="840">
        <v>0</v>
      </c>
      <c r="F82" s="840">
        <v>0</v>
      </c>
      <c r="G82" s="840">
        <f>+C82</f>
        <v>1438577</v>
      </c>
      <c r="H82" s="1049"/>
      <c r="I82" s="652" t="s">
        <v>292</v>
      </c>
    </row>
    <row r="83" spans="1:9" ht="25.15" customHeight="1" thickBot="1">
      <c r="A83" s="642">
        <f>+A82+1</f>
        <v>32</v>
      </c>
      <c r="B83" s="557" t="s">
        <v>263</v>
      </c>
      <c r="C83" s="840">
        <v>20138382</v>
      </c>
      <c r="D83" s="840">
        <f>+C83</f>
        <v>20138382</v>
      </c>
      <c r="E83" s="840">
        <v>0</v>
      </c>
      <c r="F83" s="840">
        <v>0</v>
      </c>
      <c r="G83" s="840">
        <v>0</v>
      </c>
      <c r="H83" s="1049"/>
      <c r="I83" s="652" t="s">
        <v>358</v>
      </c>
    </row>
    <row r="84" spans="1:10" s="218" customFormat="1" ht="35.15" customHeight="1">
      <c r="A84" s="642">
        <f>+A83+1</f>
        <v>33</v>
      </c>
      <c r="B84" s="257" t="s">
        <v>294</v>
      </c>
      <c r="C84" s="851">
        <f>SUM(C77:C83)</f>
        <v>-14845289</v>
      </c>
      <c r="D84" s="851">
        <f t="shared" si="8" ref="D84:G84">SUM(D77:D83)</f>
        <v>-8578612</v>
      </c>
      <c r="E84" s="851">
        <f>SUM(E77:E83)</f>
        <v>0</v>
      </c>
      <c r="F84" s="851">
        <f>SUM(F77:F83)</f>
        <v>-2442970</v>
      </c>
      <c r="G84" s="851">
        <f>SUM(G77:G83)</f>
        <v>-3823707</v>
      </c>
      <c r="H84" s="1053"/>
      <c r="I84" s="258"/>
      <c r="J84" s="216"/>
    </row>
    <row r="85" spans="1:10" s="218" customFormat="1" ht="15.65" customHeight="1">
      <c r="A85" s="642">
        <f>+A84+1</f>
        <v>34</v>
      </c>
      <c r="B85" s="245" t="s">
        <v>295</v>
      </c>
      <c r="C85" s="843">
        <f>+C81</f>
        <v>11163037</v>
      </c>
      <c r="D85" s="843">
        <f>+D81</f>
        <v>11163037</v>
      </c>
      <c r="E85" s="843">
        <f>+E81</f>
        <v>0</v>
      </c>
      <c r="F85" s="843">
        <f>+F81</f>
        <v>0</v>
      </c>
      <c r="G85" s="843">
        <f>+G81</f>
        <v>0</v>
      </c>
      <c r="H85" s="856"/>
      <c r="I85" s="246"/>
      <c r="J85" s="216"/>
    </row>
    <row r="86" spans="1:10" s="218" customFormat="1" ht="15.65" customHeight="1">
      <c r="A86" s="642">
        <f>+A85+1</f>
        <v>35</v>
      </c>
      <c r="B86" s="631" t="s">
        <v>296</v>
      </c>
      <c r="C86" s="852">
        <f>+C78</f>
        <v>-2442970</v>
      </c>
      <c r="D86" s="852">
        <f>+D78</f>
        <v>0</v>
      </c>
      <c r="E86" s="852">
        <f>+E78</f>
        <v>0</v>
      </c>
      <c r="F86" s="852">
        <f>+F78</f>
        <v>-2442970</v>
      </c>
      <c r="G86" s="852">
        <f>+G78</f>
        <v>0</v>
      </c>
      <c r="H86" s="857"/>
      <c r="I86" s="632" t="s">
        <v>297</v>
      </c>
      <c r="J86" s="216"/>
    </row>
    <row r="87" spans="1:9" s="218" customFormat="1" ht="35.15" customHeight="1" thickBot="1">
      <c r="A87" s="642">
        <f>+A86+1</f>
        <v>36</v>
      </c>
      <c r="B87" s="553" t="s">
        <v>65</v>
      </c>
      <c r="C87" s="846">
        <f>+C84-C85-C86</f>
        <v>-23565356</v>
      </c>
      <c r="D87" s="846">
        <f t="shared" si="9" ref="D87:G87">+D84-D85-D86</f>
        <v>-19741649</v>
      </c>
      <c r="E87" s="846">
        <f>+E84-E85-E86</f>
        <v>0</v>
      </c>
      <c r="F87" s="846">
        <f>+F84-F85-F86</f>
        <v>0</v>
      </c>
      <c r="G87" s="846">
        <f>+G84-G85-G86</f>
        <v>-3823707</v>
      </c>
      <c r="H87" s="846"/>
      <c r="I87" s="552"/>
    </row>
    <row r="88" spans="1:10" ht="28.15" customHeight="1">
      <c r="A88" s="642"/>
      <c r="B88" s="58" t="s">
        <v>298</v>
      </c>
      <c r="C88" s="58"/>
      <c r="D88" s="58"/>
      <c r="E88" s="73"/>
      <c r="F88" s="73"/>
      <c r="G88" s="218"/>
      <c r="H88" s="218"/>
      <c r="I88" s="249"/>
      <c r="J88" s="218"/>
    </row>
    <row r="89" spans="1:9" ht="19.15" customHeight="1">
      <c r="A89" s="642"/>
      <c r="B89" s="253" t="str">
        <f>+B63</f>
        <v>1.  ADIT items related only to Non-Electric Operations or Production are directly assigned to Column C</v>
      </c>
      <c r="C89" s="219"/>
      <c r="D89" s="235"/>
      <c r="E89" s="219"/>
      <c r="F89" s="219"/>
      <c r="G89" s="1017"/>
      <c r="H89" s="1017"/>
      <c r="I89" s="1017"/>
    </row>
    <row r="90" spans="1:9" ht="18.65" customHeight="1">
      <c r="A90" s="642"/>
      <c r="B90" s="253" t="s">
        <v>270</v>
      </c>
      <c r="C90" s="219"/>
      <c r="D90" s="235"/>
      <c r="E90" s="219"/>
      <c r="F90" s="219"/>
      <c r="G90" s="1017"/>
      <c r="H90" s="1017"/>
      <c r="I90" s="1017"/>
    </row>
    <row r="91" spans="1:9" ht="15" customHeight="1">
      <c r="A91" s="642"/>
      <c r="B91" s="253" t="s">
        <v>281</v>
      </c>
      <c r="C91" s="219"/>
      <c r="D91" s="235"/>
      <c r="E91" s="219"/>
      <c r="F91" s="219"/>
      <c r="G91" s="1017"/>
      <c r="H91" s="1017"/>
      <c r="I91" s="1017"/>
    </row>
    <row r="92" spans="1:9" ht="15.5">
      <c r="A92" s="642"/>
      <c r="B92" s="253" t="s">
        <v>282</v>
      </c>
      <c r="C92" s="219"/>
      <c r="D92" s="235"/>
      <c r="E92" s="219"/>
      <c r="F92" s="219"/>
      <c r="G92" s="1017"/>
      <c r="H92" s="1017"/>
      <c r="I92" s="1017"/>
    </row>
    <row r="93" spans="1:9" ht="15.75" customHeight="1">
      <c r="A93" s="642"/>
      <c r="B93" s="1148" t="s">
        <v>356</v>
      </c>
      <c r="C93" s="1148"/>
      <c r="D93" s="1148"/>
      <c r="E93" s="1148"/>
      <c r="F93" s="1148"/>
      <c r="G93" s="1148"/>
      <c r="H93" s="1148"/>
      <c r="I93" s="1148"/>
    </row>
    <row r="94" spans="1:9" ht="15.75" customHeight="1">
      <c r="A94" s="642"/>
      <c r="B94" s="236" t="s">
        <v>274</v>
      </c>
      <c r="C94" s="644"/>
      <c r="D94" s="734"/>
      <c r="E94" s="644"/>
      <c r="F94" s="644"/>
      <c r="G94" s="644"/>
      <c r="H94" s="644"/>
      <c r="I94" s="1018"/>
    </row>
    <row r="95" spans="1:9" ht="15.5">
      <c r="A95" s="642"/>
      <c r="B95" s="250"/>
      <c r="C95" s="251"/>
      <c r="D95" s="251"/>
      <c r="E95" s="251"/>
      <c r="F95" s="251"/>
      <c r="G95" s="251"/>
      <c r="H95" s="251"/>
      <c r="I95" s="251"/>
    </row>
    <row r="96" spans="1:9" ht="15.5">
      <c r="A96" s="642"/>
      <c r="B96" s="1146"/>
      <c r="C96" s="1146"/>
      <c r="D96" s="1146"/>
      <c r="E96" s="1146"/>
      <c r="F96" s="1146"/>
      <c r="G96" s="1146"/>
      <c r="H96" s="1146"/>
      <c r="I96" s="1146"/>
    </row>
    <row r="97" spans="1:9" ht="15.5">
      <c r="A97" s="642"/>
      <c r="B97" s="58"/>
      <c r="C97" s="58"/>
      <c r="D97" s="58"/>
      <c r="E97" s="58"/>
      <c r="F97" s="58"/>
      <c r="G97" s="58"/>
      <c r="H97" s="58"/>
      <c r="I97" s="58"/>
    </row>
    <row r="98" spans="1:9" ht="15.5">
      <c r="A98" s="642"/>
      <c r="B98" s="58"/>
      <c r="C98" s="58"/>
      <c r="D98" s="58"/>
      <c r="E98" s="58"/>
      <c r="F98" s="58"/>
      <c r="G98" s="58"/>
      <c r="H98" s="58"/>
      <c r="I98" s="58"/>
    </row>
    <row r="99" spans="1:9" ht="15.5">
      <c r="A99" s="642"/>
      <c r="B99" s="58"/>
      <c r="C99" s="58"/>
      <c r="D99" s="58"/>
      <c r="E99" s="58"/>
      <c r="F99" s="58"/>
      <c r="G99" s="58"/>
      <c r="H99" s="58"/>
      <c r="I99" s="58"/>
    </row>
    <row r="100" spans="1:9" ht="15.5">
      <c r="A100" s="642"/>
      <c r="B100" s="219"/>
      <c r="C100" s="58"/>
      <c r="D100" s="252"/>
      <c r="E100" s="252"/>
      <c r="F100" s="252"/>
      <c r="G100" s="252"/>
      <c r="H100" s="252"/>
      <c r="I100" s="252"/>
    </row>
    <row r="101" spans="2:9" ht="15.5">
      <c r="B101" s="219"/>
      <c r="C101" s="58"/>
      <c r="D101" s="252"/>
      <c r="E101" s="252"/>
      <c r="F101" s="252"/>
      <c r="G101" s="252"/>
      <c r="H101" s="252"/>
      <c r="I101" s="252"/>
    </row>
    <row r="102" spans="2:9" ht="15.5">
      <c r="B102" s="253"/>
      <c r="C102" s="58"/>
      <c r="D102" s="73"/>
      <c r="E102" s="73"/>
      <c r="F102" s="58"/>
      <c r="G102" s="58"/>
      <c r="H102" s="58"/>
      <c r="I102" s="58"/>
    </row>
    <row r="103" spans="2:9" ht="15.5">
      <c r="B103" s="253"/>
      <c r="C103" s="58"/>
      <c r="D103" s="26"/>
      <c r="E103" s="26"/>
      <c r="F103" s="58"/>
      <c r="G103" s="58"/>
      <c r="H103" s="58"/>
      <c r="I103" s="58"/>
    </row>
    <row r="104" spans="2:9" ht="15.5">
      <c r="B104" s="253"/>
      <c r="C104" s="58"/>
      <c r="D104" s="26"/>
      <c r="E104" s="26"/>
      <c r="F104" s="58"/>
      <c r="G104" s="58"/>
      <c r="H104" s="58"/>
      <c r="I104" s="58"/>
    </row>
    <row r="105" spans="2:9" ht="15.5">
      <c r="B105" s="253"/>
      <c r="C105" s="58"/>
      <c r="D105" s="26"/>
      <c r="E105" s="26"/>
      <c r="F105" s="58"/>
      <c r="G105" s="58"/>
      <c r="H105" s="58"/>
      <c r="I105" s="58"/>
    </row>
    <row r="106" spans="2:9" ht="15.5">
      <c r="B106" s="253"/>
      <c r="C106" s="58"/>
      <c r="D106" s="26"/>
      <c r="E106" s="26"/>
      <c r="F106" s="58"/>
      <c r="G106" s="58"/>
      <c r="H106" s="58"/>
      <c r="I106" s="58"/>
    </row>
    <row r="107" spans="2:9" ht="15.5">
      <c r="B107" s="253"/>
      <c r="C107" s="58"/>
      <c r="D107" s="26"/>
      <c r="E107" s="26"/>
      <c r="F107" s="58"/>
      <c r="G107" s="58"/>
      <c r="H107" s="58"/>
      <c r="I107" s="58"/>
    </row>
    <row r="108" spans="2:9" ht="15.5">
      <c r="B108" s="253"/>
      <c r="C108" s="58"/>
      <c r="D108" s="26"/>
      <c r="E108" s="26"/>
      <c r="F108" s="58"/>
      <c r="G108" s="58"/>
      <c r="H108" s="58"/>
      <c r="I108" s="58"/>
    </row>
    <row r="109" spans="2:9" ht="15.5">
      <c r="B109" s="253"/>
      <c r="C109" s="58"/>
      <c r="D109" s="26"/>
      <c r="E109" s="26"/>
      <c r="F109" s="58"/>
      <c r="G109" s="58"/>
      <c r="H109" s="58"/>
      <c r="I109" s="58"/>
    </row>
    <row r="110" spans="2:9" ht="15.5">
      <c r="B110" s="253"/>
      <c r="C110" s="58"/>
      <c r="D110" s="26"/>
      <c r="E110" s="26"/>
      <c r="F110" s="58"/>
      <c r="G110" s="58"/>
      <c r="H110" s="58"/>
      <c r="I110" s="58"/>
    </row>
    <row r="111" spans="2:9" ht="15.5">
      <c r="B111" s="253"/>
      <c r="C111" s="58"/>
      <c r="D111" s="26"/>
      <c r="E111" s="26"/>
      <c r="F111" s="58"/>
      <c r="G111" s="58"/>
      <c r="H111" s="58"/>
      <c r="I111" s="58"/>
    </row>
    <row r="112" spans="2:9" ht="15.5">
      <c r="B112" s="253"/>
      <c r="C112" s="58"/>
      <c r="D112" s="26"/>
      <c r="E112" s="26"/>
      <c r="F112" s="58"/>
      <c r="G112" s="58"/>
      <c r="H112" s="58"/>
      <c r="I112" s="58"/>
    </row>
    <row r="113" spans="2:9" ht="15.5">
      <c r="B113" s="58"/>
      <c r="C113" s="58"/>
      <c r="D113" s="26"/>
      <c r="E113" s="26"/>
      <c r="F113" s="58"/>
      <c r="G113" s="58"/>
      <c r="H113" s="58"/>
      <c r="I113" s="58"/>
    </row>
    <row r="114" spans="2:9" ht="15.5">
      <c r="B114" s="253"/>
      <c r="C114" s="58"/>
      <c r="D114" s="26"/>
      <c r="E114" s="26"/>
      <c r="F114" s="58"/>
      <c r="G114" s="58"/>
      <c r="H114" s="58"/>
      <c r="I114" s="58"/>
    </row>
    <row r="115" spans="2:9" ht="15.5">
      <c r="B115" s="58"/>
      <c r="C115" s="58"/>
      <c r="D115" s="26"/>
      <c r="E115" s="26"/>
      <c r="F115" s="58"/>
      <c r="G115" s="58"/>
      <c r="H115" s="58"/>
      <c r="I115" s="58"/>
    </row>
    <row r="116" spans="2:9" ht="15.5">
      <c r="B116" s="253"/>
      <c r="C116" s="58"/>
      <c r="D116" s="58"/>
      <c r="E116" s="58"/>
      <c r="F116" s="58"/>
      <c r="G116" s="58"/>
      <c r="H116" s="58"/>
      <c r="I116" s="58"/>
    </row>
    <row r="117" spans="2:9" ht="15.5">
      <c r="B117" s="253"/>
      <c r="C117" s="58"/>
      <c r="D117" s="58"/>
      <c r="E117" s="58"/>
      <c r="F117" s="58"/>
      <c r="G117" s="58"/>
      <c r="H117" s="58"/>
      <c r="I117" s="58"/>
    </row>
    <row r="118" spans="2:9" ht="15.5">
      <c r="B118" s="253"/>
      <c r="C118" s="58"/>
      <c r="D118" s="58"/>
      <c r="E118" s="58"/>
      <c r="F118" s="58"/>
      <c r="G118" s="58"/>
      <c r="H118" s="58"/>
      <c r="I118" s="58"/>
    </row>
    <row r="119" spans="2:9" ht="15.5">
      <c r="B119" s="253"/>
      <c r="C119" s="58"/>
      <c r="D119" s="58"/>
      <c r="E119" s="58"/>
      <c r="F119" s="58"/>
      <c r="G119" s="58"/>
      <c r="H119" s="58"/>
      <c r="I119" s="58"/>
    </row>
    <row r="120" spans="2:9" ht="15.5">
      <c r="B120" s="253"/>
      <c r="C120" s="58"/>
      <c r="D120" s="58"/>
      <c r="E120" s="58"/>
      <c r="F120" s="58"/>
      <c r="G120" s="58"/>
      <c r="H120" s="58"/>
      <c r="I120" s="58"/>
    </row>
    <row r="121" spans="2:9" ht="15.5">
      <c r="B121" s="253"/>
      <c r="C121" s="58"/>
      <c r="D121" s="58"/>
      <c r="E121" s="58"/>
      <c r="F121" s="58"/>
      <c r="G121" s="58"/>
      <c r="H121" s="58"/>
      <c r="I121" s="58"/>
    </row>
    <row r="122" spans="2:9" ht="15.5">
      <c r="B122" s="253"/>
      <c r="C122" s="58"/>
      <c r="D122" s="58"/>
      <c r="E122" s="58"/>
      <c r="F122" s="58"/>
      <c r="G122" s="58"/>
      <c r="H122" s="58"/>
      <c r="I122" s="58"/>
    </row>
    <row r="123" spans="2:9" ht="15.5">
      <c r="B123" s="253"/>
      <c r="C123" s="58"/>
      <c r="D123" s="58"/>
      <c r="E123" s="58"/>
      <c r="F123" s="58"/>
      <c r="G123" s="58"/>
      <c r="H123" s="58"/>
      <c r="I123" s="58"/>
    </row>
    <row r="124" spans="2:9" ht="15.5">
      <c r="B124" s="253"/>
      <c r="C124" s="58"/>
      <c r="D124" s="58"/>
      <c r="E124" s="58"/>
      <c r="F124" s="58"/>
      <c r="G124" s="58"/>
      <c r="H124" s="58"/>
      <c r="I124" s="58"/>
    </row>
    <row r="125" spans="2:9" ht="15.5">
      <c r="B125" s="253"/>
      <c r="C125" s="58"/>
      <c r="D125" s="58"/>
      <c r="E125" s="58"/>
      <c r="F125" s="58"/>
      <c r="G125" s="58"/>
      <c r="H125" s="58"/>
      <c r="I125" s="58"/>
    </row>
    <row r="126" spans="2:9" ht="15.5">
      <c r="B126" s="253"/>
      <c r="C126" s="58"/>
      <c r="D126" s="58"/>
      <c r="E126" s="58"/>
      <c r="F126" s="58"/>
      <c r="G126" s="58"/>
      <c r="H126" s="58"/>
      <c r="I126" s="58"/>
    </row>
    <row r="127" spans="2:9" ht="15.5">
      <c r="B127" s="253"/>
      <c r="C127" s="58"/>
      <c r="D127" s="58"/>
      <c r="E127" s="58"/>
      <c r="F127" s="58"/>
      <c r="G127" s="58"/>
      <c r="H127" s="58"/>
      <c r="I127" s="58"/>
    </row>
    <row r="128" spans="2:9" ht="15.5">
      <c r="B128" s="253"/>
      <c r="C128" s="58"/>
      <c r="D128" s="58"/>
      <c r="E128" s="58"/>
      <c r="F128" s="58"/>
      <c r="G128" s="58"/>
      <c r="H128" s="58"/>
      <c r="I128" s="58"/>
    </row>
    <row r="129" spans="2:9" ht="15.5">
      <c r="B129" s="253"/>
      <c r="C129" s="58"/>
      <c r="D129" s="58"/>
      <c r="E129" s="58"/>
      <c r="F129" s="58"/>
      <c r="G129" s="58"/>
      <c r="H129" s="58"/>
      <c r="I129" s="58"/>
    </row>
    <row r="130" spans="2:9" ht="15.5">
      <c r="B130" s="253"/>
      <c r="C130" s="58"/>
      <c r="D130" s="58"/>
      <c r="E130" s="58"/>
      <c r="F130" s="58"/>
      <c r="G130" s="58"/>
      <c r="H130" s="58"/>
      <c r="I130" s="58"/>
    </row>
    <row r="131" spans="2:9" ht="15.5">
      <c r="B131" s="253"/>
      <c r="C131" s="58"/>
      <c r="D131" s="58"/>
      <c r="E131" s="58"/>
      <c r="F131" s="58"/>
      <c r="G131" s="58"/>
      <c r="H131" s="58"/>
      <c r="I131" s="58"/>
    </row>
    <row r="132" spans="2:9" ht="15.5">
      <c r="B132" s="253"/>
      <c r="C132" s="58"/>
      <c r="D132" s="58"/>
      <c r="E132" s="58"/>
      <c r="F132" s="58"/>
      <c r="G132" s="58"/>
      <c r="H132" s="58"/>
      <c r="I132" s="58"/>
    </row>
    <row r="133" spans="2:9" ht="15.5">
      <c r="B133" s="253"/>
      <c r="C133" s="58"/>
      <c r="D133" s="58"/>
      <c r="E133" s="58"/>
      <c r="F133" s="58"/>
      <c r="G133" s="58"/>
      <c r="H133" s="58"/>
      <c r="I133" s="58"/>
    </row>
    <row r="134" spans="2:9" ht="15.5">
      <c r="B134" s="253"/>
      <c r="C134" s="58"/>
      <c r="D134" s="58"/>
      <c r="E134" s="58"/>
      <c r="F134" s="58"/>
      <c r="G134" s="58"/>
      <c r="H134" s="58"/>
      <c r="I134" s="58"/>
    </row>
    <row r="135" spans="2:9" ht="15.5">
      <c r="B135" s="253"/>
      <c r="C135" s="58"/>
      <c r="D135" s="58"/>
      <c r="E135" s="58"/>
      <c r="F135" s="58"/>
      <c r="G135" s="58"/>
      <c r="H135" s="58"/>
      <c r="I135" s="58"/>
    </row>
    <row r="136" spans="2:9" ht="15.5">
      <c r="B136" s="253"/>
      <c r="C136" s="58"/>
      <c r="D136" s="58"/>
      <c r="E136" s="58"/>
      <c r="F136" s="58"/>
      <c r="G136" s="58"/>
      <c r="H136" s="58"/>
      <c r="I136" s="58"/>
    </row>
    <row r="137" spans="2:9" ht="15.5">
      <c r="B137" s="253"/>
      <c r="C137" s="58"/>
      <c r="D137" s="58"/>
      <c r="E137" s="58"/>
      <c r="F137" s="58"/>
      <c r="G137" s="58"/>
      <c r="H137" s="58"/>
      <c r="I137" s="58"/>
    </row>
    <row r="138" spans="2:9" ht="15.5">
      <c r="B138" s="253"/>
      <c r="C138" s="58"/>
      <c r="D138" s="58"/>
      <c r="E138" s="58"/>
      <c r="F138" s="58"/>
      <c r="G138" s="58"/>
      <c r="H138" s="58"/>
      <c r="I138" s="58"/>
    </row>
    <row r="139" spans="2:9" ht="15.5">
      <c r="B139" s="253"/>
      <c r="C139" s="58"/>
      <c r="D139" s="58"/>
      <c r="E139" s="58"/>
      <c r="F139" s="58"/>
      <c r="G139" s="58"/>
      <c r="H139" s="58"/>
      <c r="I139" s="58"/>
    </row>
    <row r="140" spans="2:9" ht="15.5">
      <c r="B140" s="253"/>
      <c r="C140" s="58"/>
      <c r="D140" s="58"/>
      <c r="E140" s="58"/>
      <c r="F140" s="58"/>
      <c r="G140" s="58"/>
      <c r="H140" s="58"/>
      <c r="I140" s="58"/>
    </row>
    <row r="141" spans="2:9" ht="15.5">
      <c r="B141" s="253"/>
      <c r="C141" s="58"/>
      <c r="D141" s="58"/>
      <c r="E141" s="58"/>
      <c r="F141" s="58"/>
      <c r="G141" s="58"/>
      <c r="H141" s="58"/>
      <c r="I141" s="58"/>
    </row>
    <row r="142" spans="2:9" ht="15.5">
      <c r="B142" s="253"/>
      <c r="C142" s="58"/>
      <c r="D142" s="58"/>
      <c r="E142" s="58"/>
      <c r="F142" s="58"/>
      <c r="G142" s="58"/>
      <c r="H142" s="58"/>
      <c r="I142" s="58"/>
    </row>
    <row r="143" spans="2:9" ht="15.5">
      <c r="B143" s="253"/>
      <c r="C143" s="58"/>
      <c r="D143" s="58"/>
      <c r="E143" s="58"/>
      <c r="F143" s="58"/>
      <c r="G143" s="58"/>
      <c r="H143" s="58"/>
      <c r="I143" s="58"/>
    </row>
    <row r="144" spans="2:9" ht="15.5">
      <c r="B144" s="253"/>
      <c r="C144" s="58"/>
      <c r="D144" s="58"/>
      <c r="E144" s="58"/>
      <c r="F144" s="58"/>
      <c r="G144" s="58"/>
      <c r="H144" s="58"/>
      <c r="I144" s="58"/>
    </row>
    <row r="145" spans="2:9" ht="15.5">
      <c r="B145" s="253"/>
      <c r="C145" s="58"/>
      <c r="D145" s="58"/>
      <c r="E145" s="58"/>
      <c r="F145" s="58"/>
      <c r="G145" s="58"/>
      <c r="H145" s="58"/>
      <c r="I145" s="58"/>
    </row>
    <row r="146" spans="2:9" ht="15.5">
      <c r="B146" s="253"/>
      <c r="C146" s="58"/>
      <c r="D146" s="58"/>
      <c r="E146" s="58"/>
      <c r="F146" s="58"/>
      <c r="G146" s="58"/>
      <c r="H146" s="58"/>
      <c r="I146" s="58"/>
    </row>
    <row r="147" spans="2:9" ht="15.5">
      <c r="B147" s="253"/>
      <c r="C147" s="58"/>
      <c r="D147" s="58"/>
      <c r="E147" s="58"/>
      <c r="F147" s="58"/>
      <c r="G147" s="58"/>
      <c r="H147" s="58"/>
      <c r="I147" s="58"/>
    </row>
    <row r="148" spans="2:9" ht="15.5">
      <c r="B148" s="253"/>
      <c r="C148" s="58"/>
      <c r="D148" s="58"/>
      <c r="E148" s="58"/>
      <c r="F148" s="58"/>
      <c r="G148" s="58"/>
      <c r="H148" s="58"/>
      <c r="I148" s="58"/>
    </row>
    <row r="149" spans="2:9" ht="15.5">
      <c r="B149" s="253"/>
      <c r="C149" s="58"/>
      <c r="D149" s="58"/>
      <c r="E149" s="58"/>
      <c r="F149" s="58"/>
      <c r="G149" s="58"/>
      <c r="H149" s="58"/>
      <c r="I149" s="58"/>
    </row>
    <row r="150" spans="2:9" ht="15.5">
      <c r="B150" s="253"/>
      <c r="C150" s="58"/>
      <c r="D150" s="58"/>
      <c r="E150" s="58"/>
      <c r="F150" s="58"/>
      <c r="G150" s="58"/>
      <c r="H150" s="58"/>
      <c r="I150" s="58"/>
    </row>
    <row r="151" spans="2:9" ht="15.5">
      <c r="B151" s="253"/>
      <c r="C151" s="58"/>
      <c r="D151" s="58"/>
      <c r="E151" s="58"/>
      <c r="F151" s="58"/>
      <c r="G151" s="58"/>
      <c r="H151" s="58"/>
      <c r="I151" s="58"/>
    </row>
    <row r="152" spans="2:9" ht="15.5">
      <c r="B152" s="253"/>
      <c r="C152" s="58"/>
      <c r="D152" s="58"/>
      <c r="E152" s="58"/>
      <c r="F152" s="58"/>
      <c r="G152" s="58"/>
      <c r="H152" s="58"/>
      <c r="I152" s="58"/>
    </row>
    <row r="153" spans="2:9" ht="15.5">
      <c r="B153" s="253"/>
      <c r="C153" s="58"/>
      <c r="D153" s="58"/>
      <c r="E153" s="58"/>
      <c r="F153" s="58"/>
      <c r="G153" s="58"/>
      <c r="H153" s="58"/>
      <c r="I153" s="58"/>
    </row>
    <row r="154" spans="2:9" ht="15.5">
      <c r="B154" s="253"/>
      <c r="C154" s="58"/>
      <c r="D154" s="58"/>
      <c r="E154" s="58"/>
      <c r="F154" s="58"/>
      <c r="G154" s="58"/>
      <c r="H154" s="58"/>
      <c r="I154" s="58"/>
    </row>
    <row r="155" spans="2:9" ht="15.5">
      <c r="B155" s="253"/>
      <c r="C155" s="58"/>
      <c r="D155" s="58"/>
      <c r="E155" s="58"/>
      <c r="F155" s="58"/>
      <c r="G155" s="58"/>
      <c r="H155" s="58"/>
      <c r="I155" s="58"/>
    </row>
    <row r="156" spans="2:9" ht="15.5">
      <c r="B156" s="253"/>
      <c r="C156" s="58"/>
      <c r="D156" s="58"/>
      <c r="E156" s="58"/>
      <c r="F156" s="58"/>
      <c r="G156" s="58"/>
      <c r="H156" s="58"/>
      <c r="I156" s="58"/>
    </row>
    <row r="157" spans="2:9" ht="15.5">
      <c r="B157" s="253"/>
      <c r="C157" s="58"/>
      <c r="D157" s="58"/>
      <c r="E157" s="58"/>
      <c r="F157" s="58"/>
      <c r="G157" s="58"/>
      <c r="H157" s="58"/>
      <c r="I157" s="58"/>
    </row>
    <row r="158" spans="2:9" ht="15.5">
      <c r="B158" s="253"/>
      <c r="C158" s="58"/>
      <c r="D158" s="58"/>
      <c r="E158" s="58"/>
      <c r="F158" s="58"/>
      <c r="G158" s="58"/>
      <c r="H158" s="58"/>
      <c r="I158" s="58"/>
    </row>
    <row r="159" spans="2:9" ht="15.5">
      <c r="B159" s="253"/>
      <c r="C159" s="58"/>
      <c r="D159" s="58"/>
      <c r="E159" s="58"/>
      <c r="F159" s="58"/>
      <c r="G159" s="58"/>
      <c r="H159" s="58"/>
      <c r="I159" s="58"/>
    </row>
    <row r="160" spans="2:9" ht="15.5">
      <c r="B160" s="253"/>
      <c r="C160" s="58"/>
      <c r="D160" s="58"/>
      <c r="E160" s="58"/>
      <c r="F160" s="58"/>
      <c r="G160" s="58"/>
      <c r="H160" s="58"/>
      <c r="I160" s="58"/>
    </row>
    <row r="161" spans="2:9" ht="15.5">
      <c r="B161" s="253"/>
      <c r="C161" s="58"/>
      <c r="D161" s="58"/>
      <c r="E161" s="58"/>
      <c r="F161" s="58"/>
      <c r="G161" s="58"/>
      <c r="H161" s="58"/>
      <c r="I161" s="58"/>
    </row>
    <row r="162" spans="2:9" ht="15.5">
      <c r="B162" s="253"/>
      <c r="C162" s="58"/>
      <c r="D162" s="58"/>
      <c r="E162" s="58"/>
      <c r="F162" s="58"/>
      <c r="G162" s="58"/>
      <c r="H162" s="58"/>
      <c r="I162" s="58"/>
    </row>
    <row r="163" spans="2:9" ht="15.5">
      <c r="B163" s="253"/>
      <c r="C163" s="58"/>
      <c r="D163" s="58"/>
      <c r="E163" s="58"/>
      <c r="F163" s="58"/>
      <c r="G163" s="58"/>
      <c r="H163" s="58"/>
      <c r="I163" s="58"/>
    </row>
    <row r="164" spans="2:9" ht="15.5">
      <c r="B164" s="253"/>
      <c r="C164" s="58"/>
      <c r="D164" s="58"/>
      <c r="E164" s="58"/>
      <c r="F164" s="58"/>
      <c r="G164" s="58"/>
      <c r="H164" s="58"/>
      <c r="I164" s="58"/>
    </row>
    <row r="165" spans="2:9" ht="15.5">
      <c r="B165" s="253"/>
      <c r="C165" s="58"/>
      <c r="D165" s="58"/>
      <c r="E165" s="58"/>
      <c r="F165" s="58"/>
      <c r="G165" s="58"/>
      <c r="H165" s="58"/>
      <c r="I165" s="58"/>
    </row>
    <row r="166" spans="2:9" ht="15.5">
      <c r="B166" s="253"/>
      <c r="C166" s="58"/>
      <c r="D166" s="58"/>
      <c r="E166" s="58"/>
      <c r="F166" s="58"/>
      <c r="G166" s="58"/>
      <c r="H166" s="58"/>
      <c r="I166" s="58"/>
    </row>
    <row r="167" spans="2:9" ht="15.5">
      <c r="B167" s="253"/>
      <c r="C167" s="58"/>
      <c r="D167" s="58"/>
      <c r="E167" s="58"/>
      <c r="F167" s="58"/>
      <c r="G167" s="58"/>
      <c r="H167" s="58"/>
      <c r="I167" s="58"/>
    </row>
    <row r="168" spans="2:9" ht="15.5">
      <c r="B168" s="253"/>
      <c r="C168" s="58"/>
      <c r="D168" s="58"/>
      <c r="E168" s="58"/>
      <c r="F168" s="58"/>
      <c r="G168" s="58"/>
      <c r="H168" s="58"/>
      <c r="I168" s="58"/>
    </row>
    <row r="169" spans="2:9" ht="15.5">
      <c r="B169" s="253"/>
      <c r="C169" s="58"/>
      <c r="D169" s="58"/>
      <c r="E169" s="58"/>
      <c r="F169" s="58"/>
      <c r="G169" s="58"/>
      <c r="H169" s="58"/>
      <c r="I169" s="58"/>
    </row>
    <row r="170" spans="2:9" ht="15.5">
      <c r="B170" s="253"/>
      <c r="C170" s="58"/>
      <c r="D170" s="58"/>
      <c r="E170" s="58"/>
      <c r="F170" s="58"/>
      <c r="G170" s="58"/>
      <c r="H170" s="58"/>
      <c r="I170" s="58"/>
    </row>
    <row r="171" spans="2:9" ht="15.5">
      <c r="B171" s="253"/>
      <c r="C171" s="58"/>
      <c r="D171" s="58"/>
      <c r="E171" s="58"/>
      <c r="F171" s="58"/>
      <c r="G171" s="58"/>
      <c r="H171" s="58"/>
      <c r="I171" s="58"/>
    </row>
    <row r="172" spans="2:9" ht="15.5">
      <c r="B172" s="253"/>
      <c r="C172" s="58"/>
      <c r="D172" s="58"/>
      <c r="E172" s="58"/>
      <c r="F172" s="58"/>
      <c r="G172" s="58"/>
      <c r="H172" s="58"/>
      <c r="I172" s="58"/>
    </row>
    <row r="173" spans="2:9" ht="15.5">
      <c r="B173" s="253"/>
      <c r="C173" s="58"/>
      <c r="D173" s="58"/>
      <c r="E173" s="58"/>
      <c r="F173" s="58"/>
      <c r="G173" s="58"/>
      <c r="H173" s="58"/>
      <c r="I173" s="58"/>
    </row>
    <row r="174" spans="2:9" ht="15.5">
      <c r="B174" s="253"/>
      <c r="C174" s="58"/>
      <c r="D174" s="58"/>
      <c r="E174" s="58"/>
      <c r="F174" s="58"/>
      <c r="G174" s="58"/>
      <c r="H174" s="58"/>
      <c r="I174" s="58"/>
    </row>
    <row r="175" spans="2:9" ht="15.5">
      <c r="B175" s="253"/>
      <c r="C175" s="58"/>
      <c r="D175" s="58"/>
      <c r="E175" s="58"/>
      <c r="F175" s="58"/>
      <c r="G175" s="58"/>
      <c r="H175" s="58"/>
      <c r="I175" s="58"/>
    </row>
    <row r="176" spans="2:9" ht="15.5">
      <c r="B176" s="253"/>
      <c r="C176" s="58"/>
      <c r="D176" s="58"/>
      <c r="E176" s="58"/>
      <c r="F176" s="58"/>
      <c r="G176" s="58"/>
      <c r="H176" s="58"/>
      <c r="I176" s="58"/>
    </row>
    <row r="177" spans="2:9" ht="15.5">
      <c r="B177" s="253"/>
      <c r="C177" s="58"/>
      <c r="D177" s="58"/>
      <c r="E177" s="58"/>
      <c r="F177" s="58"/>
      <c r="G177" s="58"/>
      <c r="H177" s="58"/>
      <c r="I177" s="58"/>
    </row>
    <row r="178" spans="2:9" ht="15.5">
      <c r="B178" s="253"/>
      <c r="C178" s="58"/>
      <c r="D178" s="58"/>
      <c r="E178" s="58"/>
      <c r="F178" s="58"/>
      <c r="G178" s="58"/>
      <c r="H178" s="58"/>
      <c r="I178" s="58"/>
    </row>
    <row r="179" spans="2:9" ht="15.5">
      <c r="B179" s="253"/>
      <c r="C179" s="58"/>
      <c r="D179" s="58"/>
      <c r="E179" s="58"/>
      <c r="F179" s="58"/>
      <c r="G179" s="58"/>
      <c r="H179" s="58"/>
      <c r="I179" s="58"/>
    </row>
    <row r="180" spans="2:9" ht="15.5">
      <c r="B180" s="253"/>
      <c r="C180" s="58"/>
      <c r="D180" s="58"/>
      <c r="E180" s="58"/>
      <c r="F180" s="58"/>
      <c r="G180" s="58"/>
      <c r="H180" s="58"/>
      <c r="I180" s="58"/>
    </row>
    <row r="181" spans="2:9" ht="15.5">
      <c r="B181" s="253"/>
      <c r="C181" s="58"/>
      <c r="D181" s="58"/>
      <c r="E181" s="58"/>
      <c r="F181" s="58"/>
      <c r="G181" s="58"/>
      <c r="H181" s="58"/>
      <c r="I181" s="58"/>
    </row>
    <row r="182" spans="2:9" ht="15.5">
      <c r="B182" s="253"/>
      <c r="C182" s="58"/>
      <c r="D182" s="58"/>
      <c r="E182" s="58"/>
      <c r="F182" s="58"/>
      <c r="G182" s="58"/>
      <c r="H182" s="58"/>
      <c r="I182" s="58"/>
    </row>
    <row r="183" spans="2:9" ht="15.5">
      <c r="B183" s="253"/>
      <c r="C183" s="58"/>
      <c r="D183" s="58"/>
      <c r="E183" s="58"/>
      <c r="F183" s="58"/>
      <c r="G183" s="58"/>
      <c r="H183" s="58"/>
      <c r="I183" s="58"/>
    </row>
    <row r="184" spans="2:9" ht="15.5">
      <c r="B184" s="253"/>
      <c r="C184" s="58"/>
      <c r="D184" s="58"/>
      <c r="E184" s="58"/>
      <c r="F184" s="58"/>
      <c r="G184" s="58"/>
      <c r="H184" s="58"/>
      <c r="I184" s="58"/>
    </row>
    <row r="185" spans="2:9" ht="15.5">
      <c r="B185" s="253"/>
      <c r="C185" s="58"/>
      <c r="D185" s="58"/>
      <c r="E185" s="58"/>
      <c r="F185" s="58"/>
      <c r="G185" s="58"/>
      <c r="H185" s="58"/>
      <c r="I185" s="58"/>
    </row>
    <row r="186" spans="2:9" ht="15.5">
      <c r="B186" s="253"/>
      <c r="C186" s="58"/>
      <c r="D186" s="58"/>
      <c r="E186" s="58"/>
      <c r="F186" s="58"/>
      <c r="G186" s="58"/>
      <c r="H186" s="58"/>
      <c r="I186" s="58"/>
    </row>
    <row r="187" spans="2:9" ht="15.5">
      <c r="B187" s="253"/>
      <c r="C187" s="58"/>
      <c r="D187" s="58"/>
      <c r="E187" s="58"/>
      <c r="F187" s="58"/>
      <c r="G187" s="58"/>
      <c r="H187" s="58"/>
      <c r="I187" s="58"/>
    </row>
    <row r="188" spans="2:9" ht="15.5">
      <c r="B188" s="253"/>
      <c r="C188" s="58"/>
      <c r="D188" s="58"/>
      <c r="E188" s="58"/>
      <c r="F188" s="58"/>
      <c r="G188" s="58"/>
      <c r="H188" s="58"/>
      <c r="I188" s="58"/>
    </row>
    <row r="189" spans="2:9" ht="15.5">
      <c r="B189" s="253"/>
      <c r="C189" s="58"/>
      <c r="D189" s="58"/>
      <c r="E189" s="58"/>
      <c r="F189" s="58"/>
      <c r="G189" s="58"/>
      <c r="H189" s="58"/>
      <c r="I189" s="58"/>
    </row>
    <row r="190" spans="2:9" ht="15.5">
      <c r="B190" s="253"/>
      <c r="C190" s="58"/>
      <c r="D190" s="58"/>
      <c r="E190" s="58"/>
      <c r="F190" s="58"/>
      <c r="G190" s="58"/>
      <c r="H190" s="58"/>
      <c r="I190" s="58"/>
    </row>
    <row r="191" spans="2:9" ht="15.5">
      <c r="B191" s="253"/>
      <c r="C191" s="58"/>
      <c r="D191" s="58"/>
      <c r="E191" s="58"/>
      <c r="F191" s="58"/>
      <c r="G191" s="58"/>
      <c r="H191" s="58"/>
      <c r="I191" s="58"/>
    </row>
    <row r="192" spans="2:9" ht="15.5">
      <c r="B192" s="253"/>
      <c r="C192" s="58"/>
      <c r="D192" s="58"/>
      <c r="E192" s="58"/>
      <c r="F192" s="58"/>
      <c r="G192" s="58"/>
      <c r="H192" s="58"/>
      <c r="I192" s="58"/>
    </row>
    <row r="193" spans="2:9" ht="15.5">
      <c r="B193" s="253"/>
      <c r="C193" s="58"/>
      <c r="D193" s="58"/>
      <c r="E193" s="58"/>
      <c r="F193" s="58"/>
      <c r="G193" s="58"/>
      <c r="H193" s="58"/>
      <c r="I193" s="58"/>
    </row>
    <row r="194" spans="2:9" ht="15.5">
      <c r="B194" s="253"/>
      <c r="C194" s="58"/>
      <c r="D194" s="58"/>
      <c r="E194" s="58"/>
      <c r="F194" s="58"/>
      <c r="G194" s="58"/>
      <c r="H194" s="58"/>
      <c r="I194" s="58"/>
    </row>
    <row r="195" spans="2:9" ht="15.5">
      <c r="B195" s="253"/>
      <c r="C195" s="58"/>
      <c r="D195" s="58"/>
      <c r="E195" s="58"/>
      <c r="F195" s="58"/>
      <c r="G195" s="58"/>
      <c r="H195" s="58"/>
      <c r="I195" s="58"/>
    </row>
    <row r="196" spans="2:9" ht="15.5">
      <c r="B196" s="253"/>
      <c r="C196" s="58"/>
      <c r="D196" s="58"/>
      <c r="E196" s="58"/>
      <c r="F196" s="58"/>
      <c r="G196" s="58"/>
      <c r="H196" s="58"/>
      <c r="I196" s="58"/>
    </row>
    <row r="197" spans="2:9" ht="15.5">
      <c r="B197" s="253"/>
      <c r="C197" s="58"/>
      <c r="D197" s="58"/>
      <c r="E197" s="58"/>
      <c r="F197" s="58"/>
      <c r="G197" s="58"/>
      <c r="H197" s="58"/>
      <c r="I197" s="58"/>
    </row>
    <row r="198" spans="2:9" ht="15.5">
      <c r="B198" s="253"/>
      <c r="C198" s="58"/>
      <c r="D198" s="58"/>
      <c r="E198" s="58"/>
      <c r="F198" s="58"/>
      <c r="G198" s="58"/>
      <c r="H198" s="58"/>
      <c r="I198" s="58"/>
    </row>
    <row r="199" spans="2:9" ht="15.5">
      <c r="B199" s="253"/>
      <c r="C199" s="58"/>
      <c r="D199" s="58"/>
      <c r="E199" s="58"/>
      <c r="F199" s="58"/>
      <c r="G199" s="58"/>
      <c r="H199" s="58"/>
      <c r="I199" s="58"/>
    </row>
    <row r="200" spans="2:9" ht="15.5">
      <c r="B200" s="253"/>
      <c r="C200" s="58"/>
      <c r="D200" s="58"/>
      <c r="E200" s="58"/>
      <c r="F200" s="58"/>
      <c r="G200" s="58"/>
      <c r="H200" s="58"/>
      <c r="I200" s="58"/>
    </row>
    <row r="201" spans="2:9" ht="15.5">
      <c r="B201" s="253"/>
      <c r="C201" s="58"/>
      <c r="D201" s="58"/>
      <c r="E201" s="58"/>
      <c r="F201" s="58"/>
      <c r="G201" s="58"/>
      <c r="H201" s="58"/>
      <c r="I201" s="58"/>
    </row>
    <row r="202" spans="2:9" ht="15.5">
      <c r="B202" s="253"/>
      <c r="C202" s="58"/>
      <c r="D202" s="58"/>
      <c r="E202" s="58"/>
      <c r="F202" s="58"/>
      <c r="G202" s="58"/>
      <c r="H202" s="58"/>
      <c r="I202" s="58"/>
    </row>
    <row r="203" spans="2:9" ht="15.5">
      <c r="B203" s="253"/>
      <c r="C203" s="58"/>
      <c r="D203" s="58"/>
      <c r="E203" s="58"/>
      <c r="F203" s="58"/>
      <c r="G203" s="58"/>
      <c r="H203" s="58"/>
      <c r="I203" s="58"/>
    </row>
    <row r="204" spans="2:9" ht="15.5">
      <c r="B204" s="253"/>
      <c r="C204" s="58"/>
      <c r="D204" s="58"/>
      <c r="E204" s="58"/>
      <c r="F204" s="58"/>
      <c r="G204" s="58"/>
      <c r="H204" s="58"/>
      <c r="I204" s="58"/>
    </row>
    <row r="205" spans="2:9" ht="15.5">
      <c r="B205" s="253"/>
      <c r="C205" s="58"/>
      <c r="D205" s="58"/>
      <c r="E205" s="58"/>
      <c r="F205" s="58"/>
      <c r="G205" s="58"/>
      <c r="H205" s="58"/>
      <c r="I205" s="58"/>
    </row>
    <row r="206" spans="2:9" ht="15.5">
      <c r="B206" s="253"/>
      <c r="C206" s="58"/>
      <c r="D206" s="58"/>
      <c r="E206" s="58"/>
      <c r="F206" s="58"/>
      <c r="G206" s="58"/>
      <c r="H206" s="58"/>
      <c r="I206" s="58"/>
    </row>
    <row r="207" spans="2:9" ht="15.5">
      <c r="B207" s="253"/>
      <c r="C207" s="58"/>
      <c r="D207" s="58"/>
      <c r="E207" s="58"/>
      <c r="F207" s="58"/>
      <c r="G207" s="58"/>
      <c r="H207" s="58"/>
      <c r="I207" s="58"/>
    </row>
    <row r="208" spans="2:9" ht="15.5">
      <c r="B208" s="253"/>
      <c r="C208" s="58"/>
      <c r="D208" s="58"/>
      <c r="E208" s="58"/>
      <c r="F208" s="58"/>
      <c r="G208" s="58"/>
      <c r="H208" s="58"/>
      <c r="I208" s="58"/>
    </row>
    <row r="209" spans="2:9" ht="15.5">
      <c r="B209" s="253"/>
      <c r="C209" s="58"/>
      <c r="D209" s="58"/>
      <c r="E209" s="58"/>
      <c r="F209" s="58"/>
      <c r="G209" s="58"/>
      <c r="H209" s="58"/>
      <c r="I209" s="58"/>
    </row>
    <row r="210" spans="2:9" ht="15.5">
      <c r="B210" s="253"/>
      <c r="C210" s="58"/>
      <c r="D210" s="58"/>
      <c r="E210" s="58"/>
      <c r="F210" s="58"/>
      <c r="G210" s="58"/>
      <c r="H210" s="58"/>
      <c r="I210" s="58"/>
    </row>
    <row r="211" spans="2:9" ht="15.5">
      <c r="B211" s="253"/>
      <c r="C211" s="58"/>
      <c r="D211" s="58"/>
      <c r="E211" s="58"/>
      <c r="F211" s="58"/>
      <c r="G211" s="58"/>
      <c r="H211" s="58"/>
      <c r="I211" s="58"/>
    </row>
    <row r="212" spans="2:9" ht="15.5">
      <c r="B212" s="253"/>
      <c r="C212" s="58"/>
      <c r="D212" s="58"/>
      <c r="E212" s="58"/>
      <c r="F212" s="58"/>
      <c r="G212" s="58"/>
      <c r="H212" s="58"/>
      <c r="I212" s="58"/>
    </row>
    <row r="213" spans="2:9" ht="15.5">
      <c r="B213" s="253"/>
      <c r="C213" s="58"/>
      <c r="D213" s="58"/>
      <c r="E213" s="58"/>
      <c r="F213" s="58"/>
      <c r="G213" s="58"/>
      <c r="H213" s="58"/>
      <c r="I213" s="58"/>
    </row>
    <row r="214" spans="2:9" ht="15.5">
      <c r="B214" s="253"/>
      <c r="C214" s="58"/>
      <c r="D214" s="58"/>
      <c r="E214" s="58"/>
      <c r="F214" s="58"/>
      <c r="G214" s="58"/>
      <c r="H214" s="58"/>
      <c r="I214" s="58"/>
    </row>
    <row r="215" spans="2:9" ht="15.5">
      <c r="B215" s="253"/>
      <c r="C215" s="58"/>
      <c r="D215" s="58"/>
      <c r="E215" s="58"/>
      <c r="F215" s="58"/>
      <c r="G215" s="58"/>
      <c r="H215" s="58"/>
      <c r="I215" s="58"/>
    </row>
    <row r="216" spans="2:9" ht="15.5">
      <c r="B216" s="253"/>
      <c r="C216" s="58"/>
      <c r="D216" s="58"/>
      <c r="E216" s="58"/>
      <c r="F216" s="58"/>
      <c r="G216" s="58"/>
      <c r="H216" s="58"/>
      <c r="I216" s="58"/>
    </row>
    <row r="217" spans="2:9" ht="15.5">
      <c r="B217" s="253"/>
      <c r="C217" s="58"/>
      <c r="D217" s="58"/>
      <c r="E217" s="58"/>
      <c r="F217" s="58"/>
      <c r="G217" s="58"/>
      <c r="H217" s="58"/>
      <c r="I217" s="58"/>
    </row>
    <row r="218" spans="2:9" ht="15.5">
      <c r="B218" s="253"/>
      <c r="C218" s="58"/>
      <c r="D218" s="58"/>
      <c r="E218" s="58"/>
      <c r="F218" s="58"/>
      <c r="G218" s="58"/>
      <c r="H218" s="58"/>
      <c r="I218" s="58"/>
    </row>
    <row r="219" spans="2:9" ht="15.5">
      <c r="B219" s="253"/>
      <c r="C219" s="58"/>
      <c r="D219" s="58"/>
      <c r="E219" s="58"/>
      <c r="F219" s="58"/>
      <c r="G219" s="58"/>
      <c r="H219" s="58"/>
      <c r="I219" s="58"/>
    </row>
    <row r="220" spans="2:9" ht="15.5">
      <c r="B220" s="253"/>
      <c r="C220" s="58"/>
      <c r="D220" s="58"/>
      <c r="E220" s="58"/>
      <c r="F220" s="58"/>
      <c r="G220" s="58"/>
      <c r="H220" s="58"/>
      <c r="I220" s="58"/>
    </row>
    <row r="221" spans="2:9" ht="15.5">
      <c r="B221" s="253"/>
      <c r="C221" s="58"/>
      <c r="D221" s="58"/>
      <c r="E221" s="58"/>
      <c r="F221" s="58"/>
      <c r="G221" s="58"/>
      <c r="H221" s="58"/>
      <c r="I221" s="58"/>
    </row>
    <row r="222" spans="2:9" ht="15.5">
      <c r="B222" s="253"/>
      <c r="C222" s="58"/>
      <c r="D222" s="58"/>
      <c r="E222" s="58"/>
      <c r="F222" s="58"/>
      <c r="G222" s="58"/>
      <c r="H222" s="58"/>
      <c r="I222" s="58"/>
    </row>
    <row r="223" spans="2:9" ht="15.5">
      <c r="B223" s="253"/>
      <c r="C223" s="58"/>
      <c r="D223" s="58"/>
      <c r="E223" s="58"/>
      <c r="F223" s="58"/>
      <c r="G223" s="58"/>
      <c r="H223" s="58"/>
      <c r="I223" s="58"/>
    </row>
    <row r="224" spans="2:9" ht="15.5">
      <c r="B224" s="253"/>
      <c r="C224" s="58"/>
      <c r="D224" s="58"/>
      <c r="E224" s="58"/>
      <c r="F224" s="58"/>
      <c r="G224" s="58"/>
      <c r="H224" s="58"/>
      <c r="I224" s="58"/>
    </row>
    <row r="225" spans="2:9" ht="15.5">
      <c r="B225" s="253"/>
      <c r="C225" s="58"/>
      <c r="D225" s="58"/>
      <c r="E225" s="58"/>
      <c r="F225" s="58"/>
      <c r="G225" s="58"/>
      <c r="H225" s="58"/>
      <c r="I225" s="58"/>
    </row>
    <row r="226" spans="2:9" ht="15.5">
      <c r="B226" s="253"/>
      <c r="C226" s="58"/>
      <c r="D226" s="58"/>
      <c r="E226" s="58"/>
      <c r="F226" s="58"/>
      <c r="G226" s="58"/>
      <c r="H226" s="58"/>
      <c r="I226" s="58"/>
    </row>
    <row r="227" spans="2:9" ht="15.5">
      <c r="B227" s="253"/>
      <c r="C227" s="58"/>
      <c r="D227" s="58"/>
      <c r="E227" s="58"/>
      <c r="F227" s="58"/>
      <c r="G227" s="58"/>
      <c r="H227" s="58"/>
      <c r="I227" s="58"/>
    </row>
    <row r="228" spans="2:9" ht="15.5">
      <c r="B228" s="253"/>
      <c r="C228" s="58"/>
      <c r="D228" s="58"/>
      <c r="E228" s="58"/>
      <c r="F228" s="58"/>
      <c r="G228" s="58"/>
      <c r="H228" s="58"/>
      <c r="I228" s="58"/>
    </row>
    <row r="229" spans="2:9" ht="15.5">
      <c r="B229" s="253"/>
      <c r="C229" s="58"/>
      <c r="D229" s="58"/>
      <c r="E229" s="58"/>
      <c r="F229" s="58"/>
      <c r="G229" s="58"/>
      <c r="H229" s="58"/>
      <c r="I229" s="58"/>
    </row>
    <row r="230" spans="2:9" ht="15.5">
      <c r="B230" s="253"/>
      <c r="C230" s="58"/>
      <c r="D230" s="58"/>
      <c r="E230" s="58"/>
      <c r="F230" s="58"/>
      <c r="G230" s="58"/>
      <c r="H230" s="58"/>
      <c r="I230" s="58"/>
    </row>
    <row r="231" spans="2:9" ht="15.5">
      <c r="B231" s="253"/>
      <c r="C231" s="58"/>
      <c r="D231" s="58"/>
      <c r="E231" s="58"/>
      <c r="F231" s="58"/>
      <c r="G231" s="58"/>
      <c r="H231" s="58"/>
      <c r="I231" s="58"/>
    </row>
    <row r="232" spans="2:9" ht="15.5">
      <c r="B232" s="253"/>
      <c r="C232" s="58"/>
      <c r="D232" s="58"/>
      <c r="E232" s="58"/>
      <c r="F232" s="58"/>
      <c r="G232" s="58"/>
      <c r="H232" s="58"/>
      <c r="I232" s="58"/>
    </row>
    <row r="233" spans="2:9" ht="15.5">
      <c r="B233" s="253"/>
      <c r="C233" s="58"/>
      <c r="D233" s="58"/>
      <c r="E233" s="58"/>
      <c r="F233" s="58"/>
      <c r="G233" s="58"/>
      <c r="H233" s="58"/>
      <c r="I233" s="58"/>
    </row>
    <row r="234" spans="2:9" ht="15.5">
      <c r="B234" s="253"/>
      <c r="C234" s="58"/>
      <c r="D234" s="58"/>
      <c r="E234" s="58"/>
      <c r="F234" s="58"/>
      <c r="G234" s="58"/>
      <c r="H234" s="58"/>
      <c r="I234" s="58"/>
    </row>
    <row r="235" spans="2:9" ht="15.5">
      <c r="B235" s="253"/>
      <c r="C235" s="58"/>
      <c r="D235" s="58"/>
      <c r="E235" s="58"/>
      <c r="F235" s="58"/>
      <c r="G235" s="58"/>
      <c r="H235" s="58"/>
      <c r="I235" s="58"/>
    </row>
    <row r="236" spans="2:9" ht="15.5">
      <c r="B236" s="253"/>
      <c r="C236" s="58"/>
      <c r="D236" s="58"/>
      <c r="E236" s="58"/>
      <c r="F236" s="58"/>
      <c r="G236" s="58"/>
      <c r="H236" s="58"/>
      <c r="I236" s="58"/>
    </row>
    <row r="237" spans="2:9" ht="15.5">
      <c r="B237" s="253"/>
      <c r="C237" s="58"/>
      <c r="D237" s="58"/>
      <c r="E237" s="58"/>
      <c r="F237" s="58"/>
      <c r="G237" s="58"/>
      <c r="H237" s="58"/>
      <c r="I237" s="58"/>
    </row>
    <row r="238" spans="2:9" ht="15.5">
      <c r="B238" s="253"/>
      <c r="C238" s="58"/>
      <c r="D238" s="58"/>
      <c r="E238" s="58"/>
      <c r="F238" s="58"/>
      <c r="G238" s="58"/>
      <c r="H238" s="58"/>
      <c r="I238" s="58"/>
    </row>
    <row r="239" spans="2:9" ht="15.5">
      <c r="B239" s="253"/>
      <c r="C239" s="58"/>
      <c r="D239" s="58"/>
      <c r="E239" s="58"/>
      <c r="F239" s="58"/>
      <c r="G239" s="58"/>
      <c r="H239" s="58"/>
      <c r="I239" s="58"/>
    </row>
    <row r="240" spans="2:9" ht="15.5">
      <c r="B240" s="253"/>
      <c r="C240" s="58"/>
      <c r="D240" s="58"/>
      <c r="E240" s="58"/>
      <c r="F240" s="58"/>
      <c r="G240" s="58"/>
      <c r="H240" s="58"/>
      <c r="I240" s="58"/>
    </row>
    <row r="241" spans="2:9" ht="15.5">
      <c r="B241" s="253"/>
      <c r="C241" s="58"/>
      <c r="D241" s="58"/>
      <c r="E241" s="58"/>
      <c r="F241" s="58"/>
      <c r="G241" s="58"/>
      <c r="H241" s="58"/>
      <c r="I241" s="58"/>
    </row>
    <row r="242" spans="2:9" ht="15.5">
      <c r="B242" s="253"/>
      <c r="C242" s="58"/>
      <c r="D242" s="58"/>
      <c r="E242" s="58"/>
      <c r="F242" s="58"/>
      <c r="G242" s="58"/>
      <c r="H242" s="58"/>
      <c r="I242" s="58"/>
    </row>
    <row r="243" spans="2:9" ht="15.5">
      <c r="B243" s="253"/>
      <c r="C243" s="58"/>
      <c r="D243" s="58"/>
      <c r="E243" s="58"/>
      <c r="F243" s="58"/>
      <c r="G243" s="58"/>
      <c r="H243" s="58"/>
      <c r="I243" s="58"/>
    </row>
    <row r="244" spans="2:9" ht="15.5">
      <c r="B244" s="253"/>
      <c r="C244" s="58"/>
      <c r="D244" s="58"/>
      <c r="E244" s="58"/>
      <c r="F244" s="58"/>
      <c r="G244" s="58"/>
      <c r="H244" s="58"/>
      <c r="I244" s="58"/>
    </row>
    <row r="245" spans="2:9" ht="15.5">
      <c r="B245" s="253"/>
      <c r="C245" s="58"/>
      <c r="D245" s="58"/>
      <c r="E245" s="58"/>
      <c r="F245" s="58"/>
      <c r="G245" s="58"/>
      <c r="H245" s="58"/>
      <c r="I245" s="58"/>
    </row>
    <row r="246" spans="2:9" ht="15.5">
      <c r="B246" s="253"/>
      <c r="C246" s="58"/>
      <c r="D246" s="58"/>
      <c r="E246" s="58"/>
      <c r="F246" s="58"/>
      <c r="G246" s="58"/>
      <c r="H246" s="58"/>
      <c r="I246" s="58"/>
    </row>
    <row r="247" spans="2:9" ht="15.5">
      <c r="B247" s="253"/>
      <c r="C247" s="58"/>
      <c r="D247" s="58"/>
      <c r="E247" s="58"/>
      <c r="F247" s="58"/>
      <c r="G247" s="58"/>
      <c r="H247" s="58"/>
      <c r="I247" s="58"/>
    </row>
    <row r="248" spans="2:9" ht="15.5">
      <c r="B248" s="253"/>
      <c r="C248" s="58"/>
      <c r="D248" s="58"/>
      <c r="E248" s="58"/>
      <c r="F248" s="58"/>
      <c r="G248" s="58"/>
      <c r="H248" s="58"/>
      <c r="I248" s="58"/>
    </row>
    <row r="249" spans="2:9" ht="15.5">
      <c r="B249" s="253"/>
      <c r="C249" s="58"/>
      <c r="D249" s="58"/>
      <c r="E249" s="58"/>
      <c r="F249" s="58"/>
      <c r="G249" s="58"/>
      <c r="H249" s="58"/>
      <c r="I249" s="58"/>
    </row>
    <row r="250" spans="2:9" ht="15.5">
      <c r="B250" s="253"/>
      <c r="C250" s="58"/>
      <c r="D250" s="58"/>
      <c r="E250" s="58"/>
      <c r="F250" s="58"/>
      <c r="G250" s="58"/>
      <c r="H250" s="58"/>
      <c r="I250" s="58"/>
    </row>
    <row r="251" spans="2:9" ht="15.5">
      <c r="B251" s="253"/>
      <c r="C251" s="58"/>
      <c r="D251" s="58"/>
      <c r="E251" s="58"/>
      <c r="F251" s="58"/>
      <c r="G251" s="58"/>
      <c r="H251" s="58"/>
      <c r="I251" s="58"/>
    </row>
    <row r="252" spans="2:9" ht="15.5">
      <c r="B252" s="253"/>
      <c r="C252" s="58"/>
      <c r="D252" s="58"/>
      <c r="E252" s="58"/>
      <c r="F252" s="58"/>
      <c r="G252" s="58"/>
      <c r="H252" s="58"/>
      <c r="I252" s="58"/>
    </row>
    <row r="253" spans="2:9" ht="15.5">
      <c r="B253" s="253"/>
      <c r="C253" s="58"/>
      <c r="D253" s="58"/>
      <c r="E253" s="58"/>
      <c r="F253" s="58"/>
      <c r="G253" s="58"/>
      <c r="H253" s="58"/>
      <c r="I253" s="58"/>
    </row>
    <row r="254" spans="2:9" ht="15.5">
      <c r="B254" s="253"/>
      <c r="C254" s="58"/>
      <c r="D254" s="58"/>
      <c r="E254" s="58"/>
      <c r="F254" s="58"/>
      <c r="G254" s="58"/>
      <c r="H254" s="58"/>
      <c r="I254" s="58"/>
    </row>
    <row r="255" spans="2:9" ht="15.5">
      <c r="B255" s="253"/>
      <c r="C255" s="58"/>
      <c r="D255" s="58"/>
      <c r="E255" s="58"/>
      <c r="F255" s="58"/>
      <c r="G255" s="58"/>
      <c r="H255" s="58"/>
      <c r="I255" s="58"/>
    </row>
    <row r="256" spans="2:9" ht="15.5">
      <c r="B256" s="253"/>
      <c r="C256" s="58"/>
      <c r="D256" s="58"/>
      <c r="E256" s="58"/>
      <c r="F256" s="58"/>
      <c r="G256" s="58"/>
      <c r="H256" s="58"/>
      <c r="I256" s="58"/>
    </row>
    <row r="257" spans="2:9" ht="15.5">
      <c r="B257" s="253"/>
      <c r="C257" s="58"/>
      <c r="D257" s="58"/>
      <c r="E257" s="58"/>
      <c r="F257" s="58"/>
      <c r="G257" s="58"/>
      <c r="H257" s="58"/>
      <c r="I257" s="58"/>
    </row>
    <row r="258" spans="2:9" ht="15.5">
      <c r="B258" s="253"/>
      <c r="C258" s="58"/>
      <c r="D258" s="58"/>
      <c r="E258" s="58"/>
      <c r="F258" s="58"/>
      <c r="G258" s="58"/>
      <c r="H258" s="58"/>
      <c r="I258" s="58"/>
    </row>
    <row r="259" spans="2:9" ht="15.5">
      <c r="B259" s="253"/>
      <c r="C259" s="58"/>
      <c r="D259" s="58"/>
      <c r="E259" s="58"/>
      <c r="F259" s="58"/>
      <c r="G259" s="58"/>
      <c r="H259" s="58"/>
      <c r="I259" s="58"/>
    </row>
    <row r="260" spans="2:9" ht="15.5">
      <c r="B260" s="253"/>
      <c r="C260" s="58"/>
      <c r="D260" s="58"/>
      <c r="E260" s="58"/>
      <c r="F260" s="58"/>
      <c r="G260" s="58"/>
      <c r="H260" s="58"/>
      <c r="I260" s="58"/>
    </row>
    <row r="261" spans="2:9" ht="15.5">
      <c r="B261" s="253"/>
      <c r="C261" s="58"/>
      <c r="D261" s="58"/>
      <c r="E261" s="58"/>
      <c r="F261" s="58"/>
      <c r="G261" s="58"/>
      <c r="H261" s="58"/>
      <c r="I261" s="58"/>
    </row>
    <row r="262" spans="2:9" ht="15.5">
      <c r="B262" s="253"/>
      <c r="C262" s="58"/>
      <c r="D262" s="58"/>
      <c r="E262" s="58"/>
      <c r="F262" s="58"/>
      <c r="G262" s="58"/>
      <c r="H262" s="58"/>
      <c r="I262" s="58"/>
    </row>
    <row r="263" spans="2:9" ht="15.5">
      <c r="B263" s="253"/>
      <c r="C263" s="58"/>
      <c r="D263" s="58"/>
      <c r="E263" s="58"/>
      <c r="F263" s="58"/>
      <c r="G263" s="58"/>
      <c r="H263" s="58"/>
      <c r="I263" s="58"/>
    </row>
    <row r="264" spans="2:9" ht="15.5">
      <c r="B264" s="253"/>
      <c r="C264" s="58"/>
      <c r="D264" s="58"/>
      <c r="E264" s="58"/>
      <c r="F264" s="58"/>
      <c r="G264" s="58"/>
      <c r="H264" s="58"/>
      <c r="I264" s="58"/>
    </row>
    <row r="265" spans="2:9" ht="15.5">
      <c r="B265" s="253"/>
      <c r="C265" s="58"/>
      <c r="D265" s="58"/>
      <c r="E265" s="58"/>
      <c r="F265" s="58"/>
      <c r="G265" s="58"/>
      <c r="H265" s="58"/>
      <c r="I265" s="58"/>
    </row>
    <row r="266" spans="2:9" ht="15.5">
      <c r="B266" s="253"/>
      <c r="C266" s="58"/>
      <c r="D266" s="58"/>
      <c r="E266" s="58"/>
      <c r="F266" s="58"/>
      <c r="G266" s="58"/>
      <c r="H266" s="58"/>
      <c r="I266" s="58"/>
    </row>
    <row r="267" spans="2:9" ht="15.5">
      <c r="B267" s="253"/>
      <c r="C267" s="58"/>
      <c r="D267" s="58"/>
      <c r="E267" s="58"/>
      <c r="F267" s="58"/>
      <c r="G267" s="58"/>
      <c r="H267" s="58"/>
      <c r="I267" s="58"/>
    </row>
    <row r="268" spans="2:9" ht="15.5">
      <c r="B268" s="253"/>
      <c r="C268" s="58"/>
      <c r="D268" s="58"/>
      <c r="E268" s="58"/>
      <c r="F268" s="58"/>
      <c r="G268" s="58"/>
      <c r="H268" s="58"/>
      <c r="I268" s="58"/>
    </row>
    <row r="269" spans="2:9" ht="15.5">
      <c r="B269" s="253"/>
      <c r="C269" s="58"/>
      <c r="D269" s="58"/>
      <c r="E269" s="58"/>
      <c r="F269" s="58"/>
      <c r="G269" s="58"/>
      <c r="H269" s="58"/>
      <c r="I269" s="58"/>
    </row>
    <row r="270" spans="2:9" ht="15.5">
      <c r="B270" s="253"/>
      <c r="C270" s="58"/>
      <c r="D270" s="58"/>
      <c r="E270" s="58"/>
      <c r="F270" s="58"/>
      <c r="G270" s="58"/>
      <c r="H270" s="58"/>
      <c r="I270" s="58"/>
    </row>
    <row r="271" spans="2:9" ht="15.5">
      <c r="B271" s="253"/>
      <c r="C271" s="58"/>
      <c r="D271" s="58"/>
      <c r="E271" s="58"/>
      <c r="F271" s="58"/>
      <c r="G271" s="58"/>
      <c r="H271" s="58"/>
      <c r="I271" s="58"/>
    </row>
    <row r="272" spans="2:9" ht="15.5">
      <c r="B272" s="253"/>
      <c r="C272" s="58"/>
      <c r="D272" s="58"/>
      <c r="E272" s="58"/>
      <c r="F272" s="58"/>
      <c r="G272" s="58"/>
      <c r="H272" s="58"/>
      <c r="I272" s="58"/>
    </row>
    <row r="273" spans="2:9" ht="15.5">
      <c r="B273" s="253"/>
      <c r="C273" s="58"/>
      <c r="D273" s="58"/>
      <c r="E273" s="58"/>
      <c r="F273" s="58"/>
      <c r="G273" s="58"/>
      <c r="H273" s="58"/>
      <c r="I273" s="58"/>
    </row>
    <row r="274" spans="2:9" ht="15.5">
      <c r="B274" s="253"/>
      <c r="C274" s="58"/>
      <c r="D274" s="58"/>
      <c r="E274" s="58"/>
      <c r="F274" s="58"/>
      <c r="G274" s="58"/>
      <c r="H274" s="58"/>
      <c r="I274" s="58"/>
    </row>
    <row r="275" spans="2:9" ht="15.5">
      <c r="B275" s="253"/>
      <c r="C275" s="58"/>
      <c r="D275" s="58"/>
      <c r="E275" s="58"/>
      <c r="F275" s="58"/>
      <c r="G275" s="58"/>
      <c r="H275" s="58"/>
      <c r="I275" s="58"/>
    </row>
    <row r="276" spans="2:9" ht="15.5">
      <c r="B276" s="253"/>
      <c r="C276" s="58"/>
      <c r="D276" s="58"/>
      <c r="E276" s="58"/>
      <c r="F276" s="58"/>
      <c r="G276" s="58"/>
      <c r="H276" s="58"/>
      <c r="I276" s="58"/>
    </row>
    <row r="277" spans="2:9" ht="15.5">
      <c r="B277" s="253"/>
      <c r="C277" s="58"/>
      <c r="D277" s="58"/>
      <c r="E277" s="58"/>
      <c r="F277" s="58"/>
      <c r="G277" s="58"/>
      <c r="H277" s="58"/>
      <c r="I277" s="58"/>
    </row>
    <row r="278" spans="2:9" ht="15.5">
      <c r="B278" s="253"/>
      <c r="C278" s="58"/>
      <c r="D278" s="58"/>
      <c r="E278" s="58"/>
      <c r="F278" s="58"/>
      <c r="G278" s="58"/>
      <c r="H278" s="58"/>
      <c r="I278" s="58"/>
    </row>
    <row r="279" spans="2:9" ht="15.5">
      <c r="B279" s="253"/>
      <c r="C279" s="58"/>
      <c r="D279" s="58"/>
      <c r="E279" s="58"/>
      <c r="F279" s="58"/>
      <c r="G279" s="58"/>
      <c r="H279" s="58"/>
      <c r="I279" s="58"/>
    </row>
    <row r="280" spans="2:9" ht="15.5">
      <c r="B280" s="253"/>
      <c r="C280" s="58"/>
      <c r="D280" s="58"/>
      <c r="E280" s="58"/>
      <c r="F280" s="58"/>
      <c r="G280" s="58"/>
      <c r="H280" s="58"/>
      <c r="I280" s="58"/>
    </row>
    <row r="281" spans="2:9" ht="15.5">
      <c r="B281" s="253"/>
      <c r="C281" s="58"/>
      <c r="D281" s="58"/>
      <c r="E281" s="58"/>
      <c r="F281" s="58"/>
      <c r="G281" s="58"/>
      <c r="H281" s="58"/>
      <c r="I281" s="58"/>
    </row>
    <row r="282" spans="2:9" ht="15.5">
      <c r="B282" s="253"/>
      <c r="C282" s="58"/>
      <c r="D282" s="58"/>
      <c r="E282" s="58"/>
      <c r="F282" s="58"/>
      <c r="G282" s="58"/>
      <c r="H282" s="58"/>
      <c r="I282" s="58"/>
    </row>
    <row r="283" spans="2:9" ht="15.5">
      <c r="B283" s="253"/>
      <c r="C283" s="58"/>
      <c r="D283" s="58"/>
      <c r="E283" s="58"/>
      <c r="F283" s="58"/>
      <c r="G283" s="58"/>
      <c r="H283" s="58"/>
      <c r="I283" s="58"/>
    </row>
    <row r="284" spans="2:9" ht="15.5">
      <c r="B284" s="253"/>
      <c r="C284" s="58"/>
      <c r="D284" s="58"/>
      <c r="E284" s="58"/>
      <c r="F284" s="58"/>
      <c r="G284" s="58"/>
      <c r="H284" s="58"/>
      <c r="I284" s="58"/>
    </row>
    <row r="285" spans="2:9" ht="15.5">
      <c r="B285" s="253"/>
      <c r="C285" s="58"/>
      <c r="D285" s="58"/>
      <c r="E285" s="58"/>
      <c r="F285" s="58"/>
      <c r="G285" s="58"/>
      <c r="H285" s="58"/>
      <c r="I285" s="58"/>
    </row>
    <row r="286" spans="2:9" ht="15.5">
      <c r="B286" s="253"/>
      <c r="C286" s="58"/>
      <c r="D286" s="58"/>
      <c r="E286" s="58"/>
      <c r="F286" s="58"/>
      <c r="G286" s="58"/>
      <c r="H286" s="58"/>
      <c r="I286" s="58"/>
    </row>
    <row r="287" spans="2:9" ht="15.5">
      <c r="B287" s="253"/>
      <c r="C287" s="58"/>
      <c r="D287" s="58"/>
      <c r="E287" s="58"/>
      <c r="F287" s="58"/>
      <c r="G287" s="58"/>
      <c r="H287" s="58"/>
      <c r="I287" s="58"/>
    </row>
    <row r="288" spans="2:9" ht="15.5">
      <c r="B288" s="253"/>
      <c r="C288" s="58"/>
      <c r="D288" s="58"/>
      <c r="E288" s="58"/>
      <c r="F288" s="58"/>
      <c r="G288" s="58"/>
      <c r="H288" s="58"/>
      <c r="I288" s="58"/>
    </row>
    <row r="289" spans="2:9" ht="15.5">
      <c r="B289" s="253"/>
      <c r="C289" s="58"/>
      <c r="D289" s="58"/>
      <c r="E289" s="58"/>
      <c r="F289" s="58"/>
      <c r="G289" s="58"/>
      <c r="H289" s="58"/>
      <c r="I289" s="58"/>
    </row>
    <row r="290" spans="2:9" ht="15.5">
      <c r="B290" s="253"/>
      <c r="C290" s="58"/>
      <c r="D290" s="58"/>
      <c r="E290" s="58"/>
      <c r="F290" s="58"/>
      <c r="G290" s="58"/>
      <c r="H290" s="58"/>
      <c r="I290" s="58"/>
    </row>
    <row r="291" spans="2:9" ht="15.5">
      <c r="B291" s="253"/>
      <c r="C291" s="58"/>
      <c r="D291" s="58"/>
      <c r="E291" s="58"/>
      <c r="F291" s="58"/>
      <c r="G291" s="58"/>
      <c r="H291" s="58"/>
      <c r="I291" s="58"/>
    </row>
    <row r="292" spans="2:9" ht="15.5">
      <c r="B292" s="253"/>
      <c r="C292" s="58"/>
      <c r="D292" s="58"/>
      <c r="E292" s="58"/>
      <c r="F292" s="58"/>
      <c r="G292" s="58"/>
      <c r="H292" s="58"/>
      <c r="I292" s="58"/>
    </row>
    <row r="293" spans="2:9" ht="15.5">
      <c r="B293" s="253"/>
      <c r="C293" s="58"/>
      <c r="D293" s="58"/>
      <c r="E293" s="58"/>
      <c r="F293" s="58"/>
      <c r="G293" s="58"/>
      <c r="H293" s="58"/>
      <c r="I293" s="58"/>
    </row>
    <row r="294" spans="2:9" ht="15.5">
      <c r="B294" s="253"/>
      <c r="C294" s="58"/>
      <c r="D294" s="58"/>
      <c r="E294" s="58"/>
      <c r="F294" s="58"/>
      <c r="G294" s="58"/>
      <c r="H294" s="58"/>
      <c r="I294" s="58"/>
    </row>
    <row r="295" spans="2:9" ht="15.5">
      <c r="B295" s="253"/>
      <c r="C295" s="58"/>
      <c r="D295" s="58"/>
      <c r="E295" s="58"/>
      <c r="F295" s="58"/>
      <c r="G295" s="58"/>
      <c r="H295" s="58"/>
      <c r="I295" s="58"/>
    </row>
    <row r="296" spans="2:9" ht="15.5">
      <c r="B296" s="253"/>
      <c r="C296" s="58"/>
      <c r="D296" s="58"/>
      <c r="E296" s="58"/>
      <c r="F296" s="58"/>
      <c r="G296" s="58"/>
      <c r="H296" s="58"/>
      <c r="I296" s="58"/>
    </row>
    <row r="297" spans="2:9" ht="15.5">
      <c r="B297" s="253"/>
      <c r="C297" s="58"/>
      <c r="D297" s="58"/>
      <c r="E297" s="58"/>
      <c r="F297" s="58"/>
      <c r="G297" s="58"/>
      <c r="H297" s="58"/>
      <c r="I297" s="58"/>
    </row>
    <row r="298" spans="2:9" ht="15.5">
      <c r="B298" s="253"/>
      <c r="C298" s="58"/>
      <c r="D298" s="58"/>
      <c r="E298" s="58"/>
      <c r="F298" s="58"/>
      <c r="G298" s="58"/>
      <c r="H298" s="58"/>
      <c r="I298" s="58"/>
    </row>
    <row r="299" spans="2:9" ht="15.5">
      <c r="B299" s="253"/>
      <c r="C299" s="58"/>
      <c r="D299" s="58"/>
      <c r="E299" s="58"/>
      <c r="F299" s="58"/>
      <c r="G299" s="58"/>
      <c r="H299" s="58"/>
      <c r="I299" s="58"/>
    </row>
    <row r="300" spans="2:9" ht="15.5">
      <c r="B300" s="253"/>
      <c r="C300" s="58"/>
      <c r="D300" s="58"/>
      <c r="E300" s="58"/>
      <c r="F300" s="58"/>
      <c r="G300" s="58"/>
      <c r="H300" s="58"/>
      <c r="I300" s="58"/>
    </row>
    <row r="301" spans="2:9" ht="15.5">
      <c r="B301" s="253"/>
      <c r="C301" s="58"/>
      <c r="D301" s="58"/>
      <c r="E301" s="58"/>
      <c r="F301" s="58"/>
      <c r="G301" s="58"/>
      <c r="H301" s="58"/>
      <c r="I301" s="58"/>
    </row>
    <row r="302" spans="2:9" ht="15.5">
      <c r="B302" s="253"/>
      <c r="C302" s="58"/>
      <c r="D302" s="58"/>
      <c r="E302" s="58"/>
      <c r="F302" s="58"/>
      <c r="G302" s="58"/>
      <c r="H302" s="58"/>
      <c r="I302" s="58"/>
    </row>
    <row r="303" spans="2:9" ht="15.5">
      <c r="B303" s="253"/>
      <c r="C303" s="58"/>
      <c r="D303" s="58"/>
      <c r="E303" s="58"/>
      <c r="F303" s="58"/>
      <c r="G303" s="58"/>
      <c r="H303" s="58"/>
      <c r="I303" s="58"/>
    </row>
    <row r="304" spans="2:9" ht="15.5">
      <c r="B304" s="253"/>
      <c r="C304" s="58"/>
      <c r="D304" s="58"/>
      <c r="E304" s="58"/>
      <c r="F304" s="58"/>
      <c r="G304" s="58"/>
      <c r="H304" s="58"/>
      <c r="I304" s="58"/>
    </row>
    <row r="305" spans="2:9" ht="15.5">
      <c r="B305" s="253"/>
      <c r="C305" s="58"/>
      <c r="D305" s="58"/>
      <c r="E305" s="58"/>
      <c r="F305" s="58"/>
      <c r="G305" s="58"/>
      <c r="H305" s="58"/>
      <c r="I305" s="58"/>
    </row>
    <row r="306" spans="2:9" ht="15.5">
      <c r="B306" s="253"/>
      <c r="C306" s="58"/>
      <c r="D306" s="58"/>
      <c r="E306" s="58"/>
      <c r="F306" s="58"/>
      <c r="G306" s="58"/>
      <c r="H306" s="58"/>
      <c r="I306" s="58"/>
    </row>
    <row r="307" spans="2:9" ht="15.5">
      <c r="B307" s="253"/>
      <c r="C307" s="58"/>
      <c r="D307" s="58"/>
      <c r="E307" s="58"/>
      <c r="F307" s="58"/>
      <c r="G307" s="58"/>
      <c r="H307" s="58"/>
      <c r="I307" s="58"/>
    </row>
    <row r="308" spans="2:9" ht="15.5">
      <c r="B308" s="253"/>
      <c r="C308" s="58"/>
      <c r="D308" s="58"/>
      <c r="E308" s="58"/>
      <c r="F308" s="58"/>
      <c r="G308" s="58"/>
      <c r="H308" s="58"/>
      <c r="I308" s="58"/>
    </row>
    <row r="309" spans="2:9" ht="15.5">
      <c r="B309" s="253"/>
      <c r="C309" s="58"/>
      <c r="D309" s="58"/>
      <c r="E309" s="58"/>
      <c r="F309" s="58"/>
      <c r="G309" s="58"/>
      <c r="H309" s="58"/>
      <c r="I309" s="58"/>
    </row>
    <row r="310" spans="2:9" ht="15.5">
      <c r="B310" s="253"/>
      <c r="C310" s="58"/>
      <c r="D310" s="58"/>
      <c r="E310" s="58"/>
      <c r="F310" s="58"/>
      <c r="G310" s="58"/>
      <c r="H310" s="58"/>
      <c r="I310" s="58"/>
    </row>
    <row r="311" spans="2:9" ht="15.5">
      <c r="B311" s="253"/>
      <c r="C311" s="58"/>
      <c r="D311" s="58"/>
      <c r="E311" s="58"/>
      <c r="F311" s="58"/>
      <c r="G311" s="58"/>
      <c r="H311" s="58"/>
      <c r="I311" s="58"/>
    </row>
    <row r="312" spans="2:9" ht="15.5">
      <c r="B312" s="253"/>
      <c r="C312" s="58"/>
      <c r="D312" s="58"/>
      <c r="E312" s="58"/>
      <c r="F312" s="58"/>
      <c r="G312" s="58"/>
      <c r="H312" s="58"/>
      <c r="I312" s="58"/>
    </row>
    <row r="313" spans="2:9" ht="15.5">
      <c r="B313" s="253"/>
      <c r="C313" s="58"/>
      <c r="D313" s="58"/>
      <c r="E313" s="58"/>
      <c r="F313" s="58"/>
      <c r="G313" s="58"/>
      <c r="H313" s="58"/>
      <c r="I313" s="58"/>
    </row>
    <row r="314" spans="2:9" ht="15.5">
      <c r="B314" s="253"/>
      <c r="C314" s="58"/>
      <c r="D314" s="58"/>
      <c r="E314" s="58"/>
      <c r="F314" s="58"/>
      <c r="G314" s="58"/>
      <c r="H314" s="58"/>
      <c r="I314" s="58"/>
    </row>
    <row r="315" spans="2:9" ht="15.5">
      <c r="B315" s="253"/>
      <c r="C315" s="58"/>
      <c r="D315" s="58"/>
      <c r="E315" s="58"/>
      <c r="F315" s="58"/>
      <c r="G315" s="58"/>
      <c r="H315" s="58"/>
      <c r="I315" s="58"/>
    </row>
    <row r="316" spans="2:9" ht="15.5">
      <c r="B316" s="253"/>
      <c r="C316" s="58"/>
      <c r="D316" s="58"/>
      <c r="E316" s="58"/>
      <c r="F316" s="58"/>
      <c r="G316" s="58"/>
      <c r="H316" s="58"/>
      <c r="I316" s="58"/>
    </row>
    <row r="317" spans="2:9" ht="15.5">
      <c r="B317" s="253"/>
      <c r="C317" s="58"/>
      <c r="D317" s="58"/>
      <c r="E317" s="58"/>
      <c r="F317" s="58"/>
      <c r="G317" s="58"/>
      <c r="H317" s="58"/>
      <c r="I317" s="58"/>
    </row>
    <row r="318" spans="2:9" ht="15.5">
      <c r="B318" s="253"/>
      <c r="C318" s="58"/>
      <c r="D318" s="58"/>
      <c r="E318" s="58"/>
      <c r="F318" s="58"/>
      <c r="G318" s="58"/>
      <c r="H318" s="58"/>
      <c r="I318" s="58"/>
    </row>
    <row r="319" spans="2:9" ht="15.5">
      <c r="B319" s="253"/>
      <c r="C319" s="58"/>
      <c r="D319" s="58"/>
      <c r="E319" s="58"/>
      <c r="F319" s="58"/>
      <c r="G319" s="58"/>
      <c r="H319" s="58"/>
      <c r="I319" s="58"/>
    </row>
    <row r="320" spans="2:9" ht="15.5">
      <c r="B320" s="253"/>
      <c r="C320" s="58"/>
      <c r="D320" s="58"/>
      <c r="E320" s="58"/>
      <c r="F320" s="58"/>
      <c r="G320" s="58"/>
      <c r="H320" s="58"/>
      <c r="I320" s="58"/>
    </row>
    <row r="321" spans="2:9" ht="15.5">
      <c r="B321" s="253"/>
      <c r="C321" s="58"/>
      <c r="D321" s="58"/>
      <c r="E321" s="58"/>
      <c r="F321" s="58"/>
      <c r="G321" s="58"/>
      <c r="H321" s="58"/>
      <c r="I321" s="58"/>
    </row>
    <row r="322" spans="2:9" ht="15.5">
      <c r="B322" s="253"/>
      <c r="C322" s="58"/>
      <c r="D322" s="58"/>
      <c r="E322" s="58"/>
      <c r="F322" s="58"/>
      <c r="G322" s="58"/>
      <c r="H322" s="58"/>
      <c r="I322" s="58"/>
    </row>
    <row r="323" spans="2:9" ht="15.5">
      <c r="B323" s="253"/>
      <c r="C323" s="58"/>
      <c r="D323" s="58"/>
      <c r="E323" s="58"/>
      <c r="F323" s="58"/>
      <c r="G323" s="58"/>
      <c r="H323" s="58"/>
      <c r="I323" s="58"/>
    </row>
    <row r="324" spans="2:9" ht="15.5">
      <c r="B324" s="253"/>
      <c r="C324" s="58"/>
      <c r="D324" s="58"/>
      <c r="E324" s="58"/>
      <c r="F324" s="58"/>
      <c r="G324" s="58"/>
      <c r="H324" s="58"/>
      <c r="I324" s="58"/>
    </row>
    <row r="325" spans="2:9" ht="15.5">
      <c r="B325" s="253"/>
      <c r="C325" s="58"/>
      <c r="D325" s="58"/>
      <c r="E325" s="58"/>
      <c r="F325" s="58"/>
      <c r="G325" s="58"/>
      <c r="H325" s="58"/>
      <c r="I325" s="58"/>
    </row>
    <row r="326" spans="2:9" ht="15.5">
      <c r="B326" s="253"/>
      <c r="C326" s="58"/>
      <c r="D326" s="58"/>
      <c r="E326" s="58"/>
      <c r="F326" s="58"/>
      <c r="G326" s="58"/>
      <c r="H326" s="58"/>
      <c r="I326" s="58"/>
    </row>
    <row r="327" spans="2:9" ht="15.5">
      <c r="B327" s="253"/>
      <c r="C327" s="58"/>
      <c r="D327" s="58"/>
      <c r="E327" s="58"/>
      <c r="F327" s="58"/>
      <c r="G327" s="58"/>
      <c r="H327" s="58"/>
      <c r="I327" s="58"/>
    </row>
    <row r="328" spans="2:9" ht="15.5">
      <c r="B328" s="253"/>
      <c r="C328" s="58"/>
      <c r="D328" s="58"/>
      <c r="E328" s="58"/>
      <c r="F328" s="58"/>
      <c r="G328" s="58"/>
      <c r="H328" s="58"/>
      <c r="I328" s="58"/>
    </row>
    <row r="329" spans="2:9" ht="15.5">
      <c r="B329" s="253"/>
      <c r="C329" s="58"/>
      <c r="D329" s="58"/>
      <c r="E329" s="58"/>
      <c r="F329" s="58"/>
      <c r="G329" s="58"/>
      <c r="H329" s="58"/>
      <c r="I329" s="58"/>
    </row>
    <row r="330" spans="2:9" ht="15.5">
      <c r="B330" s="253"/>
      <c r="C330" s="58"/>
      <c r="D330" s="58"/>
      <c r="E330" s="58"/>
      <c r="F330" s="58"/>
      <c r="G330" s="58"/>
      <c r="H330" s="58"/>
      <c r="I330" s="58"/>
    </row>
    <row r="331" spans="2:9" ht="15.5">
      <c r="B331" s="253"/>
      <c r="C331" s="58"/>
      <c r="D331" s="58"/>
      <c r="E331" s="58"/>
      <c r="F331" s="58"/>
      <c r="G331" s="58"/>
      <c r="H331" s="58"/>
      <c r="I331" s="58"/>
    </row>
    <row r="332" spans="2:9" ht="15.5">
      <c r="B332" s="253"/>
      <c r="C332" s="58"/>
      <c r="D332" s="58"/>
      <c r="E332" s="58"/>
      <c r="F332" s="58"/>
      <c r="G332" s="58"/>
      <c r="H332" s="58"/>
      <c r="I332" s="58"/>
    </row>
    <row r="333" spans="2:9" ht="15.5">
      <c r="B333" s="253"/>
      <c r="C333" s="58"/>
      <c r="D333" s="58"/>
      <c r="E333" s="58"/>
      <c r="F333" s="58"/>
      <c r="G333" s="58"/>
      <c r="H333" s="58"/>
      <c r="I333" s="58"/>
    </row>
    <row r="334" spans="2:9" ht="15.5">
      <c r="B334" s="253"/>
      <c r="C334" s="58"/>
      <c r="D334" s="58"/>
      <c r="E334" s="58"/>
      <c r="F334" s="58"/>
      <c r="G334" s="58"/>
      <c r="H334" s="58"/>
      <c r="I334" s="58"/>
    </row>
    <row r="335" spans="2:9" ht="15.5">
      <c r="B335" s="253"/>
      <c r="C335" s="58"/>
      <c r="D335" s="58"/>
      <c r="E335" s="58"/>
      <c r="F335" s="58"/>
      <c r="G335" s="58"/>
      <c r="H335" s="58"/>
      <c r="I335" s="58"/>
    </row>
    <row r="336" spans="2:9" ht="15.5">
      <c r="B336" s="253"/>
      <c r="C336" s="58"/>
      <c r="D336" s="58"/>
      <c r="E336" s="58"/>
      <c r="F336" s="58"/>
      <c r="G336" s="58"/>
      <c r="H336" s="58"/>
      <c r="I336" s="58"/>
    </row>
    <row r="337" spans="2:9" ht="15.5">
      <c r="B337" s="253"/>
      <c r="C337" s="58"/>
      <c r="D337" s="58"/>
      <c r="E337" s="58"/>
      <c r="F337" s="58"/>
      <c r="G337" s="58"/>
      <c r="H337" s="58"/>
      <c r="I337" s="58"/>
    </row>
    <row r="338" spans="2:9" ht="15.5">
      <c r="B338" s="253"/>
      <c r="C338" s="58"/>
      <c r="D338" s="58"/>
      <c r="E338" s="58"/>
      <c r="F338" s="58"/>
      <c r="G338" s="58"/>
      <c r="H338" s="58"/>
      <c r="I338" s="58"/>
    </row>
    <row r="339" spans="2:9" ht="15.5">
      <c r="B339" s="253"/>
      <c r="C339" s="58"/>
      <c r="D339" s="58"/>
      <c r="E339" s="58"/>
      <c r="F339" s="58"/>
      <c r="G339" s="58"/>
      <c r="H339" s="58"/>
      <c r="I339" s="58"/>
    </row>
    <row r="340" spans="2:9" ht="15.5">
      <c r="B340" s="253"/>
      <c r="C340" s="58"/>
      <c r="D340" s="58"/>
      <c r="E340" s="58"/>
      <c r="F340" s="58"/>
      <c r="G340" s="58"/>
      <c r="H340" s="58"/>
      <c r="I340" s="58"/>
    </row>
    <row r="341" spans="2:9" ht="15.5">
      <c r="B341" s="253"/>
      <c r="C341" s="58"/>
      <c r="D341" s="58"/>
      <c r="E341" s="58"/>
      <c r="F341" s="58"/>
      <c r="G341" s="58"/>
      <c r="H341" s="58"/>
      <c r="I341" s="58"/>
    </row>
    <row r="342" spans="2:9" ht="15.5">
      <c r="B342" s="253"/>
      <c r="C342" s="58"/>
      <c r="D342" s="58"/>
      <c r="E342" s="58"/>
      <c r="F342" s="58"/>
      <c r="G342" s="58"/>
      <c r="H342" s="58"/>
      <c r="I342" s="58"/>
    </row>
    <row r="343" spans="2:9" ht="15.5">
      <c r="B343" s="253"/>
      <c r="C343" s="58"/>
      <c r="D343" s="58"/>
      <c r="E343" s="58"/>
      <c r="F343" s="58"/>
      <c r="G343" s="58"/>
      <c r="H343" s="58"/>
      <c r="I343" s="58"/>
    </row>
    <row r="344" spans="2:9" ht="15.5">
      <c r="B344" s="253"/>
      <c r="C344" s="58"/>
      <c r="D344" s="58"/>
      <c r="E344" s="58"/>
      <c r="F344" s="58"/>
      <c r="G344" s="58"/>
      <c r="H344" s="58"/>
      <c r="I344" s="58"/>
    </row>
    <row r="345" spans="2:9" ht="15.5">
      <c r="B345" s="253"/>
      <c r="C345" s="58"/>
      <c r="D345" s="58"/>
      <c r="E345" s="58"/>
      <c r="F345" s="58"/>
      <c r="G345" s="58"/>
      <c r="H345" s="58"/>
      <c r="I345" s="58"/>
    </row>
    <row r="346" spans="2:9" ht="15.5">
      <c r="B346" s="253"/>
      <c r="C346" s="58"/>
      <c r="D346" s="58"/>
      <c r="E346" s="58"/>
      <c r="F346" s="58"/>
      <c r="G346" s="58"/>
      <c r="H346" s="58"/>
      <c r="I346" s="58"/>
    </row>
    <row r="347" spans="2:9" ht="15.5">
      <c r="B347" s="253"/>
      <c r="C347" s="58"/>
      <c r="D347" s="58"/>
      <c r="E347" s="58"/>
      <c r="F347" s="58"/>
      <c r="G347" s="58"/>
      <c r="H347" s="58"/>
      <c r="I347" s="58"/>
    </row>
    <row r="348" spans="2:9" ht="15.5">
      <c r="B348" s="253"/>
      <c r="C348" s="58"/>
      <c r="D348" s="58"/>
      <c r="E348" s="58"/>
      <c r="F348" s="58"/>
      <c r="G348" s="58"/>
      <c r="H348" s="58"/>
      <c r="I348" s="58"/>
    </row>
    <row r="349" spans="2:9" ht="15.5">
      <c r="B349" s="253"/>
      <c r="C349" s="58"/>
      <c r="D349" s="58"/>
      <c r="E349" s="58"/>
      <c r="F349" s="58"/>
      <c r="G349" s="58"/>
      <c r="H349" s="58"/>
      <c r="I349" s="58"/>
    </row>
    <row r="350" spans="2:9" ht="15.5">
      <c r="B350" s="253"/>
      <c r="C350" s="58"/>
      <c r="D350" s="58"/>
      <c r="E350" s="58"/>
      <c r="F350" s="58"/>
      <c r="G350" s="58"/>
      <c r="H350" s="58"/>
      <c r="I350" s="58"/>
    </row>
    <row r="351" spans="2:9" ht="15.5">
      <c r="B351" s="253"/>
      <c r="C351" s="58"/>
      <c r="D351" s="58"/>
      <c r="E351" s="58"/>
      <c r="F351" s="58"/>
      <c r="G351" s="58"/>
      <c r="H351" s="58"/>
      <c r="I351" s="58"/>
    </row>
    <row r="352" spans="2:9" ht="15.5">
      <c r="B352" s="253"/>
      <c r="C352" s="58"/>
      <c r="D352" s="58"/>
      <c r="E352" s="58"/>
      <c r="F352" s="58"/>
      <c r="G352" s="58"/>
      <c r="H352" s="58"/>
      <c r="I352" s="58"/>
    </row>
    <row r="353" spans="2:9" ht="15.5">
      <c r="B353" s="253"/>
      <c r="C353" s="58"/>
      <c r="D353" s="58"/>
      <c r="E353" s="58"/>
      <c r="F353" s="58"/>
      <c r="G353" s="58"/>
      <c r="H353" s="58"/>
      <c r="I353" s="58"/>
    </row>
    <row r="354" spans="2:9" ht="15.5">
      <c r="B354" s="253"/>
      <c r="C354" s="58"/>
      <c r="D354" s="58"/>
      <c r="E354" s="58"/>
      <c r="F354" s="58"/>
      <c r="G354" s="58"/>
      <c r="H354" s="58"/>
      <c r="I354" s="58"/>
    </row>
    <row r="355" spans="2:9" ht="15.5">
      <c r="B355" s="253"/>
      <c r="C355" s="58"/>
      <c r="D355" s="58"/>
      <c r="E355" s="58"/>
      <c r="F355" s="58"/>
      <c r="G355" s="58"/>
      <c r="H355" s="58"/>
      <c r="I355" s="58"/>
    </row>
    <row r="356" spans="2:9" ht="15.5">
      <c r="B356" s="253"/>
      <c r="C356" s="58"/>
      <c r="D356" s="58"/>
      <c r="E356" s="58"/>
      <c r="F356" s="58"/>
      <c r="G356" s="58"/>
      <c r="H356" s="58"/>
      <c r="I356" s="58"/>
    </row>
    <row r="357" spans="2:9" ht="15.5">
      <c r="B357" s="253"/>
      <c r="C357" s="58"/>
      <c r="D357" s="58"/>
      <c r="E357" s="58"/>
      <c r="F357" s="58"/>
      <c r="G357" s="58"/>
      <c r="H357" s="58"/>
      <c r="I357" s="58"/>
    </row>
    <row r="358" spans="2:9" ht="15.5">
      <c r="B358" s="253"/>
      <c r="C358" s="58"/>
      <c r="D358" s="58"/>
      <c r="E358" s="58"/>
      <c r="F358" s="58"/>
      <c r="G358" s="58"/>
      <c r="H358" s="58"/>
      <c r="I358" s="58"/>
    </row>
    <row r="359" spans="2:9" ht="15.5">
      <c r="B359" s="253"/>
      <c r="C359" s="58"/>
      <c r="D359" s="58"/>
      <c r="E359" s="58"/>
      <c r="F359" s="58"/>
      <c r="G359" s="58"/>
      <c r="H359" s="58"/>
      <c r="I359" s="58"/>
    </row>
    <row r="360" spans="2:9" ht="15.5">
      <c r="B360" s="253"/>
      <c r="C360" s="58"/>
      <c r="D360" s="58"/>
      <c r="E360" s="58"/>
      <c r="F360" s="58"/>
      <c r="G360" s="58"/>
      <c r="H360" s="58"/>
      <c r="I360" s="58"/>
    </row>
    <row r="361" spans="2:9" ht="15.5">
      <c r="B361" s="253"/>
      <c r="C361" s="58"/>
      <c r="D361" s="58"/>
      <c r="E361" s="58"/>
      <c r="F361" s="58"/>
      <c r="G361" s="58"/>
      <c r="H361" s="58"/>
      <c r="I361" s="58"/>
    </row>
    <row r="362" spans="2:9" ht="15.5">
      <c r="B362" s="253"/>
      <c r="C362" s="58"/>
      <c r="D362" s="58"/>
      <c r="E362" s="58"/>
      <c r="F362" s="58"/>
      <c r="G362" s="58"/>
      <c r="H362" s="58"/>
      <c r="I362" s="58"/>
    </row>
    <row r="363" spans="2:9" ht="15.5">
      <c r="B363" s="253"/>
      <c r="C363" s="58"/>
      <c r="D363" s="58"/>
      <c r="E363" s="58"/>
      <c r="F363" s="58"/>
      <c r="G363" s="58"/>
      <c r="H363" s="58"/>
      <c r="I363" s="58"/>
    </row>
    <row r="364" spans="2:9" ht="15.5">
      <c r="B364" s="253"/>
      <c r="C364" s="58"/>
      <c r="D364" s="58"/>
      <c r="E364" s="58"/>
      <c r="F364" s="58"/>
      <c r="G364" s="58"/>
      <c r="H364" s="58"/>
      <c r="I364" s="58"/>
    </row>
    <row r="365" spans="2:9" ht="15.5">
      <c r="B365" s="253"/>
      <c r="C365" s="58"/>
      <c r="D365" s="58"/>
      <c r="E365" s="58"/>
      <c r="F365" s="58"/>
      <c r="G365" s="58"/>
      <c r="H365" s="58"/>
      <c r="I365" s="58"/>
    </row>
    <row r="366" spans="2:9" ht="15.5">
      <c r="B366" s="253"/>
      <c r="C366" s="58"/>
      <c r="D366" s="58"/>
      <c r="E366" s="58"/>
      <c r="F366" s="58"/>
      <c r="G366" s="58"/>
      <c r="H366" s="58"/>
      <c r="I366" s="58"/>
    </row>
    <row r="367" spans="2:9" ht="15.5">
      <c r="B367" s="253"/>
      <c r="C367" s="58"/>
      <c r="D367" s="58"/>
      <c r="E367" s="58"/>
      <c r="F367" s="58"/>
      <c r="G367" s="58"/>
      <c r="H367" s="58"/>
      <c r="I367" s="58"/>
    </row>
    <row r="368" spans="2:9" ht="15.5">
      <c r="B368" s="253"/>
      <c r="C368" s="58"/>
      <c r="D368" s="58"/>
      <c r="E368" s="58"/>
      <c r="F368" s="58"/>
      <c r="G368" s="58"/>
      <c r="H368" s="58"/>
      <c r="I368" s="58"/>
    </row>
    <row r="369" spans="2:9" ht="15.5">
      <c r="B369" s="253"/>
      <c r="C369" s="58"/>
      <c r="D369" s="58"/>
      <c r="E369" s="58"/>
      <c r="F369" s="58"/>
      <c r="G369" s="58"/>
      <c r="H369" s="58"/>
      <c r="I369" s="58"/>
    </row>
    <row r="370" spans="2:9" ht="15.5">
      <c r="B370" s="253"/>
      <c r="C370" s="58"/>
      <c r="D370" s="58"/>
      <c r="E370" s="58"/>
      <c r="F370" s="58"/>
      <c r="G370" s="58"/>
      <c r="H370" s="58"/>
      <c r="I370" s="58"/>
    </row>
    <row r="371" spans="2:9" ht="15.5">
      <c r="B371" s="253"/>
      <c r="C371" s="58"/>
      <c r="D371" s="58"/>
      <c r="E371" s="58"/>
      <c r="F371" s="58"/>
      <c r="G371" s="58"/>
      <c r="H371" s="58"/>
      <c r="I371" s="58"/>
    </row>
    <row r="372" spans="2:9" ht="15.5">
      <c r="B372" s="253"/>
      <c r="C372" s="58"/>
      <c r="D372" s="58"/>
      <c r="E372" s="58"/>
      <c r="F372" s="58"/>
      <c r="G372" s="58"/>
      <c r="H372" s="58"/>
      <c r="I372" s="58"/>
    </row>
    <row r="373" spans="2:9" ht="15.5">
      <c r="B373" s="253"/>
      <c r="C373" s="58"/>
      <c r="D373" s="58"/>
      <c r="E373" s="58"/>
      <c r="F373" s="58"/>
      <c r="G373" s="58"/>
      <c r="H373" s="58"/>
      <c r="I373" s="58"/>
    </row>
    <row r="374" spans="2:9" ht="15.5">
      <c r="B374" s="253"/>
      <c r="C374" s="58"/>
      <c r="D374" s="58"/>
      <c r="E374" s="58"/>
      <c r="F374" s="58"/>
      <c r="G374" s="58"/>
      <c r="H374" s="58"/>
      <c r="I374" s="58"/>
    </row>
    <row r="375" spans="2:9" ht="15.5">
      <c r="B375" s="253"/>
      <c r="C375" s="58"/>
      <c r="D375" s="58"/>
      <c r="E375" s="58"/>
      <c r="F375" s="58"/>
      <c r="G375" s="58"/>
      <c r="H375" s="58"/>
      <c r="I375" s="58"/>
    </row>
    <row r="376" spans="2:9" ht="15.5">
      <c r="B376" s="253"/>
      <c r="C376" s="58"/>
      <c r="D376" s="58"/>
      <c r="E376" s="58"/>
      <c r="F376" s="58"/>
      <c r="G376" s="58"/>
      <c r="H376" s="58"/>
      <c r="I376" s="58"/>
    </row>
    <row r="377" spans="2:9" ht="15.5">
      <c r="B377" s="253"/>
      <c r="C377" s="58"/>
      <c r="D377" s="58"/>
      <c r="E377" s="58"/>
      <c r="F377" s="58"/>
      <c r="G377" s="58"/>
      <c r="H377" s="58"/>
      <c r="I377" s="58"/>
    </row>
    <row r="378" spans="2:9" ht="15.5">
      <c r="B378" s="253"/>
      <c r="C378" s="58"/>
      <c r="D378" s="58"/>
      <c r="E378" s="58"/>
      <c r="F378" s="58"/>
      <c r="G378" s="58"/>
      <c r="H378" s="58"/>
      <c r="I378" s="58"/>
    </row>
    <row r="379" spans="2:9" ht="15.5">
      <c r="B379" s="253"/>
      <c r="C379" s="58"/>
      <c r="D379" s="58"/>
      <c r="E379" s="58"/>
      <c r="F379" s="58"/>
      <c r="G379" s="58"/>
      <c r="H379" s="58"/>
      <c r="I379" s="58"/>
    </row>
    <row r="380" spans="2:9" ht="15.5">
      <c r="B380" s="253"/>
      <c r="C380" s="58"/>
      <c r="D380" s="58"/>
      <c r="E380" s="58"/>
      <c r="F380" s="58"/>
      <c r="G380" s="58"/>
      <c r="H380" s="58"/>
      <c r="I380" s="58"/>
    </row>
    <row r="381" spans="2:9" ht="15.5">
      <c r="B381" s="253"/>
      <c r="C381" s="58"/>
      <c r="D381" s="58"/>
      <c r="E381" s="58"/>
      <c r="F381" s="58"/>
      <c r="G381" s="58"/>
      <c r="H381" s="58"/>
      <c r="I381" s="58"/>
    </row>
    <row r="382" spans="2:9" ht="15.5">
      <c r="B382" s="253"/>
      <c r="C382" s="58"/>
      <c r="D382" s="58"/>
      <c r="E382" s="58"/>
      <c r="F382" s="58"/>
      <c r="G382" s="58"/>
      <c r="H382" s="58"/>
      <c r="I382" s="58"/>
    </row>
    <row r="383" spans="2:9" ht="15.5">
      <c r="B383" s="253"/>
      <c r="C383" s="58"/>
      <c r="D383" s="58"/>
      <c r="E383" s="58"/>
      <c r="F383" s="58"/>
      <c r="G383" s="58"/>
      <c r="H383" s="58"/>
      <c r="I383" s="58"/>
    </row>
    <row r="384" spans="2:9" ht="15.5">
      <c r="B384" s="253"/>
      <c r="C384" s="58"/>
      <c r="D384" s="58"/>
      <c r="E384" s="58"/>
      <c r="F384" s="58"/>
      <c r="G384" s="58"/>
      <c r="H384" s="58"/>
      <c r="I384" s="58"/>
    </row>
    <row r="385" spans="2:9" ht="15.5">
      <c r="B385" s="253"/>
      <c r="C385" s="58"/>
      <c r="D385" s="58"/>
      <c r="E385" s="58"/>
      <c r="F385" s="58"/>
      <c r="G385" s="58"/>
      <c r="H385" s="58"/>
      <c r="I385" s="58"/>
    </row>
    <row r="386" spans="2:9" ht="15.5">
      <c r="B386" s="253"/>
      <c r="C386" s="58"/>
      <c r="D386" s="58"/>
      <c r="E386" s="58"/>
      <c r="F386" s="58"/>
      <c r="G386" s="58"/>
      <c r="H386" s="58"/>
      <c r="I386" s="58"/>
    </row>
    <row r="387" spans="2:9" ht="15.5">
      <c r="B387" s="253"/>
      <c r="C387" s="58"/>
      <c r="D387" s="58"/>
      <c r="E387" s="58"/>
      <c r="F387" s="58"/>
      <c r="G387" s="58"/>
      <c r="H387" s="58"/>
      <c r="I387" s="58"/>
    </row>
    <row r="388" spans="2:9" ht="15.5">
      <c r="B388" s="253"/>
      <c r="C388" s="58"/>
      <c r="D388" s="58"/>
      <c r="E388" s="58"/>
      <c r="F388" s="58"/>
      <c r="G388" s="58"/>
      <c r="H388" s="58"/>
      <c r="I388" s="58"/>
    </row>
    <row r="389" spans="2:9" ht="15.5">
      <c r="B389" s="253"/>
      <c r="C389" s="58"/>
      <c r="D389" s="58"/>
      <c r="E389" s="58"/>
      <c r="F389" s="58"/>
      <c r="G389" s="58"/>
      <c r="H389" s="58"/>
      <c r="I389" s="58"/>
    </row>
    <row r="390" spans="2:9" ht="15.5">
      <c r="B390" s="253"/>
      <c r="C390" s="58"/>
      <c r="D390" s="58"/>
      <c r="E390" s="58"/>
      <c r="F390" s="58"/>
      <c r="G390" s="58"/>
      <c r="H390" s="58"/>
      <c r="I390" s="58"/>
    </row>
    <row r="391" spans="2:9" ht="15.5">
      <c r="B391" s="253"/>
      <c r="C391" s="58"/>
      <c r="D391" s="58"/>
      <c r="E391" s="58"/>
      <c r="F391" s="58"/>
      <c r="G391" s="58"/>
      <c r="H391" s="58"/>
      <c r="I391" s="58"/>
    </row>
    <row r="392" spans="2:9" ht="15.5">
      <c r="B392" s="253"/>
      <c r="C392" s="58"/>
      <c r="D392" s="58"/>
      <c r="E392" s="58"/>
      <c r="F392" s="58"/>
      <c r="G392" s="58"/>
      <c r="H392" s="58"/>
      <c r="I392" s="58"/>
    </row>
    <row r="393" spans="2:9" ht="15.5">
      <c r="B393" s="253"/>
      <c r="C393" s="58"/>
      <c r="D393" s="58"/>
      <c r="E393" s="58"/>
      <c r="F393" s="58"/>
      <c r="G393" s="58"/>
      <c r="H393" s="58"/>
      <c r="I393" s="58"/>
    </row>
    <row r="394" spans="2:9" ht="15.5">
      <c r="B394" s="253"/>
      <c r="C394" s="58"/>
      <c r="D394" s="58"/>
      <c r="E394" s="58"/>
      <c r="F394" s="58"/>
      <c r="G394" s="58"/>
      <c r="H394" s="58"/>
      <c r="I394" s="58"/>
    </row>
    <row r="395" spans="2:9" ht="15.5">
      <c r="B395" s="253"/>
      <c r="C395" s="58"/>
      <c r="D395" s="58"/>
      <c r="E395" s="58"/>
      <c r="F395" s="58"/>
      <c r="G395" s="58"/>
      <c r="H395" s="58"/>
      <c r="I395" s="58"/>
    </row>
    <row r="396" spans="2:9" ht="15.5">
      <c r="B396" s="253"/>
      <c r="C396" s="58"/>
      <c r="D396" s="58"/>
      <c r="E396" s="58"/>
      <c r="F396" s="58"/>
      <c r="G396" s="58"/>
      <c r="H396" s="58"/>
      <c r="I396" s="58"/>
    </row>
    <row r="397" spans="2:9" ht="15.5">
      <c r="B397" s="253"/>
      <c r="C397" s="58"/>
      <c r="D397" s="58"/>
      <c r="E397" s="58"/>
      <c r="F397" s="58"/>
      <c r="G397" s="58"/>
      <c r="H397" s="58"/>
      <c r="I397" s="58"/>
    </row>
    <row r="398" spans="2:9" ht="15.5">
      <c r="B398" s="253"/>
      <c r="C398" s="58"/>
      <c r="D398" s="58"/>
      <c r="E398" s="58"/>
      <c r="F398" s="58"/>
      <c r="G398" s="58"/>
      <c r="H398" s="58"/>
      <c r="I398" s="58"/>
    </row>
    <row r="399" spans="2:9" ht="15.5">
      <c r="B399" s="253"/>
      <c r="C399" s="58"/>
      <c r="D399" s="58"/>
      <c r="E399" s="58"/>
      <c r="F399" s="58"/>
      <c r="G399" s="58"/>
      <c r="H399" s="58"/>
      <c r="I399" s="58"/>
    </row>
    <row r="400" spans="2:9" ht="15.5">
      <c r="B400" s="253"/>
      <c r="C400" s="58"/>
      <c r="D400" s="58"/>
      <c r="E400" s="58"/>
      <c r="F400" s="58"/>
      <c r="G400" s="58"/>
      <c r="H400" s="58"/>
      <c r="I400" s="58"/>
    </row>
    <row r="401" spans="2:9" ht="15.5">
      <c r="B401" s="253"/>
      <c r="C401" s="58"/>
      <c r="D401" s="58"/>
      <c r="E401" s="58"/>
      <c r="F401" s="58"/>
      <c r="G401" s="58"/>
      <c r="H401" s="58"/>
      <c r="I401" s="58"/>
    </row>
    <row r="402" spans="2:9" ht="15.5">
      <c r="B402" s="253"/>
      <c r="C402" s="58"/>
      <c r="D402" s="58"/>
      <c r="E402" s="58"/>
      <c r="F402" s="58"/>
      <c r="G402" s="58"/>
      <c r="H402" s="58"/>
      <c r="I402" s="58"/>
    </row>
    <row r="403" spans="2:9" ht="15.5">
      <c r="B403" s="253"/>
      <c r="C403" s="58"/>
      <c r="D403" s="58"/>
      <c r="E403" s="58"/>
      <c r="F403" s="58"/>
      <c r="G403" s="58"/>
      <c r="H403" s="58"/>
      <c r="I403" s="58"/>
    </row>
    <row r="404" spans="2:9" ht="15.5">
      <c r="B404" s="253"/>
      <c r="C404" s="58"/>
      <c r="D404" s="58"/>
      <c r="E404" s="58"/>
      <c r="F404" s="58"/>
      <c r="G404" s="58"/>
      <c r="H404" s="58"/>
      <c r="I404" s="58"/>
    </row>
    <row r="405" spans="2:9" ht="15.5">
      <c r="B405" s="253"/>
      <c r="C405" s="58"/>
      <c r="D405" s="58"/>
      <c r="E405" s="58"/>
      <c r="F405" s="58"/>
      <c r="G405" s="58"/>
      <c r="H405" s="58"/>
      <c r="I405" s="58"/>
    </row>
    <row r="406" spans="2:9" ht="15.5">
      <c r="B406" s="253"/>
      <c r="C406" s="58"/>
      <c r="D406" s="58"/>
      <c r="E406" s="58"/>
      <c r="F406" s="58"/>
      <c r="G406" s="58"/>
      <c r="H406" s="58"/>
      <c r="I406" s="58"/>
    </row>
    <row r="407" spans="2:9" ht="15.5">
      <c r="B407" s="253"/>
      <c r="C407" s="58"/>
      <c r="D407" s="58"/>
      <c r="E407" s="58"/>
      <c r="F407" s="58"/>
      <c r="G407" s="58"/>
      <c r="H407" s="58"/>
      <c r="I407" s="58"/>
    </row>
    <row r="408" spans="2:9" ht="15.5">
      <c r="B408" s="253"/>
      <c r="C408" s="58"/>
      <c r="D408" s="58"/>
      <c r="E408" s="58"/>
      <c r="F408" s="58"/>
      <c r="G408" s="58"/>
      <c r="H408" s="58"/>
      <c r="I408" s="58"/>
    </row>
    <row r="409" spans="2:9" ht="15.5">
      <c r="B409" s="253"/>
      <c r="C409" s="58"/>
      <c r="D409" s="58"/>
      <c r="E409" s="58"/>
      <c r="F409" s="58"/>
      <c r="G409" s="58"/>
      <c r="H409" s="58"/>
      <c r="I409" s="58"/>
    </row>
    <row r="410" spans="2:9" ht="15.5">
      <c r="B410" s="253"/>
      <c r="C410" s="58"/>
      <c r="D410" s="58"/>
      <c r="E410" s="58"/>
      <c r="F410" s="58"/>
      <c r="G410" s="58"/>
      <c r="H410" s="58"/>
      <c r="I410" s="58"/>
    </row>
    <row r="411" spans="2:9" ht="15.5">
      <c r="B411" s="253"/>
      <c r="C411" s="58"/>
      <c r="D411" s="58"/>
      <c r="E411" s="58"/>
      <c r="F411" s="58"/>
      <c r="G411" s="58"/>
      <c r="H411" s="58"/>
      <c r="I411" s="58"/>
    </row>
    <row r="412" spans="2:9" ht="15.5">
      <c r="B412" s="253"/>
      <c r="C412" s="58"/>
      <c r="D412" s="58"/>
      <c r="E412" s="58"/>
      <c r="F412" s="58"/>
      <c r="G412" s="58"/>
      <c r="H412" s="58"/>
      <c r="I412" s="58"/>
    </row>
    <row r="413" spans="2:9" ht="15.5">
      <c r="B413" s="253"/>
      <c r="C413" s="58"/>
      <c r="D413" s="58"/>
      <c r="E413" s="58"/>
      <c r="F413" s="58"/>
      <c r="G413" s="58"/>
      <c r="H413" s="58"/>
      <c r="I413" s="58"/>
    </row>
    <row r="414" spans="2:9" ht="15.5">
      <c r="B414" s="253"/>
      <c r="C414" s="58"/>
      <c r="D414" s="58"/>
      <c r="E414" s="58"/>
      <c r="F414" s="58"/>
      <c r="G414" s="58"/>
      <c r="H414" s="58"/>
      <c r="I414" s="58"/>
    </row>
    <row r="415" spans="2:9" ht="15.5">
      <c r="B415" s="253"/>
      <c r="C415" s="58"/>
      <c r="D415" s="58"/>
      <c r="E415" s="58"/>
      <c r="F415" s="58"/>
      <c r="G415" s="58"/>
      <c r="H415" s="58"/>
      <c r="I415" s="58"/>
    </row>
    <row r="416" spans="2:9" ht="15.5">
      <c r="B416" s="253"/>
      <c r="C416" s="58"/>
      <c r="D416" s="58"/>
      <c r="E416" s="58"/>
      <c r="F416" s="58"/>
      <c r="G416" s="58"/>
      <c r="H416" s="58"/>
      <c r="I416" s="58"/>
    </row>
    <row r="417" spans="2:9" ht="15.5">
      <c r="B417" s="253"/>
      <c r="C417" s="58"/>
      <c r="D417" s="58"/>
      <c r="E417" s="58"/>
      <c r="F417" s="58"/>
      <c r="G417" s="58"/>
      <c r="H417" s="58"/>
      <c r="I417" s="58"/>
    </row>
    <row r="418" spans="2:9" ht="15.5">
      <c r="B418" s="253"/>
      <c r="C418" s="58"/>
      <c r="D418" s="58"/>
      <c r="E418" s="58"/>
      <c r="F418" s="58"/>
      <c r="G418" s="58"/>
      <c r="H418" s="58"/>
      <c r="I418" s="58"/>
    </row>
    <row r="419" spans="2:9" ht="15.5">
      <c r="B419" s="253"/>
      <c r="C419" s="58"/>
      <c r="D419" s="58"/>
      <c r="E419" s="58"/>
      <c r="F419" s="58"/>
      <c r="G419" s="58"/>
      <c r="H419" s="58"/>
      <c r="I419" s="58"/>
    </row>
    <row r="420" spans="2:9" ht="15.5">
      <c r="B420" s="253"/>
      <c r="C420" s="58"/>
      <c r="D420" s="58"/>
      <c r="E420" s="58"/>
      <c r="F420" s="58"/>
      <c r="G420" s="58"/>
      <c r="H420" s="58"/>
      <c r="I420" s="58"/>
    </row>
    <row r="421" spans="2:9" ht="15.5">
      <c r="B421" s="253"/>
      <c r="C421" s="58"/>
      <c r="D421" s="58"/>
      <c r="E421" s="58"/>
      <c r="F421" s="58"/>
      <c r="G421" s="58"/>
      <c r="H421" s="58"/>
      <c r="I421" s="58"/>
    </row>
    <row r="422" spans="2:9" ht="15.5">
      <c r="B422" s="253"/>
      <c r="C422" s="58"/>
      <c r="D422" s="58"/>
      <c r="E422" s="58"/>
      <c r="F422" s="58"/>
      <c r="G422" s="58"/>
      <c r="H422" s="58"/>
      <c r="I422" s="58"/>
    </row>
    <row r="423" spans="2:9" ht="15.5">
      <c r="B423" s="253"/>
      <c r="C423" s="58"/>
      <c r="D423" s="58"/>
      <c r="E423" s="58"/>
      <c r="F423" s="58"/>
      <c r="G423" s="58"/>
      <c r="H423" s="58"/>
      <c r="I423" s="58"/>
    </row>
    <row r="424" spans="2:9" ht="15.5">
      <c r="B424" s="253"/>
      <c r="C424" s="58"/>
      <c r="D424" s="58"/>
      <c r="E424" s="58"/>
      <c r="F424" s="58"/>
      <c r="G424" s="58"/>
      <c r="H424" s="58"/>
      <c r="I424" s="58"/>
    </row>
    <row r="425" spans="2:9" ht="15.5">
      <c r="B425" s="253"/>
      <c r="C425" s="58"/>
      <c r="D425" s="58"/>
      <c r="E425" s="58"/>
      <c r="F425" s="58"/>
      <c r="G425" s="58"/>
      <c r="H425" s="58"/>
      <c r="I425" s="58"/>
    </row>
    <row r="426" spans="2:9" ht="15.5">
      <c r="B426" s="253"/>
      <c r="C426" s="58"/>
      <c r="D426" s="58"/>
      <c r="E426" s="58"/>
      <c r="F426" s="58"/>
      <c r="G426" s="58"/>
      <c r="H426" s="58"/>
      <c r="I426" s="58"/>
    </row>
    <row r="427" spans="2:9" ht="15.5">
      <c r="B427" s="253"/>
      <c r="C427" s="58"/>
      <c r="D427" s="58"/>
      <c r="E427" s="58"/>
      <c r="F427" s="58"/>
      <c r="G427" s="58"/>
      <c r="H427" s="58"/>
      <c r="I427" s="58"/>
    </row>
    <row r="428" spans="2:9" ht="15.5">
      <c r="B428" s="253"/>
      <c r="C428" s="58"/>
      <c r="D428" s="58"/>
      <c r="E428" s="58"/>
      <c r="F428" s="58"/>
      <c r="G428" s="58"/>
      <c r="H428" s="58"/>
      <c r="I428" s="58"/>
    </row>
    <row r="429" spans="2:9" ht="15.5">
      <c r="B429" s="253"/>
      <c r="C429" s="58"/>
      <c r="D429" s="58"/>
      <c r="E429" s="58"/>
      <c r="F429" s="58"/>
      <c r="G429" s="58"/>
      <c r="H429" s="58"/>
      <c r="I429" s="58"/>
    </row>
    <row r="430" spans="2:9" ht="15.5">
      <c r="B430" s="253"/>
      <c r="C430" s="58"/>
      <c r="D430" s="58"/>
      <c r="E430" s="58"/>
      <c r="F430" s="58"/>
      <c r="G430" s="58"/>
      <c r="H430" s="58"/>
      <c r="I430" s="58"/>
    </row>
    <row r="431" spans="2:9" ht="15.5">
      <c r="B431" s="253"/>
      <c r="C431" s="58"/>
      <c r="D431" s="58"/>
      <c r="E431" s="58"/>
      <c r="F431" s="58"/>
      <c r="G431" s="58"/>
      <c r="H431" s="58"/>
      <c r="I431" s="58"/>
    </row>
    <row r="432" spans="2:9" ht="15.5">
      <c r="B432" s="253"/>
      <c r="C432" s="58"/>
      <c r="D432" s="58"/>
      <c r="E432" s="58"/>
      <c r="F432" s="58"/>
      <c r="G432" s="58"/>
      <c r="H432" s="58"/>
      <c r="I432" s="58"/>
    </row>
    <row r="433" spans="2:9" ht="15.5">
      <c r="B433" s="253"/>
      <c r="C433" s="58"/>
      <c r="D433" s="58"/>
      <c r="E433" s="58"/>
      <c r="F433" s="58"/>
      <c r="G433" s="58"/>
      <c r="H433" s="58"/>
      <c r="I433" s="58"/>
    </row>
    <row r="434" spans="2:9" ht="15.5">
      <c r="B434" s="253"/>
      <c r="C434" s="58"/>
      <c r="D434" s="58"/>
      <c r="E434" s="58"/>
      <c r="F434" s="58"/>
      <c r="G434" s="58"/>
      <c r="H434" s="58"/>
      <c r="I434" s="58"/>
    </row>
    <row r="435" spans="2:9" ht="15.5">
      <c r="B435" s="253"/>
      <c r="C435" s="58"/>
      <c r="D435" s="58"/>
      <c r="E435" s="58"/>
      <c r="F435" s="58"/>
      <c r="G435" s="58"/>
      <c r="H435" s="58"/>
      <c r="I435" s="58"/>
    </row>
    <row r="436" spans="2:9" ht="15.5">
      <c r="B436" s="253"/>
      <c r="C436" s="58"/>
      <c r="D436" s="58"/>
      <c r="E436" s="58"/>
      <c r="F436" s="58"/>
      <c r="G436" s="58"/>
      <c r="H436" s="58"/>
      <c r="I436" s="58"/>
    </row>
    <row r="437" spans="2:9" ht="15.5">
      <c r="B437" s="253"/>
      <c r="C437" s="58"/>
      <c r="D437" s="58"/>
      <c r="E437" s="58"/>
      <c r="F437" s="58"/>
      <c r="G437" s="58"/>
      <c r="H437" s="58"/>
      <c r="I437" s="58"/>
    </row>
    <row r="438" spans="2:9" ht="15.5">
      <c r="B438" s="253"/>
      <c r="C438" s="58"/>
      <c r="D438" s="58"/>
      <c r="E438" s="58"/>
      <c r="F438" s="58"/>
      <c r="G438" s="58"/>
      <c r="H438" s="58"/>
      <c r="I438" s="58"/>
    </row>
    <row r="439" spans="2:9" ht="15.5">
      <c r="B439" s="253"/>
      <c r="C439" s="58"/>
      <c r="D439" s="58"/>
      <c r="E439" s="58"/>
      <c r="F439" s="58"/>
      <c r="G439" s="58"/>
      <c r="H439" s="58"/>
      <c r="I439" s="58"/>
    </row>
    <row r="440" spans="2:9" ht="15.5">
      <c r="B440" s="253"/>
      <c r="C440" s="58"/>
      <c r="D440" s="58"/>
      <c r="E440" s="58"/>
      <c r="F440" s="58"/>
      <c r="G440" s="58"/>
      <c r="H440" s="58"/>
      <c r="I440" s="58"/>
    </row>
    <row r="441" spans="2:9" ht="15.5">
      <c r="B441" s="253"/>
      <c r="C441" s="58"/>
      <c r="D441" s="58"/>
      <c r="E441" s="58"/>
      <c r="F441" s="58"/>
      <c r="G441" s="58"/>
      <c r="H441" s="58"/>
      <c r="I441" s="58"/>
    </row>
    <row r="442" spans="2:9" ht="15.5">
      <c r="B442" s="253"/>
      <c r="C442" s="58"/>
      <c r="D442" s="58"/>
      <c r="E442" s="58"/>
      <c r="F442" s="58"/>
      <c r="G442" s="58"/>
      <c r="H442" s="58"/>
      <c r="I442" s="58"/>
    </row>
    <row r="443" spans="2:9" ht="15.5">
      <c r="B443" s="253"/>
      <c r="C443" s="58"/>
      <c r="D443" s="58"/>
      <c r="E443" s="58"/>
      <c r="F443" s="58"/>
      <c r="G443" s="58"/>
      <c r="H443" s="58"/>
      <c r="I443" s="58"/>
    </row>
    <row r="444" spans="2:9" ht="15.5">
      <c r="B444" s="253"/>
      <c r="C444" s="58"/>
      <c r="D444" s="58"/>
      <c r="E444" s="58"/>
      <c r="F444" s="58"/>
      <c r="G444" s="58"/>
      <c r="H444" s="58"/>
      <c r="I444" s="58"/>
    </row>
    <row r="445" spans="2:9" ht="15.5">
      <c r="B445" s="253"/>
      <c r="C445" s="58"/>
      <c r="D445" s="58"/>
      <c r="E445" s="58"/>
      <c r="F445" s="58"/>
      <c r="G445" s="58"/>
      <c r="H445" s="58"/>
      <c r="I445" s="58"/>
    </row>
    <row r="446" spans="2:9" ht="15.5">
      <c r="B446" s="253"/>
      <c r="C446" s="58"/>
      <c r="D446" s="58"/>
      <c r="E446" s="58"/>
      <c r="F446" s="58"/>
      <c r="G446" s="58"/>
      <c r="H446" s="58"/>
      <c r="I446" s="58"/>
    </row>
    <row r="447" spans="2:9" ht="15.5">
      <c r="B447" s="253"/>
      <c r="C447" s="58"/>
      <c r="D447" s="58"/>
      <c r="E447" s="58"/>
      <c r="F447" s="58"/>
      <c r="G447" s="58"/>
      <c r="H447" s="58"/>
      <c r="I447" s="58"/>
    </row>
    <row r="448" spans="2:9" ht="15.5">
      <c r="B448" s="253"/>
      <c r="C448" s="58"/>
      <c r="D448" s="58"/>
      <c r="E448" s="58"/>
      <c r="F448" s="58"/>
      <c r="G448" s="58"/>
      <c r="H448" s="58"/>
      <c r="I448" s="58"/>
    </row>
    <row r="449" spans="2:9" ht="15.5">
      <c r="B449" s="253"/>
      <c r="C449" s="58"/>
      <c r="D449" s="58"/>
      <c r="E449" s="58"/>
      <c r="F449" s="58"/>
      <c r="G449" s="58"/>
      <c r="H449" s="58"/>
      <c r="I449" s="58"/>
    </row>
    <row r="450" spans="2:9" ht="15.5">
      <c r="B450" s="253"/>
      <c r="C450" s="58"/>
      <c r="D450" s="58"/>
      <c r="E450" s="58"/>
      <c r="F450" s="58"/>
      <c r="G450" s="58"/>
      <c r="H450" s="58"/>
      <c r="I450" s="58"/>
    </row>
    <row r="451" spans="2:9" ht="15.5">
      <c r="B451" s="253"/>
      <c r="C451" s="58"/>
      <c r="D451" s="58"/>
      <c r="E451" s="58"/>
      <c r="F451" s="58"/>
      <c r="G451" s="58"/>
      <c r="H451" s="58"/>
      <c r="I451" s="58"/>
    </row>
    <row r="452" spans="2:9" ht="15.5">
      <c r="B452" s="253"/>
      <c r="C452" s="58"/>
      <c r="D452" s="58"/>
      <c r="E452" s="58"/>
      <c r="F452" s="58"/>
      <c r="G452" s="58"/>
      <c r="H452" s="58"/>
      <c r="I452" s="58"/>
    </row>
    <row r="453" spans="2:9" ht="15.5">
      <c r="B453" s="253"/>
      <c r="C453" s="58"/>
      <c r="D453" s="58"/>
      <c r="E453" s="58"/>
      <c r="F453" s="58"/>
      <c r="G453" s="58"/>
      <c r="H453" s="58"/>
      <c r="I453" s="58"/>
    </row>
    <row r="454" spans="2:9" ht="15.5">
      <c r="B454" s="253"/>
      <c r="C454" s="58"/>
      <c r="D454" s="58"/>
      <c r="E454" s="58"/>
      <c r="F454" s="58"/>
      <c r="G454" s="58"/>
      <c r="H454" s="58"/>
      <c r="I454" s="58"/>
    </row>
    <row r="455" spans="2:9" ht="15.5">
      <c r="B455" s="253"/>
      <c r="C455" s="58"/>
      <c r="D455" s="58"/>
      <c r="E455" s="58"/>
      <c r="F455" s="58"/>
      <c r="G455" s="58"/>
      <c r="H455" s="58"/>
      <c r="I455" s="58"/>
    </row>
    <row r="456" spans="2:9" ht="15.5">
      <c r="B456" s="253"/>
      <c r="C456" s="58"/>
      <c r="D456" s="58"/>
      <c r="E456" s="58"/>
      <c r="F456" s="58"/>
      <c r="G456" s="58"/>
      <c r="H456" s="58"/>
      <c r="I456" s="58"/>
    </row>
    <row r="457" spans="2:9" ht="15.5">
      <c r="B457" s="253"/>
      <c r="C457" s="58"/>
      <c r="D457" s="58"/>
      <c r="E457" s="58"/>
      <c r="F457" s="58"/>
      <c r="G457" s="58"/>
      <c r="H457" s="58"/>
      <c r="I457" s="58"/>
    </row>
    <row r="458" spans="2:9" ht="15.5">
      <c r="B458" s="253"/>
      <c r="C458" s="58"/>
      <c r="D458" s="58"/>
      <c r="E458" s="58"/>
      <c r="F458" s="58"/>
      <c r="G458" s="58"/>
      <c r="H458" s="58"/>
      <c r="I458" s="58"/>
    </row>
    <row r="459" spans="2:9" ht="15.5">
      <c r="B459" s="253"/>
      <c r="C459" s="58"/>
      <c r="D459" s="58"/>
      <c r="E459" s="58"/>
      <c r="F459" s="58"/>
      <c r="G459" s="58"/>
      <c r="H459" s="58"/>
      <c r="I459" s="58"/>
    </row>
    <row r="460" spans="2:9" ht="15.5">
      <c r="B460" s="253"/>
      <c r="C460" s="58"/>
      <c r="D460" s="58"/>
      <c r="E460" s="58"/>
      <c r="F460" s="58"/>
      <c r="G460" s="58"/>
      <c r="H460" s="58"/>
      <c r="I460" s="58"/>
    </row>
    <row r="461" spans="2:9" ht="15.5">
      <c r="B461" s="253"/>
      <c r="C461" s="58"/>
      <c r="D461" s="58"/>
      <c r="E461" s="58"/>
      <c r="F461" s="58"/>
      <c r="G461" s="58"/>
      <c r="H461" s="58"/>
      <c r="I461" s="58"/>
    </row>
    <row r="462" spans="2:9" ht="15.5">
      <c r="B462" s="253"/>
      <c r="C462" s="58"/>
      <c r="D462" s="58"/>
      <c r="E462" s="58"/>
      <c r="F462" s="58"/>
      <c r="G462" s="58"/>
      <c r="H462" s="58"/>
      <c r="I462" s="58"/>
    </row>
    <row r="463" spans="2:9" ht="15.5">
      <c r="B463" s="253"/>
      <c r="C463" s="58"/>
      <c r="D463" s="58"/>
      <c r="E463" s="58"/>
      <c r="F463" s="58"/>
      <c r="G463" s="58"/>
      <c r="H463" s="58"/>
      <c r="I463" s="58"/>
    </row>
    <row r="464" spans="2:9" ht="15.5">
      <c r="B464" s="253"/>
      <c r="C464" s="58"/>
      <c r="D464" s="58"/>
      <c r="E464" s="58"/>
      <c r="F464" s="58"/>
      <c r="G464" s="58"/>
      <c r="H464" s="58"/>
      <c r="I464" s="58"/>
    </row>
    <row r="465" spans="2:9" ht="15.5">
      <c r="B465" s="253"/>
      <c r="C465" s="58"/>
      <c r="D465" s="58"/>
      <c r="E465" s="58"/>
      <c r="F465" s="58"/>
      <c r="G465" s="58"/>
      <c r="H465" s="58"/>
      <c r="I465" s="58"/>
    </row>
    <row r="466" spans="2:9" ht="15.5">
      <c r="B466" s="253"/>
      <c r="C466" s="58"/>
      <c r="D466" s="58"/>
      <c r="E466" s="58"/>
      <c r="F466" s="58"/>
      <c r="G466" s="58"/>
      <c r="H466" s="58"/>
      <c r="I466" s="58"/>
    </row>
    <row r="467" spans="2:9" ht="15.5">
      <c r="B467" s="253"/>
      <c r="C467" s="58"/>
      <c r="D467" s="58"/>
      <c r="E467" s="58"/>
      <c r="F467" s="58"/>
      <c r="G467" s="58"/>
      <c r="H467" s="58"/>
      <c r="I467" s="58"/>
    </row>
    <row r="468" spans="2:9" ht="15.5">
      <c r="B468" s="253"/>
      <c r="C468" s="58"/>
      <c r="D468" s="58"/>
      <c r="E468" s="58"/>
      <c r="F468" s="58"/>
      <c r="G468" s="58"/>
      <c r="H468" s="58"/>
      <c r="I468" s="58"/>
    </row>
    <row r="469" spans="2:9" ht="15.5">
      <c r="B469" s="253"/>
      <c r="C469" s="58"/>
      <c r="D469" s="58"/>
      <c r="E469" s="58"/>
      <c r="F469" s="58"/>
      <c r="G469" s="58"/>
      <c r="H469" s="58"/>
      <c r="I469" s="58"/>
    </row>
    <row r="470" spans="2:9" ht="15.5">
      <c r="B470" s="253"/>
      <c r="C470" s="58"/>
      <c r="D470" s="58"/>
      <c r="E470" s="58"/>
      <c r="F470" s="58"/>
      <c r="G470" s="58"/>
      <c r="H470" s="58"/>
      <c r="I470" s="58"/>
    </row>
    <row r="471" spans="2:9" ht="15.5">
      <c r="B471" s="253"/>
      <c r="C471" s="58"/>
      <c r="D471" s="58"/>
      <c r="E471" s="58"/>
      <c r="F471" s="58"/>
      <c r="G471" s="58"/>
      <c r="H471" s="58"/>
      <c r="I471" s="58"/>
    </row>
    <row r="472" spans="2:9" ht="15.5">
      <c r="B472" s="253"/>
      <c r="C472" s="58"/>
      <c r="D472" s="58"/>
      <c r="E472" s="58"/>
      <c r="F472" s="58"/>
      <c r="G472" s="58"/>
      <c r="H472" s="58"/>
      <c r="I472" s="58"/>
    </row>
    <row r="473" spans="2:9" ht="15.5">
      <c r="B473" s="253"/>
      <c r="C473" s="58"/>
      <c r="D473" s="58"/>
      <c r="E473" s="58"/>
      <c r="F473" s="58"/>
      <c r="G473" s="58"/>
      <c r="H473" s="58"/>
      <c r="I473" s="58"/>
    </row>
    <row r="474" spans="2:9" ht="15.5">
      <c r="B474" s="253"/>
      <c r="C474" s="58"/>
      <c r="D474" s="58"/>
      <c r="E474" s="58"/>
      <c r="F474" s="58"/>
      <c r="G474" s="58"/>
      <c r="H474" s="58"/>
      <c r="I474" s="58"/>
    </row>
    <row r="475" spans="2:9" ht="15.5">
      <c r="B475" s="253"/>
      <c r="C475" s="58"/>
      <c r="D475" s="58"/>
      <c r="E475" s="58"/>
      <c r="F475" s="58"/>
      <c r="G475" s="58"/>
      <c r="H475" s="58"/>
      <c r="I475" s="58"/>
    </row>
    <row r="476" spans="2:9" ht="15.5">
      <c r="B476" s="253"/>
      <c r="C476" s="58"/>
      <c r="D476" s="58"/>
      <c r="E476" s="58"/>
      <c r="F476" s="58"/>
      <c r="G476" s="58"/>
      <c r="H476" s="58"/>
      <c r="I476" s="58"/>
    </row>
    <row r="477" spans="2:9" ht="15.5">
      <c r="B477" s="253"/>
      <c r="C477" s="58"/>
      <c r="D477" s="58"/>
      <c r="E477" s="58"/>
      <c r="F477" s="58"/>
      <c r="G477" s="58"/>
      <c r="H477" s="58"/>
      <c r="I477" s="58"/>
    </row>
    <row r="478" spans="2:9" ht="15.5">
      <c r="B478" s="253"/>
      <c r="C478" s="58"/>
      <c r="D478" s="58"/>
      <c r="E478" s="58"/>
      <c r="F478" s="58"/>
      <c r="G478" s="58"/>
      <c r="H478" s="58"/>
      <c r="I478" s="58"/>
    </row>
    <row r="479" spans="2:9" ht="15.5">
      <c r="B479" s="253"/>
      <c r="C479" s="58"/>
      <c r="D479" s="58"/>
      <c r="E479" s="58"/>
      <c r="F479" s="58"/>
      <c r="G479" s="58"/>
      <c r="H479" s="58"/>
      <c r="I479" s="58"/>
    </row>
    <row r="480" spans="2:9" ht="15.5">
      <c r="B480" s="253"/>
      <c r="C480" s="58"/>
      <c r="D480" s="58"/>
      <c r="E480" s="58"/>
      <c r="F480" s="58"/>
      <c r="G480" s="58"/>
      <c r="H480" s="58"/>
      <c r="I480" s="58"/>
    </row>
    <row r="481" spans="2:9" ht="15.5">
      <c r="B481" s="253"/>
      <c r="C481" s="58"/>
      <c r="D481" s="58"/>
      <c r="E481" s="58"/>
      <c r="F481" s="58"/>
      <c r="G481" s="58"/>
      <c r="H481" s="58"/>
      <c r="I481" s="58"/>
    </row>
    <row r="482" spans="2:9" ht="15.5">
      <c r="B482" s="253"/>
      <c r="C482" s="58"/>
      <c r="D482" s="58"/>
      <c r="E482" s="58"/>
      <c r="F482" s="58"/>
      <c r="G482" s="58"/>
      <c r="H482" s="58"/>
      <c r="I482" s="58"/>
    </row>
    <row r="483" spans="2:9" ht="15.5">
      <c r="B483" s="253"/>
      <c r="C483" s="58"/>
      <c r="D483" s="58"/>
      <c r="E483" s="58"/>
      <c r="F483" s="58"/>
      <c r="G483" s="58"/>
      <c r="H483" s="58"/>
      <c r="I483" s="58"/>
    </row>
    <row r="484" spans="2:9" ht="15.5">
      <c r="B484" s="253"/>
      <c r="C484" s="58"/>
      <c r="D484" s="58"/>
      <c r="E484" s="58"/>
      <c r="F484" s="58"/>
      <c r="G484" s="58"/>
      <c r="H484" s="58"/>
      <c r="I484" s="58"/>
    </row>
    <row r="485" spans="2:9" ht="15.5">
      <c r="B485" s="253"/>
      <c r="C485" s="58"/>
      <c r="D485" s="58"/>
      <c r="E485" s="58"/>
      <c r="F485" s="58"/>
      <c r="G485" s="58"/>
      <c r="H485" s="58"/>
      <c r="I485" s="58"/>
    </row>
    <row r="486" spans="2:9" ht="15.5">
      <c r="B486" s="253"/>
      <c r="C486" s="58"/>
      <c r="D486" s="58"/>
      <c r="E486" s="58"/>
      <c r="F486" s="58"/>
      <c r="G486" s="58"/>
      <c r="H486" s="58"/>
      <c r="I486" s="58"/>
    </row>
    <row r="487" spans="2:9" ht="15.5">
      <c r="B487" s="253"/>
      <c r="C487" s="58"/>
      <c r="D487" s="58"/>
      <c r="E487" s="58"/>
      <c r="F487" s="58"/>
      <c r="G487" s="58"/>
      <c r="H487" s="58"/>
      <c r="I487" s="58"/>
    </row>
    <row r="488" spans="2:9" ht="15.5">
      <c r="B488" s="253"/>
      <c r="C488" s="58"/>
      <c r="D488" s="58"/>
      <c r="E488" s="58"/>
      <c r="F488" s="58"/>
      <c r="G488" s="58"/>
      <c r="H488" s="58"/>
      <c r="I488" s="58"/>
    </row>
    <row r="489" spans="2:9" ht="15.5">
      <c r="B489" s="253"/>
      <c r="C489" s="58"/>
      <c r="D489" s="58"/>
      <c r="E489" s="58"/>
      <c r="F489" s="58"/>
      <c r="G489" s="58"/>
      <c r="H489" s="58"/>
      <c r="I489" s="58"/>
    </row>
    <row r="490" spans="2:9" ht="15.5">
      <c r="B490" s="253"/>
      <c r="C490" s="58"/>
      <c r="D490" s="58"/>
      <c r="E490" s="58"/>
      <c r="F490" s="58"/>
      <c r="G490" s="58"/>
      <c r="H490" s="58"/>
      <c r="I490" s="58"/>
    </row>
    <row r="491" spans="2:9" ht="15.5">
      <c r="B491" s="253"/>
      <c r="C491" s="58"/>
      <c r="D491" s="58"/>
      <c r="E491" s="58"/>
      <c r="F491" s="58"/>
      <c r="G491" s="58"/>
      <c r="H491" s="58"/>
      <c r="I491" s="58"/>
    </row>
    <row r="492" spans="2:9" ht="15.5">
      <c r="B492" s="253"/>
      <c r="C492" s="58"/>
      <c r="D492" s="58"/>
      <c r="E492" s="58"/>
      <c r="F492" s="58"/>
      <c r="G492" s="58"/>
      <c r="H492" s="58"/>
      <c r="I492" s="58"/>
    </row>
    <row r="493" spans="2:9" ht="15.5">
      <c r="B493" s="253"/>
      <c r="C493" s="58"/>
      <c r="D493" s="58"/>
      <c r="E493" s="58"/>
      <c r="F493" s="58"/>
      <c r="G493" s="58"/>
      <c r="H493" s="58"/>
      <c r="I493" s="58"/>
    </row>
    <row r="494" spans="2:9" ht="15.5">
      <c r="B494" s="253"/>
      <c r="C494" s="58"/>
      <c r="D494" s="58"/>
      <c r="E494" s="58"/>
      <c r="F494" s="58"/>
      <c r="G494" s="58"/>
      <c r="H494" s="58"/>
      <c r="I494" s="58"/>
    </row>
    <row r="495" spans="2:9" ht="15.5">
      <c r="B495" s="253"/>
      <c r="C495" s="58"/>
      <c r="D495" s="58"/>
      <c r="E495" s="58"/>
      <c r="F495" s="58"/>
      <c r="G495" s="58"/>
      <c r="H495" s="58"/>
      <c r="I495" s="58"/>
    </row>
    <row r="496" spans="2:9" ht="15.5">
      <c r="B496" s="253"/>
      <c r="C496" s="58"/>
      <c r="D496" s="58"/>
      <c r="E496" s="58"/>
      <c r="F496" s="58"/>
      <c r="G496" s="58"/>
      <c r="H496" s="58"/>
      <c r="I496" s="58"/>
    </row>
    <row r="497" spans="2:9" ht="15.5">
      <c r="B497" s="253"/>
      <c r="C497" s="58"/>
      <c r="D497" s="58"/>
      <c r="E497" s="58"/>
      <c r="F497" s="58"/>
      <c r="G497" s="58"/>
      <c r="H497" s="58"/>
      <c r="I497" s="58"/>
    </row>
    <row r="498" spans="2:9" ht="15.5">
      <c r="B498" s="253"/>
      <c r="C498" s="58"/>
      <c r="D498" s="58"/>
      <c r="E498" s="58"/>
      <c r="F498" s="58"/>
      <c r="G498" s="58"/>
      <c r="H498" s="58"/>
      <c r="I498" s="58"/>
    </row>
    <row r="499" spans="2:9" ht="15.5">
      <c r="B499" s="253"/>
      <c r="C499" s="58"/>
      <c r="D499" s="58"/>
      <c r="E499" s="58"/>
      <c r="F499" s="58"/>
      <c r="G499" s="58"/>
      <c r="H499" s="58"/>
      <c r="I499" s="58"/>
    </row>
    <row r="500" spans="2:9" ht="15.5">
      <c r="B500" s="253"/>
      <c r="C500" s="58"/>
      <c r="D500" s="58"/>
      <c r="E500" s="58"/>
      <c r="F500" s="58"/>
      <c r="G500" s="58"/>
      <c r="H500" s="58"/>
      <c r="I500" s="58"/>
    </row>
    <row r="501" spans="2:9" ht="15.5">
      <c r="B501" s="253"/>
      <c r="C501" s="58"/>
      <c r="D501" s="58"/>
      <c r="E501" s="58"/>
      <c r="F501" s="58"/>
      <c r="G501" s="58"/>
      <c r="H501" s="58"/>
      <c r="I501" s="58"/>
    </row>
    <row r="502" spans="2:9" ht="15.5">
      <c r="B502" s="253"/>
      <c r="C502" s="58"/>
      <c r="D502" s="58"/>
      <c r="E502" s="58"/>
      <c r="F502" s="58"/>
      <c r="G502" s="58"/>
      <c r="H502" s="58"/>
      <c r="I502" s="58"/>
    </row>
    <row r="503" spans="2:9" ht="15.5">
      <c r="B503" s="253"/>
      <c r="C503" s="58"/>
      <c r="D503" s="58"/>
      <c r="E503" s="58"/>
      <c r="F503" s="58"/>
      <c r="G503" s="58"/>
      <c r="H503" s="58"/>
      <c r="I503" s="58"/>
    </row>
    <row r="504" spans="2:9" ht="15.5">
      <c r="B504" s="253"/>
      <c r="C504" s="58"/>
      <c r="D504" s="58"/>
      <c r="E504" s="58"/>
      <c r="F504" s="58"/>
      <c r="G504" s="58"/>
      <c r="H504" s="58"/>
      <c r="I504" s="58"/>
    </row>
    <row r="505" spans="2:9" ht="15.5">
      <c r="B505" s="253"/>
      <c r="C505" s="58"/>
      <c r="D505" s="58"/>
      <c r="E505" s="58"/>
      <c r="F505" s="58"/>
      <c r="G505" s="58"/>
      <c r="H505" s="58"/>
      <c r="I505" s="58"/>
    </row>
    <row r="506" spans="2:9" ht="15.5">
      <c r="B506" s="253"/>
      <c r="C506" s="58"/>
      <c r="D506" s="58"/>
      <c r="E506" s="58"/>
      <c r="F506" s="58"/>
      <c r="G506" s="58"/>
      <c r="H506" s="58"/>
      <c r="I506" s="58"/>
    </row>
    <row r="507" spans="2:9" ht="15.5">
      <c r="B507" s="253"/>
      <c r="C507" s="58"/>
      <c r="D507" s="58"/>
      <c r="E507" s="58"/>
      <c r="F507" s="58"/>
      <c r="G507" s="58"/>
      <c r="H507" s="58"/>
      <c r="I507" s="58"/>
    </row>
    <row r="508" spans="2:9" ht="15.5">
      <c r="B508" s="253"/>
      <c r="C508" s="58"/>
      <c r="D508" s="58"/>
      <c r="E508" s="58"/>
      <c r="F508" s="58"/>
      <c r="G508" s="58"/>
      <c r="H508" s="58"/>
      <c r="I508" s="58"/>
    </row>
  </sheetData>
  <mergeCells count="14">
    <mergeCell ref="B1:I1"/>
    <mergeCell ref="B2:I2"/>
    <mergeCell ref="B3:I3"/>
    <mergeCell ref="B43:I43"/>
    <mergeCell ref="B96:I96"/>
    <mergeCell ref="B47:I47"/>
    <mergeCell ref="B51:I51"/>
    <mergeCell ref="B52:I52"/>
    <mergeCell ref="B53:I53"/>
    <mergeCell ref="B54:I54"/>
    <mergeCell ref="B71:I71"/>
    <mergeCell ref="B72:I72"/>
    <mergeCell ref="B93:I93"/>
    <mergeCell ref="B67:I67"/>
  </mergeCells>
  <printOptions horizontalCentered="1"/>
  <pageMargins left="0.75" right="0.75" top="1" bottom="1" header="0.5" footer="0.5"/>
  <pageSetup fitToHeight="2" orientation="landscape" scale="33" r:id="rId1"/>
  <headerFooter alignWithMargins="0"/>
  <rowBreaks count="1" manualBreakCount="1">
    <brk id="50" max="8" man="1"/>
  </rowBreaks>
  <customProperties>
    <customPr name="EpmWorksheetKeyString_GUID" r:id="rId2"/>
    <customPr name="_pios_id" r:id="rId3"/>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3:I120"/>
  <sheetViews>
    <sheetView zoomScale="70" zoomScaleNormal="70" zoomScaleSheetLayoutView="50" workbookViewId="0" topLeftCell="A1"/>
  </sheetViews>
  <sheetFormatPr defaultRowHeight="12.75"/>
  <cols>
    <col min="1" max="1" width="5.14285714285714" style="640" customWidth="1"/>
    <col min="2" max="2" width="28.4285714285714" customWidth="1"/>
    <col min="3" max="3" width="60.5714285714286" bestFit="1" customWidth="1"/>
    <col min="4" max="4" width="22.7142857142857" customWidth="1"/>
    <col min="5" max="5" width="28.7142857142857" customWidth="1"/>
    <col min="6" max="6" width="24.2857142857143" customWidth="1"/>
    <col min="7" max="7" width="24" bestFit="1" customWidth="1"/>
    <col min="8" max="8" width="24" style="640" customWidth="1"/>
    <col min="9" max="9" width="142" customWidth="1"/>
  </cols>
  <sheetData>
    <row r="3" spans="1:9" ht="18">
      <c r="A3" s="975"/>
      <c r="B3" s="1152" t="s">
        <v>0</v>
      </c>
      <c r="C3" s="1152"/>
      <c r="D3" s="1152"/>
      <c r="E3" s="1152"/>
      <c r="F3" s="1152"/>
      <c r="G3" s="1152"/>
      <c r="H3" s="1152"/>
      <c r="I3" s="1152"/>
    </row>
    <row r="4" spans="1:9" ht="18">
      <c r="A4" s="975"/>
      <c r="B4" s="1153" t="s">
        <v>1</v>
      </c>
      <c r="C4" s="1153"/>
      <c r="D4" s="1153"/>
      <c r="E4" s="1153"/>
      <c r="F4" s="1153"/>
      <c r="G4" s="1153"/>
      <c r="H4" s="1153"/>
      <c r="I4" s="1153"/>
    </row>
    <row r="5" spans="1:9" ht="18">
      <c r="A5" s="975"/>
      <c r="B5" s="1153" t="s">
        <v>814</v>
      </c>
      <c r="C5" s="1153"/>
      <c r="D5" s="1153"/>
      <c r="E5" s="1153"/>
      <c r="F5" s="1153"/>
      <c r="G5" s="1153"/>
      <c r="H5" s="1153"/>
      <c r="I5" s="1153"/>
    </row>
    <row r="6" spans="1:9" ht="15.5">
      <c r="A6" s="975"/>
      <c r="B6" s="587"/>
      <c r="C6" s="222"/>
      <c r="D6" s="222"/>
      <c r="E6" s="222"/>
      <c r="F6" s="222"/>
      <c r="G6" s="222"/>
      <c r="H6" s="222"/>
      <c r="I6" s="222"/>
    </row>
    <row r="7" spans="1:9" ht="18">
      <c r="A7" s="975"/>
      <c r="B7" s="1019"/>
      <c r="C7" s="4"/>
      <c r="D7" s="223" t="s">
        <v>224</v>
      </c>
      <c r="E7" s="223"/>
      <c r="F7" s="220"/>
      <c r="G7" s="223"/>
      <c r="H7" s="223"/>
      <c r="I7" s="220"/>
    </row>
    <row r="8" spans="1:9" ht="17.5">
      <c r="A8" s="975"/>
      <c r="B8" s="224"/>
      <c r="C8" s="220"/>
      <c r="D8" s="223" t="s">
        <v>225</v>
      </c>
      <c r="E8" s="223" t="s">
        <v>226</v>
      </c>
      <c r="F8" s="223" t="s">
        <v>227</v>
      </c>
      <c r="G8" s="698"/>
      <c r="H8" s="698" t="s">
        <v>65</v>
      </c>
      <c r="I8" s="925"/>
    </row>
    <row r="9" spans="1:9" ht="17.5">
      <c r="A9" s="975"/>
      <c r="B9" s="224"/>
      <c r="C9" s="220"/>
      <c r="D9" s="223" t="s">
        <v>229</v>
      </c>
      <c r="E9" s="223" t="s">
        <v>229</v>
      </c>
      <c r="F9" s="223" t="s">
        <v>229</v>
      </c>
      <c r="G9" s="698"/>
      <c r="H9" s="698" t="s">
        <v>230</v>
      </c>
      <c r="I9" s="926"/>
    </row>
    <row r="10" spans="1:9" ht="25">
      <c r="A10" s="975"/>
      <c r="B10" s="573"/>
      <c r="C10" s="570"/>
      <c r="D10" s="570"/>
      <c r="E10" s="570"/>
      <c r="F10" s="570"/>
      <c r="G10" s="570"/>
      <c r="H10" s="570"/>
      <c r="I10" s="926"/>
    </row>
    <row r="11" spans="1:9" ht="15.5">
      <c r="A11" s="975"/>
      <c r="B11" s="224"/>
      <c r="C11" s="220"/>
      <c r="D11" s="220"/>
      <c r="E11" s="220"/>
      <c r="F11" s="220"/>
      <c r="G11" s="220"/>
      <c r="H11" s="220"/>
      <c r="I11" s="220"/>
    </row>
    <row r="12" spans="1:9" ht="15.5">
      <c r="A12" s="637">
        <f>+A11+1</f>
        <v>1</v>
      </c>
      <c r="B12" s="224"/>
      <c r="C12" s="229" t="s">
        <v>241</v>
      </c>
      <c r="D12" s="226">
        <f>+E47</f>
        <v>0</v>
      </c>
      <c r="E12" s="226">
        <f>+F47</f>
        <v>0</v>
      </c>
      <c r="F12" s="226">
        <f>+G47</f>
        <v>0</v>
      </c>
      <c r="G12" s="226"/>
      <c r="H12" s="226"/>
      <c r="I12" s="641" t="str">
        <f>"(Line "&amp;A47&amp;")"</f>
        <v>(Line 26)</v>
      </c>
    </row>
    <row r="13" spans="1:9" s="712" customFormat="1" ht="15.5">
      <c r="A13" s="637">
        <f>+A12+1</f>
        <v>2</v>
      </c>
      <c r="B13" s="224"/>
      <c r="C13" s="229" t="s">
        <v>232</v>
      </c>
      <c r="D13" s="226">
        <f>+E67</f>
        <v>0</v>
      </c>
      <c r="E13" s="226">
        <f>+F67</f>
        <v>0</v>
      </c>
      <c r="F13" s="226">
        <f>+G67</f>
        <v>0</v>
      </c>
      <c r="G13" s="226"/>
      <c r="H13" s="226"/>
      <c r="I13" s="641" t="str">
        <f>"(Line "&amp;A67&amp;")"</f>
        <v>(Line 29)</v>
      </c>
    </row>
    <row r="14" spans="1:9" ht="15.5">
      <c r="A14" s="637">
        <f>+A13+1</f>
        <v>3</v>
      </c>
      <c r="B14" s="224"/>
      <c r="C14" s="229" t="s">
        <v>283</v>
      </c>
      <c r="D14" s="226">
        <f>+E97</f>
        <v>0</v>
      </c>
      <c r="E14" s="226">
        <f>+F97</f>
        <v>0</v>
      </c>
      <c r="F14" s="226">
        <f>+G97</f>
        <v>0</v>
      </c>
      <c r="G14" s="226"/>
      <c r="H14" s="226"/>
      <c r="I14" s="641" t="str">
        <f>"(Line "&amp;A97&amp;")"</f>
        <v>(Line 40)</v>
      </c>
    </row>
    <row r="15" spans="1:9" ht="15.5">
      <c r="A15" s="637">
        <f>+A14+1</f>
        <v>4</v>
      </c>
      <c r="B15" s="224"/>
      <c r="C15" s="229" t="s">
        <v>85</v>
      </c>
      <c r="D15" s="226">
        <f>SUM(D12:D14)</f>
        <v>0</v>
      </c>
      <c r="E15" s="226">
        <f t="shared" si="0" ref="E15:F15">SUM(E12:E14)</f>
        <v>0</v>
      </c>
      <c r="F15" s="226">
        <f>SUM(F12:F14)</f>
        <v>0</v>
      </c>
      <c r="G15" s="226"/>
      <c r="H15" s="226"/>
      <c r="I15" s="641" t="str">
        <f>"(Line "&amp;A12&amp;" + Line "&amp;A13&amp;" + Line "&amp;A14&amp;")"</f>
        <v>(Line 1 + Line 2 + Line 3)</v>
      </c>
    </row>
    <row r="16" spans="1:9" ht="15.5">
      <c r="A16" s="637">
        <f t="shared" si="1" ref="A16:A20">+A15+1</f>
        <v>5</v>
      </c>
      <c r="B16" s="224"/>
      <c r="C16" s="229" t="s">
        <v>13</v>
      </c>
      <c r="D16" s="220"/>
      <c r="E16" s="220"/>
      <c r="F16" s="725">
        <f>+'Appendix A'!H16</f>
        <v>0.09138981159089922</v>
      </c>
      <c r="G16" s="220"/>
      <c r="H16" s="220"/>
      <c r="I16" s="28" t="str">
        <f>"(Appendix A, Line "&amp;'Appendix A'!A16&amp;")"</f>
        <v>(Appendix A, Line 5)</v>
      </c>
    </row>
    <row r="17" spans="1:9" ht="15.5">
      <c r="A17" s="637">
        <f>+A16+1</f>
        <v>6</v>
      </c>
      <c r="B17" s="224"/>
      <c r="C17" s="229" t="s">
        <v>21</v>
      </c>
      <c r="D17" s="220"/>
      <c r="E17" s="725">
        <f>+'Appendix A'!H27</f>
        <v>0.16002770040064465</v>
      </c>
      <c r="F17" s="220"/>
      <c r="G17" s="220"/>
      <c r="H17" s="220"/>
      <c r="I17" s="28" t="str">
        <f>"(Appendix A, Line "&amp;'Appendix A'!A27&amp;")"</f>
        <v>(Appendix A, Line 12)</v>
      </c>
    </row>
    <row r="18" spans="1:9" ht="15.5">
      <c r="A18" s="637">
        <f>+A17+1</f>
        <v>7</v>
      </c>
      <c r="B18" s="224"/>
      <c r="C18" s="229" t="s">
        <v>234</v>
      </c>
      <c r="D18" s="858">
        <f>+D15</f>
        <v>0</v>
      </c>
      <c r="E18" s="858">
        <f>+E17*E15</f>
        <v>0</v>
      </c>
      <c r="F18" s="858">
        <f>+F16*F15</f>
        <v>0</v>
      </c>
      <c r="G18" s="858"/>
      <c r="H18" s="858">
        <f>+SUM(D18:G18)</f>
        <v>0</v>
      </c>
      <c r="I18" s="641" t="str">
        <f>"(Line "&amp;A15&amp;" * Line "&amp;A16&amp;" or Line "&amp;A17&amp;")"</f>
        <v>(Line 4 * Line 5 or Line 6)</v>
      </c>
    </row>
    <row r="19" spans="1:9" ht="15.5">
      <c r="A19" s="637">
        <f>+A18+1</f>
        <v>8</v>
      </c>
      <c r="B19" s="224"/>
      <c r="C19" s="229" t="s">
        <v>235</v>
      </c>
      <c r="D19" s="858">
        <f>+'1C - ADIT Prior Year'!D15</f>
        <v>-11203668</v>
      </c>
      <c r="E19" s="858">
        <f>+'1C - ADIT Prior Year'!E15</f>
        <v>-41657.610829793812</v>
      </c>
      <c r="F19" s="858">
        <f>+'1C - ADIT Prior Year'!F15</f>
        <v>131078.76174821812</v>
      </c>
      <c r="G19" s="858"/>
      <c r="H19" s="858">
        <f>+SUM(D19:G19)</f>
        <v>-11114246.849081574</v>
      </c>
      <c r="I19" s="641" t="str">
        <f>"(Attachment 1C - ADIT Prior Year, Line "&amp;A18&amp;")"</f>
        <v>(Attachment 1C - ADIT Prior Year, Line 7)</v>
      </c>
    </row>
    <row r="20" spans="1:9" ht="15.5">
      <c r="A20" s="637">
        <f>+A19+1</f>
        <v>9</v>
      </c>
      <c r="B20" s="224"/>
      <c r="C20" s="229" t="s">
        <v>359</v>
      </c>
      <c r="D20" s="858">
        <f>(D18+D19)/2</f>
        <v>-5601834</v>
      </c>
      <c r="E20" s="858">
        <f>(E18+E19)/2</f>
        <v>-20828.805414896906</v>
      </c>
      <c r="F20" s="858">
        <f>(F18+F19)/2</f>
        <v>65539.380874109062</v>
      </c>
      <c r="G20" s="858"/>
      <c r="H20" s="858">
        <f>+SUM(D20:G20)</f>
        <v>-5557123.424540787</v>
      </c>
      <c r="I20" s="641" t="str">
        <f>"(Average of Line "&amp;A18&amp;" + Line "&amp;A19&amp;")"</f>
        <v>(Average of Line 7 + Line 8)</v>
      </c>
    </row>
    <row r="21" spans="1:9" s="712" customFormat="1" ht="15.5">
      <c r="A21" s="637">
        <f>+A20+1</f>
        <v>10</v>
      </c>
      <c r="B21" s="229"/>
      <c r="C21" s="229" t="s">
        <v>237</v>
      </c>
      <c r="D21" s="858"/>
      <c r="E21" s="858"/>
      <c r="F21" s="858"/>
      <c r="G21" s="858"/>
      <c r="H21" s="858">
        <f>+'1E - ADIT True-Up Proration'!Q27</f>
        <v>0</v>
      </c>
      <c r="I21" s="28" t="str">
        <f>"(Attachment 1E, Line "&amp;'1E - ADIT True-Up Proration'!A27&amp;")"</f>
        <v>(Attachment 1E, Line 13)</v>
      </c>
    </row>
    <row r="22" spans="1:9" s="712" customFormat="1" ht="15.5">
      <c r="A22" s="637">
        <f>+A21+1</f>
        <v>11</v>
      </c>
      <c r="B22" s="229"/>
      <c r="C22" s="229" t="s">
        <v>360</v>
      </c>
      <c r="D22" s="858"/>
      <c r="E22" s="858"/>
      <c r="F22" s="858"/>
      <c r="G22" s="858"/>
      <c r="H22" s="859">
        <f>+H20+H21</f>
        <v>-5557123.424540787</v>
      </c>
      <c r="I22" s="216"/>
    </row>
    <row r="23" spans="1:9" s="712" customFormat="1" ht="15.5">
      <c r="A23" s="637"/>
      <c r="B23" s="229"/>
      <c r="C23" s="229"/>
      <c r="D23" s="226"/>
      <c r="E23" s="220"/>
      <c r="F23" s="220"/>
      <c r="G23" s="220"/>
      <c r="H23" s="227"/>
      <c r="I23" s="216"/>
    </row>
    <row r="24" spans="1:9" ht="15.5">
      <c r="A24" s="975"/>
      <c r="B24" s="220" t="s">
        <v>239</v>
      </c>
      <c r="C24" s="220"/>
      <c r="D24" s="220"/>
      <c r="E24" s="220"/>
      <c r="F24" s="220"/>
      <c r="G24" s="220"/>
      <c r="H24" s="220"/>
      <c r="I24" s="220"/>
    </row>
    <row r="25" spans="1:9" s="712" customFormat="1" ht="15.5">
      <c r="A25" s="975"/>
      <c r="B25" s="220"/>
      <c r="C25" s="220"/>
      <c r="D25" s="220"/>
      <c r="E25" s="220"/>
      <c r="F25" s="220"/>
      <c r="G25" s="220"/>
      <c r="H25" s="220"/>
      <c r="I25" s="220"/>
    </row>
    <row r="26" spans="1:9" ht="15.5">
      <c r="A26" s="975"/>
      <c r="B26" s="224" t="s">
        <v>978</v>
      </c>
      <c r="C26" s="220"/>
      <c r="D26" s="220"/>
      <c r="E26" s="220"/>
      <c r="F26" s="220"/>
      <c r="G26" s="220"/>
      <c r="H26" s="220"/>
      <c r="I26" s="220"/>
    </row>
    <row r="27" spans="1:9" ht="15.5">
      <c r="A27" s="975"/>
      <c r="B27" s="224" t="s">
        <v>240</v>
      </c>
      <c r="C27" s="220"/>
      <c r="D27" s="220"/>
      <c r="E27" s="220"/>
      <c r="F27" s="220"/>
      <c r="G27" s="220"/>
      <c r="H27" s="220"/>
      <c r="I27" s="220"/>
    </row>
    <row r="28" spans="1:9" ht="15.5">
      <c r="A28" s="975"/>
      <c r="B28" s="224"/>
      <c r="C28" s="220"/>
      <c r="D28" s="220"/>
      <c r="E28" s="220"/>
      <c r="F28" s="220"/>
      <c r="G28" s="225"/>
      <c r="H28" s="225"/>
      <c r="I28" s="220"/>
    </row>
    <row r="29" spans="1:9" ht="15.5">
      <c r="A29" s="975"/>
      <c r="B29" s="230" t="s">
        <v>195</v>
      </c>
      <c r="C29" s="231" t="s">
        <v>197</v>
      </c>
      <c r="D29" s="231" t="s">
        <v>198</v>
      </c>
      <c r="E29" s="231" t="s">
        <v>199</v>
      </c>
      <c r="F29" s="231" t="s">
        <v>201</v>
      </c>
      <c r="G29" s="231" t="s">
        <v>203</v>
      </c>
      <c r="H29" s="230"/>
      <c r="I29" s="231" t="s">
        <v>205</v>
      </c>
    </row>
    <row r="30" spans="1:9" ht="15.5">
      <c r="A30" s="975"/>
      <c r="B30" s="224"/>
      <c r="C30" s="223" t="s">
        <v>65</v>
      </c>
      <c r="D30" s="223"/>
      <c r="E30" s="223" t="s">
        <v>224</v>
      </c>
      <c r="F30" s="223"/>
      <c r="G30" s="223"/>
      <c r="H30" s="223"/>
      <c r="I30" s="216"/>
    </row>
    <row r="31" spans="1:9" ht="15.5">
      <c r="A31" s="975"/>
      <c r="B31" s="232" t="s">
        <v>241</v>
      </c>
      <c r="C31" s="223"/>
      <c r="D31" s="223"/>
      <c r="E31" s="223" t="s">
        <v>225</v>
      </c>
      <c r="F31" s="223" t="s">
        <v>226</v>
      </c>
      <c r="G31" s="223" t="s">
        <v>227</v>
      </c>
      <c r="H31" s="223"/>
      <c r="I31" s="216"/>
    </row>
    <row r="32" spans="1:9" ht="16" thickBot="1">
      <c r="A32" s="975"/>
      <c r="B32" s="224"/>
      <c r="C32" s="223"/>
      <c r="D32" s="223" t="s">
        <v>242</v>
      </c>
      <c r="E32" s="223" t="s">
        <v>229</v>
      </c>
      <c r="F32" s="223" t="s">
        <v>229</v>
      </c>
      <c r="G32" s="223" t="s">
        <v>229</v>
      </c>
      <c r="H32" s="697"/>
      <c r="I32" s="223" t="s">
        <v>243</v>
      </c>
    </row>
    <row r="33" spans="1:9" ht="27.65" customHeight="1">
      <c r="A33" s="637">
        <f>+A22+1</f>
        <v>12</v>
      </c>
      <c r="B33" s="555" t="s">
        <v>244</v>
      </c>
      <c r="C33" s="837">
        <v>0</v>
      </c>
      <c r="D33" s="838">
        <v>0</v>
      </c>
      <c r="E33" s="838">
        <v>0</v>
      </c>
      <c r="F33" s="838">
        <v>0</v>
      </c>
      <c r="G33" s="838">
        <v>0</v>
      </c>
      <c r="H33" s="1048"/>
      <c r="I33" s="651" t="s">
        <v>245</v>
      </c>
    </row>
    <row r="34" spans="1:9" ht="30.65" customHeight="1">
      <c r="A34" s="637">
        <f>+A33+1</f>
        <v>13</v>
      </c>
      <c r="B34" s="557" t="s">
        <v>246</v>
      </c>
      <c r="C34" s="839">
        <v>0</v>
      </c>
      <c r="D34" s="840">
        <v>0</v>
      </c>
      <c r="E34" s="840">
        <v>0</v>
      </c>
      <c r="F34" s="840">
        <v>0</v>
      </c>
      <c r="G34" s="840">
        <v>0</v>
      </c>
      <c r="H34" s="1049"/>
      <c r="I34" s="651" t="s">
        <v>247</v>
      </c>
    </row>
    <row r="35" spans="1:9" ht="32.5" customHeight="1">
      <c r="A35" s="637">
        <f t="shared" si="2" ref="A35:A46">+A34+1</f>
        <v>14</v>
      </c>
      <c r="B35" s="557" t="s">
        <v>248</v>
      </c>
      <c r="C35" s="839">
        <v>0</v>
      </c>
      <c r="D35" s="840">
        <v>0</v>
      </c>
      <c r="E35" s="840">
        <v>0</v>
      </c>
      <c r="F35" s="840">
        <v>0</v>
      </c>
      <c r="G35" s="840">
        <v>0</v>
      </c>
      <c r="H35" s="1049"/>
      <c r="I35" s="651" t="s">
        <v>245</v>
      </c>
    </row>
    <row r="36" spans="1:9" ht="40.15" customHeight="1">
      <c r="A36" s="637">
        <f>+A35+1</f>
        <v>15</v>
      </c>
      <c r="B36" s="784" t="s">
        <v>249</v>
      </c>
      <c r="C36" s="839">
        <v>0</v>
      </c>
      <c r="D36" s="840">
        <v>0</v>
      </c>
      <c r="E36" s="840">
        <v>0</v>
      </c>
      <c r="F36" s="840">
        <v>0</v>
      </c>
      <c r="G36" s="840">
        <v>0</v>
      </c>
      <c r="H36" s="1049"/>
      <c r="I36" s="649" t="s">
        <v>250</v>
      </c>
    </row>
    <row r="37" spans="1:9" ht="24.75" customHeight="1">
      <c r="A37" s="637">
        <f>+A36+1</f>
        <v>16</v>
      </c>
      <c r="B37" s="557" t="s">
        <v>251</v>
      </c>
      <c r="C37" s="839">
        <v>0</v>
      </c>
      <c r="D37" s="840">
        <v>0</v>
      </c>
      <c r="E37" s="840">
        <v>0</v>
      </c>
      <c r="F37" s="840">
        <v>0</v>
      </c>
      <c r="G37" s="840">
        <v>0</v>
      </c>
      <c r="H37" s="1049"/>
      <c r="I37" s="651" t="s">
        <v>252</v>
      </c>
    </row>
    <row r="38" spans="1:9" ht="37.9" customHeight="1">
      <c r="A38" s="637">
        <f>+A37+1</f>
        <v>17</v>
      </c>
      <c r="B38" s="557" t="s">
        <v>253</v>
      </c>
      <c r="C38" s="839">
        <v>0</v>
      </c>
      <c r="D38" s="840">
        <v>0</v>
      </c>
      <c r="E38" s="840">
        <v>0</v>
      </c>
      <c r="F38" s="840">
        <v>0</v>
      </c>
      <c r="G38" s="840">
        <v>0</v>
      </c>
      <c r="H38" s="1049"/>
      <c r="I38" s="651" t="s">
        <v>350</v>
      </c>
    </row>
    <row r="39" spans="1:9" ht="31.9" customHeight="1">
      <c r="A39" s="637">
        <f>+A38+1</f>
        <v>18</v>
      </c>
      <c r="B39" s="557" t="s">
        <v>255</v>
      </c>
      <c r="C39" s="839">
        <v>0</v>
      </c>
      <c r="D39" s="840">
        <v>0</v>
      </c>
      <c r="E39" s="840">
        <v>0</v>
      </c>
      <c r="F39" s="840">
        <v>0</v>
      </c>
      <c r="G39" s="840">
        <v>0</v>
      </c>
      <c r="H39" s="1049"/>
      <c r="I39" s="651" t="s">
        <v>256</v>
      </c>
    </row>
    <row r="40" spans="1:9" ht="37.15" customHeight="1">
      <c r="A40" s="637">
        <f>+A39+1</f>
        <v>19</v>
      </c>
      <c r="B40" s="557" t="s">
        <v>257</v>
      </c>
      <c r="C40" s="839">
        <v>0</v>
      </c>
      <c r="D40" s="840">
        <f>+C40</f>
        <v>0</v>
      </c>
      <c r="E40" s="840">
        <v>0</v>
      </c>
      <c r="F40" s="840">
        <v>0</v>
      </c>
      <c r="G40" s="840">
        <v>0</v>
      </c>
      <c r="H40" s="1049"/>
      <c r="I40" s="651" t="s">
        <v>258</v>
      </c>
    </row>
    <row r="41" spans="1:9" ht="24.65" customHeight="1">
      <c r="A41" s="637">
        <f>+A40+1</f>
        <v>20</v>
      </c>
      <c r="B41" s="557" t="s">
        <v>259</v>
      </c>
      <c r="C41" s="839">
        <v>0</v>
      </c>
      <c r="D41" s="840">
        <v>0</v>
      </c>
      <c r="E41" s="840">
        <v>0</v>
      </c>
      <c r="F41" s="840">
        <v>0</v>
      </c>
      <c r="G41" s="840">
        <v>0</v>
      </c>
      <c r="H41" s="1049"/>
      <c r="I41" s="651" t="s">
        <v>979</v>
      </c>
    </row>
    <row r="42" spans="1:9" ht="24.65" customHeight="1">
      <c r="A42" s="637">
        <f>+A41+1</f>
        <v>21</v>
      </c>
      <c r="B42" s="557" t="s">
        <v>260</v>
      </c>
      <c r="C42" s="839">
        <v>0</v>
      </c>
      <c r="D42" s="840">
        <v>0</v>
      </c>
      <c r="E42" s="840">
        <v>0</v>
      </c>
      <c r="F42" s="840">
        <v>0</v>
      </c>
      <c r="G42" s="840">
        <v>0</v>
      </c>
      <c r="H42" s="1049"/>
      <c r="I42" s="651" t="s">
        <v>261</v>
      </c>
    </row>
    <row r="43" spans="1:9" ht="39.65" customHeight="1">
      <c r="A43" s="637">
        <f>+A42+1</f>
        <v>22</v>
      </c>
      <c r="B43" s="557" t="s">
        <v>262</v>
      </c>
      <c r="C43" s="839">
        <v>0</v>
      </c>
      <c r="D43" s="840">
        <v>0</v>
      </c>
      <c r="E43" s="840">
        <v>0</v>
      </c>
      <c r="F43" s="840">
        <v>0</v>
      </c>
      <c r="G43" s="840">
        <v>0</v>
      </c>
      <c r="H43" s="1049"/>
      <c r="I43" s="651" t="s">
        <v>261</v>
      </c>
    </row>
    <row r="44" spans="1:9" ht="27" customHeight="1">
      <c r="A44" s="637">
        <f>+A43+1</f>
        <v>23</v>
      </c>
      <c r="B44" s="557" t="s">
        <v>263</v>
      </c>
      <c r="C44" s="841">
        <v>0</v>
      </c>
      <c r="D44" s="840">
        <v>0</v>
      </c>
      <c r="E44" s="840">
        <v>0</v>
      </c>
      <c r="F44" s="840">
        <v>0</v>
      </c>
      <c r="G44" s="840">
        <v>0</v>
      </c>
      <c r="H44" s="1049"/>
      <c r="I44" s="559" t="s">
        <v>264</v>
      </c>
    </row>
    <row r="45" spans="1:9" ht="15.5">
      <c r="A45" s="637">
        <f>+A44+1</f>
        <v>24</v>
      </c>
      <c r="B45" s="558" t="s">
        <v>265</v>
      </c>
      <c r="C45" s="842">
        <f t="shared" si="3" ref="C45:G45">SUM(C33:C44)</f>
        <v>0</v>
      </c>
      <c r="D45" s="842">
        <f>SUM(D33:D44)</f>
        <v>0</v>
      </c>
      <c r="E45" s="842">
        <f>SUM(E33:E44)</f>
        <v>0</v>
      </c>
      <c r="F45" s="842">
        <f>SUM(F33:F44)</f>
        <v>0</v>
      </c>
      <c r="G45" s="842">
        <f>SUM(G33:G44)</f>
        <v>0</v>
      </c>
      <c r="H45" s="842"/>
      <c r="I45" s="233"/>
    </row>
    <row r="46" spans="1:9" ht="31">
      <c r="A46" s="637">
        <f>+A45+1</f>
        <v>25</v>
      </c>
      <c r="B46" s="729" t="s">
        <v>266</v>
      </c>
      <c r="C46" s="843">
        <f>SUM(D46:H46)</f>
        <v>0</v>
      </c>
      <c r="D46" s="843">
        <f>D36</f>
        <v>0</v>
      </c>
      <c r="E46" s="844">
        <f>+E36</f>
        <v>0</v>
      </c>
      <c r="F46" s="845">
        <f>F36</f>
        <v>0</v>
      </c>
      <c r="G46" s="845">
        <f>+G36</f>
        <v>0</v>
      </c>
      <c r="H46" s="845"/>
      <c r="I46" s="246" t="str">
        <f>+'1A - ADIT'!I44</f>
        <v>All FAS 109 items excluded from formula rate</v>
      </c>
    </row>
    <row r="47" spans="1:9" ht="16" thickBot="1">
      <c r="A47" s="637">
        <f>+A46+1</f>
        <v>26</v>
      </c>
      <c r="B47" s="553" t="s">
        <v>65</v>
      </c>
      <c r="C47" s="846">
        <f>+C45-C46</f>
        <v>0</v>
      </c>
      <c r="D47" s="846">
        <f t="shared" si="4" ref="D47:G47">+D45-D46</f>
        <v>0</v>
      </c>
      <c r="E47" s="846">
        <f>+E45-E46</f>
        <v>0</v>
      </c>
      <c r="F47" s="846">
        <f>+F45-F46</f>
        <v>0</v>
      </c>
      <c r="G47" s="846">
        <f>+G45-G46</f>
        <v>0</v>
      </c>
      <c r="H47" s="846"/>
      <c r="I47" s="552"/>
    </row>
    <row r="48" spans="1:9" s="640" customFormat="1" ht="15.5">
      <c r="A48" s="637"/>
      <c r="B48" s="219"/>
      <c r="C48" s="645"/>
      <c r="D48" s="646"/>
      <c r="E48" s="646"/>
      <c r="F48" s="646"/>
      <c r="G48" s="646"/>
      <c r="H48" s="646"/>
      <c r="I48" s="638"/>
    </row>
    <row r="49" spans="1:9" ht="15.5">
      <c r="A49" s="975"/>
      <c r="B49" s="58" t="s">
        <v>268</v>
      </c>
      <c r="C49" s="58"/>
      <c r="D49" s="248"/>
      <c r="E49" s="732"/>
      <c r="F49" s="73"/>
      <c r="G49" s="218"/>
      <c r="H49" s="218"/>
      <c r="I49" s="733"/>
    </row>
    <row r="50" spans="1:9" ht="15.5">
      <c r="A50" s="975"/>
      <c r="B50" s="1147" t="s">
        <v>354</v>
      </c>
      <c r="C50" s="1148"/>
      <c r="D50" s="1148"/>
      <c r="E50" s="1148"/>
      <c r="F50" s="1148"/>
      <c r="G50" s="1148"/>
      <c r="H50" s="1148"/>
      <c r="I50" s="1148"/>
    </row>
    <row r="51" spans="1:9" ht="15.5">
      <c r="A51" s="975"/>
      <c r="B51" s="253" t="s">
        <v>270</v>
      </c>
      <c r="C51" s="58"/>
      <c r="D51" s="218"/>
      <c r="E51" s="58"/>
      <c r="F51" s="58"/>
      <c r="G51" s="73"/>
      <c r="H51" s="73"/>
      <c r="I51" s="73"/>
    </row>
    <row r="52" spans="1:9" ht="15.5">
      <c r="A52" s="975"/>
      <c r="B52" s="253" t="s">
        <v>281</v>
      </c>
      <c r="C52" s="58"/>
      <c r="D52" s="218"/>
      <c r="E52" s="58"/>
      <c r="F52" s="58"/>
      <c r="G52" s="73"/>
      <c r="H52" s="73"/>
      <c r="I52" s="73"/>
    </row>
    <row r="53" spans="1:9" ht="15.5">
      <c r="A53" s="975"/>
      <c r="B53" s="253" t="s">
        <v>355</v>
      </c>
      <c r="C53" s="58"/>
      <c r="D53" s="218"/>
      <c r="E53" s="58"/>
      <c r="F53" s="58"/>
      <c r="G53" s="73"/>
      <c r="H53" s="73"/>
      <c r="I53" s="73"/>
    </row>
    <row r="54" spans="1:9" ht="15" customHeight="1">
      <c r="A54" s="975"/>
      <c r="B54" s="1148" t="s">
        <v>273</v>
      </c>
      <c r="C54" s="1148"/>
      <c r="D54" s="1148"/>
      <c r="E54" s="1148"/>
      <c r="F54" s="1148"/>
      <c r="G54" s="1148"/>
      <c r="H54" s="1148"/>
      <c r="I54" s="1148"/>
    </row>
    <row r="55" spans="1:9" s="712" customFormat="1" ht="15.5">
      <c r="A55" s="975"/>
      <c r="B55" s="236" t="s">
        <v>274</v>
      </c>
      <c r="C55" s="644"/>
      <c r="D55" s="734"/>
      <c r="E55" s="644"/>
      <c r="F55" s="644"/>
      <c r="G55" s="644"/>
      <c r="H55" s="644"/>
      <c r="I55" s="1018"/>
    </row>
    <row r="56" spans="1:9" s="712" customFormat="1" ht="15.5">
      <c r="A56" s="975"/>
      <c r="B56" s="710"/>
      <c r="C56" s="710"/>
      <c r="D56" s="710"/>
      <c r="E56" s="710"/>
      <c r="F56" s="710"/>
      <c r="G56" s="710"/>
      <c r="H56" s="710"/>
      <c r="I56" s="710"/>
    </row>
    <row r="57" spans="1:9" s="712" customFormat="1" ht="18">
      <c r="A57" s="215"/>
      <c r="B57" s="1149" t="str">
        <f>+B3</f>
        <v>Dayton Power and Light</v>
      </c>
      <c r="C57" s="1150"/>
      <c r="D57" s="1150"/>
      <c r="E57" s="1150"/>
      <c r="F57" s="1150"/>
      <c r="G57" s="1150"/>
      <c r="H57" s="1150"/>
      <c r="I57" s="1150"/>
    </row>
    <row r="58" spans="1:9" s="712" customFormat="1" ht="18">
      <c r="A58" s="215"/>
      <c r="B58" s="1151" t="str">
        <f>+B4</f>
        <v xml:space="preserve">ATTACHMENT H-15A </v>
      </c>
      <c r="C58" s="1151"/>
      <c r="D58" s="1151"/>
      <c r="E58" s="1151"/>
      <c r="F58" s="1151"/>
      <c r="G58" s="1151"/>
      <c r="H58" s="1151"/>
      <c r="I58" s="1151"/>
    </row>
    <row r="59" spans="1:9" s="712" customFormat="1" ht="18">
      <c r="A59" s="215"/>
      <c r="B59" s="1151" t="str">
        <f>+B5</f>
        <v xml:space="preserve">Attachment 1D - Accumulated Deferred Income Taxes for Annual True-up - December 31, </v>
      </c>
      <c r="C59" s="1151"/>
      <c r="D59" s="1151"/>
      <c r="E59" s="1151"/>
      <c r="F59" s="1151"/>
      <c r="G59" s="1151"/>
      <c r="H59" s="1151"/>
      <c r="I59" s="1151"/>
    </row>
    <row r="60" spans="1:9" s="712" customFormat="1" ht="17.5">
      <c r="A60" s="216"/>
      <c r="B60" s="238"/>
      <c r="C60" s="237"/>
      <c r="D60" s="237"/>
      <c r="E60" s="237"/>
      <c r="F60" s="237"/>
      <c r="G60" s="237"/>
      <c r="H60" s="237"/>
      <c r="I60" s="925"/>
    </row>
    <row r="61" spans="1:9" s="712" customFormat="1" ht="17.5">
      <c r="A61" s="216"/>
      <c r="B61" s="711" t="s">
        <v>195</v>
      </c>
      <c r="C61" s="711" t="s">
        <v>197</v>
      </c>
      <c r="D61" s="711" t="s">
        <v>198</v>
      </c>
      <c r="E61" s="711" t="s">
        <v>199</v>
      </c>
      <c r="F61" s="711" t="s">
        <v>201</v>
      </c>
      <c r="G61" s="711" t="s">
        <v>203</v>
      </c>
      <c r="H61" s="230"/>
      <c r="I61" s="926"/>
    </row>
    <row r="62" spans="1:9" s="712" customFormat="1" ht="17.5">
      <c r="A62" s="216"/>
      <c r="B62" s="218"/>
      <c r="C62" s="239" t="s">
        <v>275</v>
      </c>
      <c r="D62" s="239"/>
      <c r="E62" s="239"/>
      <c r="F62" s="239"/>
      <c r="G62" s="239"/>
      <c r="H62" s="223"/>
      <c r="I62" s="926"/>
    </row>
    <row r="63" spans="1:9" s="712" customFormat="1" ht="15.5">
      <c r="A63" s="216"/>
      <c r="B63" s="240" t="s">
        <v>276</v>
      </c>
      <c r="C63" s="239"/>
      <c r="D63" s="239"/>
      <c r="E63" s="239" t="s">
        <v>225</v>
      </c>
      <c r="F63" s="239" t="s">
        <v>226</v>
      </c>
      <c r="G63" s="239" t="s">
        <v>227</v>
      </c>
      <c r="H63" s="223"/>
      <c r="I63" s="711" t="s">
        <v>205</v>
      </c>
    </row>
    <row r="64" spans="1:9" s="712" customFormat="1" ht="16" thickBot="1">
      <c r="A64" s="216"/>
      <c r="B64" s="236"/>
      <c r="C64" s="239"/>
      <c r="D64" s="239" t="s">
        <v>242</v>
      </c>
      <c r="E64" s="239" t="s">
        <v>229</v>
      </c>
      <c r="F64" s="239" t="s">
        <v>229</v>
      </c>
      <c r="G64" s="239" t="s">
        <v>229</v>
      </c>
      <c r="H64" s="697"/>
      <c r="I64" s="239" t="s">
        <v>243</v>
      </c>
    </row>
    <row r="65" spans="1:9" s="712" customFormat="1" ht="31">
      <c r="A65" s="216">
        <f>+A47+1</f>
        <v>27</v>
      </c>
      <c r="B65" s="555" t="s">
        <v>277</v>
      </c>
      <c r="C65" s="847">
        <v>0</v>
      </c>
      <c r="D65" s="848">
        <v>0</v>
      </c>
      <c r="E65" s="849">
        <v>0</v>
      </c>
      <c r="F65" s="849">
        <v>0</v>
      </c>
      <c r="G65" s="849">
        <v>0</v>
      </c>
      <c r="H65" s="1050"/>
      <c r="I65" s="786" t="str">
        <f>+'1C - ADIT Prior Year'!I59</f>
        <v>Tax and book differences resulting from accelerated tax depreciation.  Included in prorated amount</v>
      </c>
    </row>
    <row r="66" spans="1:9" ht="31">
      <c r="A66" s="216">
        <f>+A65+1</f>
        <v>28</v>
      </c>
      <c r="B66" s="557" t="s">
        <v>805</v>
      </c>
      <c r="C66" s="840">
        <v>0</v>
      </c>
      <c r="D66" s="850">
        <v>0</v>
      </c>
      <c r="E66" s="850">
        <v>0</v>
      </c>
      <c r="F66" s="850">
        <v>0</v>
      </c>
      <c r="G66" s="850">
        <v>0</v>
      </c>
      <c r="H66" s="1049"/>
      <c r="I66" s="565" t="s">
        <v>278</v>
      </c>
    </row>
    <row r="67" spans="1:9" s="712" customFormat="1" ht="16" thickBot="1">
      <c r="A67" s="216">
        <f>+A66+1</f>
        <v>29</v>
      </c>
      <c r="B67" s="553" t="s">
        <v>65</v>
      </c>
      <c r="C67" s="846">
        <f>+SUM(C65:C66)</f>
        <v>0</v>
      </c>
      <c r="D67" s="846">
        <f t="shared" si="5" ref="D67:G67">+SUM(D65:D66)</f>
        <v>0</v>
      </c>
      <c r="E67" s="846">
        <f>+SUM(E65:E66)</f>
        <v>0</v>
      </c>
      <c r="F67" s="846">
        <f>+SUM(F65:F66)</f>
        <v>0</v>
      </c>
      <c r="G67" s="846">
        <f>+SUM(G65:G66)</f>
        <v>0</v>
      </c>
      <c r="H67" s="846"/>
      <c r="I67" s="552"/>
    </row>
    <row r="68" spans="1:9" s="712" customFormat="1" ht="15.5">
      <c r="A68" s="216"/>
      <c r="B68" s="58" t="s">
        <v>279</v>
      </c>
      <c r="C68" s="58"/>
      <c r="D68" s="58"/>
      <c r="E68" s="73"/>
      <c r="F68" s="732"/>
      <c r="G68" s="218"/>
      <c r="H68" s="58"/>
      <c r="I68" s="1018"/>
    </row>
    <row r="69" spans="1:9" s="712" customFormat="1" ht="15.5">
      <c r="A69" s="216"/>
      <c r="B69" s="253" t="s">
        <v>280</v>
      </c>
      <c r="C69" s="58"/>
      <c r="D69" s="218"/>
      <c r="E69" s="58"/>
      <c r="F69" s="58"/>
      <c r="G69" s="73"/>
      <c r="H69" s="73"/>
      <c r="I69" s="73"/>
    </row>
    <row r="70" spans="1:9" s="712" customFormat="1" ht="15.5">
      <c r="A70" s="216"/>
      <c r="B70" s="253" t="s">
        <v>270</v>
      </c>
      <c r="C70" s="58"/>
      <c r="D70" s="218"/>
      <c r="E70" s="58"/>
      <c r="F70" s="58"/>
      <c r="G70" s="73"/>
      <c r="H70" s="73"/>
      <c r="I70" s="73"/>
    </row>
    <row r="71" spans="1:9" s="712" customFormat="1" ht="15.5">
      <c r="A71" s="216"/>
      <c r="B71" s="253" t="s">
        <v>281</v>
      </c>
      <c r="C71" s="58"/>
      <c r="D71" s="218"/>
      <c r="E71" s="58"/>
      <c r="F71" s="58"/>
      <c r="G71" s="73"/>
      <c r="H71" s="73"/>
      <c r="I71" s="73"/>
    </row>
    <row r="72" spans="1:9" s="712" customFormat="1" ht="15.5">
      <c r="A72" s="216"/>
      <c r="B72" s="253" t="s">
        <v>282</v>
      </c>
      <c r="C72" s="58"/>
      <c r="D72" s="218"/>
      <c r="E72" s="58"/>
      <c r="F72" s="58"/>
      <c r="G72" s="73"/>
      <c r="H72" s="73"/>
      <c r="I72" s="73"/>
    </row>
    <row r="73" spans="1:9" s="712" customFormat="1" ht="15.5">
      <c r="A73" s="216"/>
      <c r="B73" s="1148" t="s">
        <v>273</v>
      </c>
      <c r="C73" s="1148"/>
      <c r="D73" s="1148"/>
      <c r="E73" s="1148"/>
      <c r="F73" s="1148"/>
      <c r="G73" s="1148"/>
      <c r="H73" s="1148"/>
      <c r="I73" s="1148"/>
    </row>
    <row r="74" spans="1:9" s="712" customFormat="1" ht="15.5">
      <c r="A74" s="216"/>
      <c r="B74" s="236" t="s">
        <v>274</v>
      </c>
      <c r="C74" s="644"/>
      <c r="D74" s="734"/>
      <c r="E74" s="644"/>
      <c r="F74" s="644"/>
      <c r="G74" s="644"/>
      <c r="H74" s="644"/>
      <c r="I74" s="1018"/>
    </row>
    <row r="75" spans="1:9" s="712" customFormat="1" ht="15.5">
      <c r="A75" s="216"/>
      <c r="B75" s="630"/>
      <c r="C75" s="218"/>
      <c r="D75" s="58"/>
      <c r="E75" s="58"/>
      <c r="F75" s="73"/>
      <c r="G75" s="73"/>
      <c r="H75" s="73"/>
      <c r="I75" s="1018"/>
    </row>
    <row r="76" spans="1:9" s="712" customFormat="1" ht="15.5">
      <c r="A76" s="216"/>
      <c r="B76" s="236"/>
      <c r="C76" s="218"/>
      <c r="D76" s="58"/>
      <c r="E76" s="58"/>
      <c r="F76" s="73"/>
      <c r="G76" s="73"/>
      <c r="H76" s="73"/>
      <c r="I76" s="1018"/>
    </row>
    <row r="77" spans="1:9" s="712" customFormat="1" ht="15.5">
      <c r="A77" s="216"/>
      <c r="B77" s="711"/>
      <c r="C77" s="237"/>
      <c r="D77" s="237"/>
      <c r="E77" s="237"/>
      <c r="F77" s="237"/>
      <c r="G77" s="237"/>
      <c r="H77" s="237"/>
      <c r="I77" s="237"/>
    </row>
    <row r="78" spans="1:9" ht="18">
      <c r="A78" s="975"/>
      <c r="B78" s="254" t="str">
        <f>B3</f>
        <v>Dayton Power and Light</v>
      </c>
      <c r="C78" s="255"/>
      <c r="D78" s="255"/>
      <c r="E78" s="255"/>
      <c r="F78" s="255"/>
      <c r="G78" s="255"/>
      <c r="H78" s="255"/>
      <c r="I78" s="256"/>
    </row>
    <row r="79" spans="1:9" ht="18">
      <c r="A79" s="975"/>
      <c r="B79" s="1149" t="str">
        <f>+'Appendix A'!A4</f>
        <v xml:space="preserve">ATTACHMENT H-15A </v>
      </c>
      <c r="C79" s="1149"/>
      <c r="D79" s="1149"/>
      <c r="E79" s="1149"/>
      <c r="F79" s="1149"/>
      <c r="G79" s="1149"/>
      <c r="H79" s="1149"/>
      <c r="I79" s="1149"/>
    </row>
    <row r="80" spans="1:9" ht="18">
      <c r="A80" s="975"/>
      <c r="B80" s="1149" t="str">
        <f>+B5</f>
        <v xml:space="preserve">Attachment 1D - Accumulated Deferred Income Taxes for Annual True-up - December 31, </v>
      </c>
      <c r="C80" s="1149"/>
      <c r="D80" s="1149"/>
      <c r="E80" s="1149"/>
      <c r="F80" s="1149"/>
      <c r="G80" s="1149"/>
      <c r="H80" s="1149"/>
      <c r="I80" s="1149"/>
    </row>
    <row r="81" spans="1:9" ht="17.5">
      <c r="A81" s="975"/>
      <c r="B81" s="241"/>
      <c r="C81" s="217"/>
      <c r="D81" s="217"/>
      <c r="E81" s="217"/>
      <c r="F81" s="217"/>
      <c r="G81" s="213"/>
      <c r="H81" s="213"/>
      <c r="I81" s="242"/>
    </row>
    <row r="82" spans="1:9" ht="15.5">
      <c r="A82" s="975"/>
      <c r="B82" s="236"/>
      <c r="C82" s="218"/>
      <c r="D82" s="218"/>
      <c r="E82" s="218"/>
      <c r="F82" s="218"/>
      <c r="G82" s="240"/>
      <c r="H82" s="240"/>
      <c r="I82" s="270"/>
    </row>
    <row r="83" spans="1:9" ht="15.5">
      <c r="A83" s="975"/>
      <c r="B83" s="236"/>
      <c r="C83" s="218"/>
      <c r="D83" s="218"/>
      <c r="E83" s="218"/>
      <c r="F83" s="218"/>
      <c r="G83" s="240"/>
      <c r="H83" s="240"/>
      <c r="I83" s="1018"/>
    </row>
    <row r="84" spans="1:9" ht="15.5">
      <c r="A84" s="975"/>
      <c r="B84" s="230" t="s">
        <v>195</v>
      </c>
      <c r="C84" s="231" t="s">
        <v>197</v>
      </c>
      <c r="D84" s="231" t="s">
        <v>198</v>
      </c>
      <c r="E84" s="231" t="s">
        <v>199</v>
      </c>
      <c r="F84" s="231" t="s">
        <v>201</v>
      </c>
      <c r="G84" s="231" t="s">
        <v>203</v>
      </c>
      <c r="H84" s="230"/>
      <c r="I84" s="231" t="s">
        <v>205</v>
      </c>
    </row>
    <row r="85" spans="1:9" ht="31">
      <c r="A85" s="975"/>
      <c r="B85" s="240" t="s">
        <v>283</v>
      </c>
      <c r="C85" s="223" t="s">
        <v>65</v>
      </c>
      <c r="D85" s="243" t="s">
        <v>242</v>
      </c>
      <c r="E85" s="243" t="s">
        <v>361</v>
      </c>
      <c r="F85" s="243" t="s">
        <v>226</v>
      </c>
      <c r="G85" s="243" t="s">
        <v>227</v>
      </c>
      <c r="H85" s="223"/>
      <c r="I85" s="239" t="s">
        <v>243</v>
      </c>
    </row>
    <row r="86" spans="1:9" ht="16" thickBot="1">
      <c r="A86" s="975"/>
      <c r="B86" s="244"/>
      <c r="C86" s="223"/>
      <c r="D86" s="223"/>
      <c r="E86" s="223"/>
      <c r="F86" s="223"/>
      <c r="G86" s="223"/>
      <c r="H86" s="697"/>
      <c r="I86" s="216"/>
    </row>
    <row r="87" spans="1:9" ht="15.5">
      <c r="A87" s="637">
        <f>+A67+1</f>
        <v>30</v>
      </c>
      <c r="B87" s="555" t="s">
        <v>284</v>
      </c>
      <c r="C87" s="838">
        <v>0</v>
      </c>
      <c r="D87" s="838">
        <v>0</v>
      </c>
      <c r="E87" s="838">
        <v>0</v>
      </c>
      <c r="F87" s="838">
        <v>0</v>
      </c>
      <c r="G87" s="838">
        <v>0</v>
      </c>
      <c r="H87" s="1050"/>
      <c r="I87" s="959" t="s">
        <v>285</v>
      </c>
    </row>
    <row r="88" spans="1:9" ht="15.5">
      <c r="A88" s="637">
        <f>+A87+1</f>
        <v>31</v>
      </c>
      <c r="B88" s="557" t="s">
        <v>286</v>
      </c>
      <c r="C88" s="840">
        <v>0</v>
      </c>
      <c r="D88" s="840">
        <v>0</v>
      </c>
      <c r="E88" s="840">
        <v>0</v>
      </c>
      <c r="F88" s="840">
        <v>0</v>
      </c>
      <c r="G88" s="840">
        <v>0</v>
      </c>
      <c r="H88" s="1049"/>
      <c r="I88" s="652" t="s">
        <v>287</v>
      </c>
    </row>
    <row r="89" spans="1:9" ht="31">
      <c r="A89" s="637">
        <f t="shared" si="6" ref="A89:A97">+A88+1</f>
        <v>32</v>
      </c>
      <c r="B89" s="557" t="s">
        <v>288</v>
      </c>
      <c r="C89" s="840">
        <v>0</v>
      </c>
      <c r="D89" s="840">
        <v>0</v>
      </c>
      <c r="E89" s="840">
        <v>0</v>
      </c>
      <c r="F89" s="840">
        <v>0</v>
      </c>
      <c r="G89" s="840">
        <v>0</v>
      </c>
      <c r="H89" s="1049"/>
      <c r="I89" s="652" t="s">
        <v>984</v>
      </c>
    </row>
    <row r="90" spans="1:9" ht="31">
      <c r="A90" s="637">
        <f>+A89+1</f>
        <v>33</v>
      </c>
      <c r="B90" s="557" t="s">
        <v>289</v>
      </c>
      <c r="C90" s="840">
        <v>0</v>
      </c>
      <c r="D90" s="840">
        <v>0</v>
      </c>
      <c r="E90" s="840">
        <v>0</v>
      </c>
      <c r="F90" s="840">
        <v>0</v>
      </c>
      <c r="G90" s="840">
        <v>0</v>
      </c>
      <c r="H90" s="1049"/>
      <c r="I90" s="652" t="s">
        <v>986</v>
      </c>
    </row>
    <row r="91" spans="1:9" ht="15.5">
      <c r="A91" s="637">
        <f>+A90+1</f>
        <v>34</v>
      </c>
      <c r="B91" s="557" t="s">
        <v>290</v>
      </c>
      <c r="C91" s="840">
        <v>0</v>
      </c>
      <c r="D91" s="840">
        <v>0</v>
      </c>
      <c r="E91" s="840">
        <v>0</v>
      </c>
      <c r="F91" s="840">
        <v>0</v>
      </c>
      <c r="G91" s="840">
        <v>0</v>
      </c>
      <c r="H91" s="1049"/>
      <c r="I91" s="648" t="s">
        <v>250</v>
      </c>
    </row>
    <row r="92" spans="1:9" ht="15.5">
      <c r="A92" s="637">
        <f>+A91+1</f>
        <v>35</v>
      </c>
      <c r="B92" s="557" t="s">
        <v>291</v>
      </c>
      <c r="C92" s="840">
        <v>0</v>
      </c>
      <c r="D92" s="840">
        <v>0</v>
      </c>
      <c r="E92" s="840">
        <v>0</v>
      </c>
      <c r="F92" s="840">
        <v>0</v>
      </c>
      <c r="G92" s="840">
        <v>0</v>
      </c>
      <c r="H92" s="1049"/>
      <c r="I92" s="652" t="s">
        <v>292</v>
      </c>
    </row>
    <row r="93" spans="1:9" ht="31.5" thickBot="1">
      <c r="A93" s="637">
        <f>+A92+1</f>
        <v>36</v>
      </c>
      <c r="B93" s="557" t="s">
        <v>263</v>
      </c>
      <c r="C93" s="840">
        <v>0</v>
      </c>
      <c r="D93" s="840">
        <v>0</v>
      </c>
      <c r="E93" s="840">
        <v>0</v>
      </c>
      <c r="F93" s="840">
        <v>0</v>
      </c>
      <c r="G93" s="840">
        <v>0</v>
      </c>
      <c r="H93" s="1049"/>
      <c r="I93" s="652" t="s">
        <v>985</v>
      </c>
    </row>
    <row r="94" spans="1:9" ht="15.5">
      <c r="A94" s="637">
        <f>+A93+1</f>
        <v>37</v>
      </c>
      <c r="B94" s="257" t="s">
        <v>294</v>
      </c>
      <c r="C94" s="851">
        <f t="shared" si="7" ref="C94:G94">SUM(C87:C93)</f>
        <v>0</v>
      </c>
      <c r="D94" s="851">
        <f>SUM(D87:D93)</f>
        <v>0</v>
      </c>
      <c r="E94" s="851">
        <f>SUM(E87:E93)</f>
        <v>0</v>
      </c>
      <c r="F94" s="851">
        <f>SUM(F87:F93)</f>
        <v>0</v>
      </c>
      <c r="G94" s="851">
        <f>SUM(G87:G93)</f>
        <v>0</v>
      </c>
      <c r="H94" s="1053"/>
      <c r="I94" s="258"/>
    </row>
    <row r="95" spans="1:9" ht="31">
      <c r="A95" s="637">
        <f>+A94+1</f>
        <v>38</v>
      </c>
      <c r="B95" s="730" t="s">
        <v>295</v>
      </c>
      <c r="C95" s="843">
        <f>+C91</f>
        <v>0</v>
      </c>
      <c r="D95" s="843">
        <f t="shared" si="8" ref="D95:G95">+D91</f>
        <v>0</v>
      </c>
      <c r="E95" s="843">
        <f>+E91</f>
        <v>0</v>
      </c>
      <c r="F95" s="843">
        <f>+F91</f>
        <v>0</v>
      </c>
      <c r="G95" s="843">
        <f>+G91</f>
        <v>0</v>
      </c>
      <c r="H95" s="856"/>
      <c r="I95" s="246"/>
    </row>
    <row r="96" spans="1:9" ht="31">
      <c r="A96" s="637">
        <f>+A95+1</f>
        <v>39</v>
      </c>
      <c r="B96" s="731" t="s">
        <v>296</v>
      </c>
      <c r="C96" s="852">
        <f>+C88</f>
        <v>0</v>
      </c>
      <c r="D96" s="852">
        <f>+D88</f>
        <v>0</v>
      </c>
      <c r="E96" s="852">
        <f t="shared" si="9" ref="E96:G96">+E88</f>
        <v>0</v>
      </c>
      <c r="F96" s="852">
        <f>+F88</f>
        <v>0</v>
      </c>
      <c r="G96" s="852">
        <f>+G88</f>
        <v>0</v>
      </c>
      <c r="H96" s="857"/>
      <c r="I96" s="632" t="s">
        <v>362</v>
      </c>
    </row>
    <row r="97" spans="1:9" ht="16" thickBot="1">
      <c r="A97" s="637">
        <f>+A96+1</f>
        <v>40</v>
      </c>
      <c r="B97" s="553" t="s">
        <v>65</v>
      </c>
      <c r="C97" s="846">
        <f>+C94-C95-C96</f>
        <v>0</v>
      </c>
      <c r="D97" s="846">
        <f t="shared" si="10" ref="D97:G97">+D94-D95-D96</f>
        <v>0</v>
      </c>
      <c r="E97" s="846">
        <f>+E94-E95-E96</f>
        <v>0</v>
      </c>
      <c r="F97" s="846">
        <f>+F94-F95-F96</f>
        <v>0</v>
      </c>
      <c r="G97" s="846">
        <f>+G94-G95-G96</f>
        <v>0</v>
      </c>
      <c r="H97" s="846"/>
      <c r="I97" s="552"/>
    </row>
    <row r="98" spans="1:9" ht="15.5">
      <c r="A98" s="975"/>
      <c r="B98" s="236"/>
      <c r="C98" s="247"/>
      <c r="D98" s="248"/>
      <c r="E98" s="248"/>
      <c r="F98" s="248"/>
      <c r="G98" s="248"/>
      <c r="H98" s="248"/>
      <c r="I98" s="1018"/>
    </row>
    <row r="99" spans="1:9" ht="15.5">
      <c r="A99" s="975"/>
      <c r="B99" s="58" t="s">
        <v>298</v>
      </c>
      <c r="C99" s="58"/>
      <c r="D99" s="58"/>
      <c r="E99" s="73"/>
      <c r="F99" s="73"/>
      <c r="G99" s="218"/>
      <c r="H99" s="218"/>
      <c r="I99" s="249"/>
    </row>
    <row r="100" spans="1:9" ht="15.5">
      <c r="A100" s="975"/>
      <c r="B100" s="253" t="str">
        <f>+'1A - ADIT'!B95</f>
        <v>1.  ADIT items related only to Non-Electric Operations or Production are directly assigned to Column C</v>
      </c>
      <c r="C100" s="58"/>
      <c r="D100" s="218"/>
      <c r="E100" s="58"/>
      <c r="F100" s="58"/>
      <c r="G100" s="73"/>
      <c r="H100" s="73"/>
      <c r="I100" s="73"/>
    </row>
    <row r="101" spans="1:9" ht="15.5">
      <c r="A101" s="975"/>
      <c r="B101" s="253" t="s">
        <v>270</v>
      </c>
      <c r="C101" s="58"/>
      <c r="D101" s="218"/>
      <c r="E101" s="58"/>
      <c r="F101" s="58"/>
      <c r="G101" s="73"/>
      <c r="H101" s="73"/>
      <c r="I101" s="73"/>
    </row>
    <row r="102" spans="1:9" ht="15.5">
      <c r="A102" s="975"/>
      <c r="B102" s="253" t="s">
        <v>281</v>
      </c>
      <c r="C102" s="58"/>
      <c r="D102" s="218"/>
      <c r="E102" s="58"/>
      <c r="F102" s="58"/>
      <c r="G102" s="73"/>
      <c r="H102" s="73"/>
      <c r="I102" s="73"/>
    </row>
    <row r="103" spans="1:9" ht="15.5">
      <c r="A103" s="975"/>
      <c r="B103" s="253" t="s">
        <v>282</v>
      </c>
      <c r="C103" s="58"/>
      <c r="D103" s="218"/>
      <c r="E103" s="58"/>
      <c r="F103" s="58"/>
      <c r="G103" s="73"/>
      <c r="H103" s="73"/>
      <c r="I103" s="73"/>
    </row>
    <row r="104" spans="1:9" ht="15.5">
      <c r="A104" s="975"/>
      <c r="B104" s="1148" t="s">
        <v>273</v>
      </c>
      <c r="C104" s="1148"/>
      <c r="D104" s="1148"/>
      <c r="E104" s="1148"/>
      <c r="F104" s="1148"/>
      <c r="G104" s="1148"/>
      <c r="H104" s="1148"/>
      <c r="I104" s="1148"/>
    </row>
    <row r="105" spans="1:9" ht="15.5">
      <c r="A105" s="975"/>
      <c r="B105" s="236" t="s">
        <v>274</v>
      </c>
      <c r="C105" s="644"/>
      <c r="D105" s="734"/>
      <c r="E105" s="644"/>
      <c r="F105" s="644"/>
      <c r="G105" s="644"/>
      <c r="H105" s="644"/>
      <c r="I105" s="1018"/>
    </row>
    <row r="106" spans="1:9" ht="15.5">
      <c r="A106" s="975"/>
      <c r="B106" s="250"/>
      <c r="C106" s="251"/>
      <c r="D106" s="251"/>
      <c r="E106" s="251"/>
      <c r="F106" s="251"/>
      <c r="G106" s="251"/>
      <c r="H106" s="251"/>
      <c r="I106" s="251"/>
    </row>
    <row r="107" spans="1:9" ht="15.5">
      <c r="A107" s="975"/>
      <c r="B107" s="1146" t="s">
        <v>363</v>
      </c>
      <c r="C107" s="1146"/>
      <c r="D107" s="1146"/>
      <c r="E107" s="1146"/>
      <c r="F107" s="1146"/>
      <c r="G107" s="1146"/>
      <c r="H107" s="1146"/>
      <c r="I107" s="1146"/>
    </row>
    <row r="108" spans="1:9" ht="15.5">
      <c r="A108" s="975"/>
      <c r="B108" s="58" t="s">
        <v>364</v>
      </c>
      <c r="C108" s="58"/>
      <c r="D108" s="58"/>
      <c r="E108" s="58"/>
      <c r="F108" s="58"/>
      <c r="G108" s="58"/>
      <c r="H108" s="58"/>
      <c r="I108" s="58"/>
    </row>
    <row r="109" spans="1:9" ht="15.5">
      <c r="A109" s="975"/>
      <c r="B109" s="58" t="s">
        <v>365</v>
      </c>
      <c r="C109" s="58"/>
      <c r="D109" s="58"/>
      <c r="E109" s="58"/>
      <c r="F109" s="58"/>
      <c r="G109" s="58"/>
      <c r="H109" s="58"/>
      <c r="I109" s="58"/>
    </row>
    <row r="110" spans="2:9" ht="15.5">
      <c r="B110" s="58" t="s">
        <v>366</v>
      </c>
      <c r="C110" s="58"/>
      <c r="D110" s="58"/>
      <c r="E110" s="58"/>
      <c r="F110" s="58"/>
      <c r="G110" s="58"/>
      <c r="H110" s="58"/>
      <c r="I110" s="58"/>
    </row>
    <row r="111" spans="2:9" ht="15.5">
      <c r="B111" s="58" t="s">
        <v>367</v>
      </c>
      <c r="C111" s="58"/>
      <c r="D111" s="252"/>
      <c r="E111" s="252"/>
      <c r="F111" s="252"/>
      <c r="G111" s="252"/>
      <c r="H111" s="252"/>
      <c r="I111" s="252"/>
    </row>
    <row r="112" spans="2:9" ht="15.5">
      <c r="B112" s="58" t="s">
        <v>368</v>
      </c>
      <c r="C112" s="58"/>
      <c r="D112" s="252"/>
      <c r="E112" s="252"/>
      <c r="F112" s="252"/>
      <c r="G112" s="252"/>
      <c r="H112" s="252"/>
      <c r="I112" s="252"/>
    </row>
    <row r="113" spans="2:9" ht="15.5">
      <c r="B113" s="253"/>
      <c r="C113" s="58"/>
      <c r="D113" s="73"/>
      <c r="E113" s="73"/>
      <c r="F113" s="58"/>
      <c r="G113" s="58"/>
      <c r="H113" s="58"/>
      <c r="I113" s="58"/>
    </row>
    <row r="114" spans="2:9" ht="15.5">
      <c r="B114" s="253"/>
      <c r="C114" s="58"/>
      <c r="D114" s="26"/>
      <c r="E114" s="26"/>
      <c r="F114" s="58"/>
      <c r="G114" s="58"/>
      <c r="H114" s="58"/>
      <c r="I114" s="58"/>
    </row>
    <row r="115" spans="2:9" ht="15.5">
      <c r="B115" s="253"/>
      <c r="C115" s="58"/>
      <c r="D115" s="26"/>
      <c r="E115" s="26"/>
      <c r="F115" s="58"/>
      <c r="G115" s="58"/>
      <c r="H115" s="58"/>
      <c r="I115" s="58"/>
    </row>
    <row r="116" spans="2:9" ht="15.5">
      <c r="B116" s="253"/>
      <c r="C116" s="58"/>
      <c r="D116" s="26"/>
      <c r="E116" s="26"/>
      <c r="F116" s="58"/>
      <c r="G116" s="58"/>
      <c r="H116" s="58"/>
      <c r="I116" s="58"/>
    </row>
    <row r="117" spans="2:9" ht="15.5">
      <c r="B117" s="253"/>
      <c r="C117" s="58"/>
      <c r="D117" s="26"/>
      <c r="E117" s="26"/>
      <c r="F117" s="58"/>
      <c r="G117" s="58"/>
      <c r="H117" s="58"/>
      <c r="I117" s="58"/>
    </row>
    <row r="118" spans="2:9" ht="15.5">
      <c r="B118" s="253"/>
      <c r="C118" s="58"/>
      <c r="D118" s="26"/>
      <c r="E118" s="26"/>
      <c r="F118" s="58"/>
      <c r="G118" s="58"/>
      <c r="H118" s="58"/>
      <c r="I118" s="58"/>
    </row>
    <row r="119" spans="2:9" ht="15.5">
      <c r="B119" s="253"/>
      <c r="C119" s="58"/>
      <c r="D119" s="26"/>
      <c r="E119" s="26"/>
      <c r="F119" s="58"/>
      <c r="G119" s="58"/>
      <c r="H119" s="58"/>
      <c r="I119" s="58"/>
    </row>
    <row r="120" spans="2:9" ht="15.5">
      <c r="B120" s="253"/>
      <c r="C120" s="58"/>
      <c r="D120" s="26"/>
      <c r="E120" s="26"/>
      <c r="F120" s="58"/>
      <c r="G120" s="58"/>
      <c r="H120" s="58"/>
      <c r="I120" s="58"/>
    </row>
  </sheetData>
  <mergeCells count="13">
    <mergeCell ref="B79:I79"/>
    <mergeCell ref="B80:I80"/>
    <mergeCell ref="B107:I107"/>
    <mergeCell ref="B3:I3"/>
    <mergeCell ref="B4:I4"/>
    <mergeCell ref="B5:I5"/>
    <mergeCell ref="B50:I50"/>
    <mergeCell ref="B54:I54"/>
    <mergeCell ref="B57:I57"/>
    <mergeCell ref="B58:I58"/>
    <mergeCell ref="B59:I59"/>
    <mergeCell ref="B73:I73"/>
    <mergeCell ref="B104:I104"/>
  </mergeCells>
  <pageMargins left="0.7" right="0.7" top="0.75" bottom="0.75" header="0.3" footer="0.3"/>
  <pageSetup fitToHeight="2" orientation="landscape" scale="34" r:id="rId1"/>
  <rowBreaks count="1" manualBreakCount="1">
    <brk id="56" max="16383" man="1"/>
  </rowBreaks>
  <customProperties>
    <customPr name="EpmWorksheetKeyString_GUID" r:id="rId2"/>
    <customPr name="_pios_id" r:id="rId3"/>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Q56"/>
  <sheetViews>
    <sheetView zoomScale="70" zoomScaleNormal="70" workbookViewId="0" topLeftCell="A1"/>
  </sheetViews>
  <sheetFormatPr defaultRowHeight="12.75"/>
  <cols>
    <col min="1" max="1" width="6.28571428571429" customWidth="1"/>
    <col min="2" max="2" width="25.7142857142857" customWidth="1"/>
    <col min="3" max="3" width="13.2857142857143" customWidth="1"/>
    <col min="4" max="4" width="13.5714285714286" customWidth="1"/>
    <col min="5" max="5" width="15.2857142857143" customWidth="1"/>
    <col min="6" max="6" width="14.4285714285714" customWidth="1"/>
    <col min="7" max="7" width="13.4285714285714" customWidth="1"/>
    <col min="8" max="8" width="13.8571428571429" customWidth="1"/>
    <col min="9" max="9" width="15.2857142857143" customWidth="1"/>
    <col min="10" max="10" width="24.5714285714286" customWidth="1"/>
    <col min="11" max="11" width="4.71428571428571" customWidth="1"/>
    <col min="12" max="12" width="21.8571428571429" customWidth="1"/>
    <col min="13" max="13" width="16.7142857142857" customWidth="1"/>
    <col min="14" max="14" width="18.2857142857143" customWidth="1"/>
    <col min="15" max="15" width="19.7142857142857" customWidth="1"/>
    <col min="16" max="16" width="23.2857142857143" customWidth="1"/>
    <col min="17" max="17" width="26.2857142857143" customWidth="1"/>
  </cols>
  <sheetData>
    <row r="1" spans="1:17" s="619" customFormat="1" ht="12.5">
      <c r="A1" s="975"/>
      <c r="B1" s="975"/>
      <c r="C1" s="975"/>
      <c r="D1" s="975"/>
      <c r="E1" s="975"/>
      <c r="F1" s="975"/>
      <c r="G1" s="975"/>
      <c r="H1" s="975"/>
      <c r="I1" s="975"/>
      <c r="J1" s="975"/>
      <c r="K1" s="975"/>
      <c r="L1" s="975"/>
      <c r="M1" s="975"/>
      <c r="N1" s="975"/>
      <c r="O1" s="975"/>
      <c r="P1" s="975"/>
      <c r="Q1" s="975"/>
    </row>
    <row r="2" spans="1:17" s="619" customFormat="1" ht="18">
      <c r="A2" s="975"/>
      <c r="B2" s="975"/>
      <c r="C2" s="975"/>
      <c r="D2" s="975"/>
      <c r="E2" s="975"/>
      <c r="F2" s="975"/>
      <c r="G2" s="975"/>
      <c r="H2" s="975"/>
      <c r="I2" s="647" t="str">
        <f>+'Appendix A'!A3</f>
        <v>Dayton Power and Light</v>
      </c>
      <c r="J2" s="975"/>
      <c r="K2" s="975"/>
      <c r="L2" s="975"/>
      <c r="M2" s="975"/>
      <c r="N2" s="975"/>
      <c r="O2" s="975"/>
      <c r="P2" s="975"/>
      <c r="Q2" s="975"/>
    </row>
    <row r="3" spans="1:17" s="619" customFormat="1" ht="18">
      <c r="A3" s="975"/>
      <c r="B3" s="975"/>
      <c r="C3" s="975"/>
      <c r="D3" s="975"/>
      <c r="E3" s="975"/>
      <c r="F3" s="975"/>
      <c r="G3" s="975"/>
      <c r="H3" s="975"/>
      <c r="I3" s="647" t="str">
        <f>+'Appendix A'!A4</f>
        <v xml:space="preserve">ATTACHMENT H-15A </v>
      </c>
      <c r="J3" s="975"/>
      <c r="K3" s="975"/>
      <c r="L3" s="975"/>
      <c r="M3" s="975"/>
      <c r="N3" s="975"/>
      <c r="O3" s="975"/>
      <c r="P3" s="975"/>
      <c r="Q3" s="975"/>
    </row>
    <row r="4" spans="1:17" s="640" customFormat="1" ht="18">
      <c r="A4" s="975"/>
      <c r="B4" s="975"/>
      <c r="C4" s="975"/>
      <c r="D4" s="975"/>
      <c r="E4" s="975"/>
      <c r="F4" s="975"/>
      <c r="G4" s="975"/>
      <c r="H4" s="975"/>
      <c r="I4" s="1020" t="s">
        <v>815</v>
      </c>
      <c r="J4" s="1020"/>
      <c r="K4" s="1020"/>
      <c r="L4" s="1020"/>
      <c r="M4" s="1020"/>
      <c r="N4" s="1020"/>
      <c r="O4" s="1020"/>
      <c r="P4" s="975"/>
      <c r="Q4" s="975"/>
    </row>
    <row r="5" spans="1:17" s="619" customFormat="1" ht="18">
      <c r="A5" s="975"/>
      <c r="B5" s="975"/>
      <c r="C5" s="975"/>
      <c r="D5" s="975"/>
      <c r="E5" s="975"/>
      <c r="F5" s="975"/>
      <c r="G5" s="975"/>
      <c r="H5" s="975"/>
      <c r="I5" s="647" t="s">
        <v>369</v>
      </c>
      <c r="J5" s="975"/>
      <c r="K5" s="975"/>
      <c r="L5" s="975"/>
      <c r="M5" s="975"/>
      <c r="N5" s="975"/>
      <c r="O5" s="975"/>
      <c r="P5" s="975"/>
      <c r="Q5" s="925"/>
    </row>
    <row r="6" spans="1:17" s="619" customFormat="1" ht="12.5">
      <c r="A6" s="975"/>
      <c r="B6" s="975"/>
      <c r="C6" s="975"/>
      <c r="D6" s="975"/>
      <c r="E6" s="975"/>
      <c r="F6" s="975"/>
      <c r="G6" s="975"/>
      <c r="H6" s="975"/>
      <c r="I6" s="587"/>
      <c r="J6" s="975"/>
      <c r="K6" s="975"/>
      <c r="L6" s="975"/>
      <c r="M6" s="975"/>
      <c r="N6" s="975"/>
      <c r="O6" s="975"/>
      <c r="P6" s="975"/>
      <c r="Q6" s="975"/>
    </row>
    <row r="7" spans="1:17" s="619" customFormat="1" ht="15.5">
      <c r="A7" s="216"/>
      <c r="B7" s="216" t="s">
        <v>370</v>
      </c>
      <c r="C7" s="216"/>
      <c r="D7" s="216"/>
      <c r="E7" s="216"/>
      <c r="F7" s="216"/>
      <c r="G7" s="216"/>
      <c r="H7" s="216"/>
      <c r="I7" s="216"/>
      <c r="J7" s="216"/>
      <c r="K7" s="216"/>
      <c r="L7" s="216"/>
      <c r="M7" s="216"/>
      <c r="N7" s="216"/>
      <c r="O7" s="216"/>
      <c r="P7" s="216"/>
      <c r="Q7" s="216"/>
    </row>
    <row r="8" spans="1:17" s="619" customFormat="1" ht="15.5">
      <c r="A8" s="216"/>
      <c r="B8" s="216"/>
      <c r="C8" s="216"/>
      <c r="D8" s="216"/>
      <c r="E8" s="216"/>
      <c r="F8" s="216"/>
      <c r="G8" s="216"/>
      <c r="H8" s="216"/>
      <c r="I8" s="216"/>
      <c r="J8" s="216"/>
      <c r="K8" s="216"/>
      <c r="L8" s="216"/>
      <c r="M8" s="216"/>
      <c r="N8" s="216"/>
      <c r="O8" s="216"/>
      <c r="P8" s="216"/>
      <c r="Q8" s="216"/>
    </row>
    <row r="9" ht="12.5"/>
    <row r="10" spans="1:17" ht="15.5">
      <c r="A10" s="656"/>
      <c r="B10" s="657" t="s">
        <v>390</v>
      </c>
      <c r="C10" s="656"/>
      <c r="D10" s="656"/>
      <c r="E10" s="656"/>
      <c r="F10" s="656"/>
      <c r="G10" s="656"/>
      <c r="H10" s="656"/>
      <c r="I10" s="656"/>
      <c r="J10" s="656"/>
      <c r="K10" s="656"/>
      <c r="L10" s="657"/>
      <c r="M10" s="656"/>
      <c r="N10" s="656"/>
      <c r="O10" s="656"/>
      <c r="P10" s="656"/>
      <c r="Q10" s="656"/>
    </row>
    <row r="11" spans="1:17" ht="15.5">
      <c r="A11" s="656"/>
      <c r="B11" s="1156" t="s">
        <v>371</v>
      </c>
      <c r="C11" s="1157"/>
      <c r="D11" s="1157"/>
      <c r="E11" s="1157"/>
      <c r="F11" s="1158"/>
      <c r="G11" s="658"/>
      <c r="H11" s="1159" t="s">
        <v>372</v>
      </c>
      <c r="I11" s="1160"/>
      <c r="J11" s="1161"/>
      <c r="K11" s="659"/>
      <c r="L11" s="1162" t="s">
        <v>373</v>
      </c>
      <c r="M11" s="1163"/>
      <c r="N11" s="1163"/>
      <c r="O11" s="1163"/>
      <c r="P11" s="1163"/>
      <c r="Q11" s="1163"/>
    </row>
    <row r="12" spans="1:17" ht="15.5">
      <c r="A12" s="656"/>
      <c r="B12" s="660" t="s">
        <v>195</v>
      </c>
      <c r="C12" s="660" t="s">
        <v>197</v>
      </c>
      <c r="D12" s="660" t="s">
        <v>198</v>
      </c>
      <c r="E12" s="660" t="s">
        <v>199</v>
      </c>
      <c r="F12" s="660" t="s">
        <v>201</v>
      </c>
      <c r="G12" s="658"/>
      <c r="H12" s="660" t="s">
        <v>203</v>
      </c>
      <c r="I12" s="660" t="s">
        <v>205</v>
      </c>
      <c r="J12" s="660" t="s">
        <v>206</v>
      </c>
      <c r="K12" s="661"/>
      <c r="L12" s="662" t="s">
        <v>207</v>
      </c>
      <c r="M12" s="662" t="s">
        <v>208</v>
      </c>
      <c r="N12" s="662" t="s">
        <v>209</v>
      </c>
      <c r="O12" s="662" t="s">
        <v>211</v>
      </c>
      <c r="P12" s="662" t="s">
        <v>213</v>
      </c>
      <c r="Q12" s="662" t="s">
        <v>215</v>
      </c>
    </row>
    <row r="13" spans="1:17" ht="139.5">
      <c r="A13" s="656"/>
      <c r="B13" s="663" t="s">
        <v>374</v>
      </c>
      <c r="C13" s="663" t="s">
        <v>320</v>
      </c>
      <c r="D13" s="663" t="s">
        <v>375</v>
      </c>
      <c r="E13" s="663" t="s">
        <v>376</v>
      </c>
      <c r="F13" s="663" t="s">
        <v>377</v>
      </c>
      <c r="G13" s="664"/>
      <c r="H13" s="663" t="s">
        <v>378</v>
      </c>
      <c r="I13" s="663" t="s">
        <v>379</v>
      </c>
      <c r="J13" s="663" t="s">
        <v>391</v>
      </c>
      <c r="K13" s="664"/>
      <c r="L13" s="665" t="s">
        <v>380</v>
      </c>
      <c r="M13" s="665" t="s">
        <v>381</v>
      </c>
      <c r="N13" s="665" t="s">
        <v>382</v>
      </c>
      <c r="O13" s="665" t="s">
        <v>383</v>
      </c>
      <c r="P13" s="665" t="s">
        <v>384</v>
      </c>
      <c r="Q13" s="665" t="s">
        <v>385</v>
      </c>
    </row>
    <row r="14" spans="1:17" ht="15.5">
      <c r="A14" s="656"/>
      <c r="B14" s="656"/>
      <c r="C14" s="664"/>
      <c r="D14" s="664"/>
      <c r="E14" s="664"/>
      <c r="F14" s="664"/>
      <c r="G14" s="664"/>
      <c r="H14" s="664"/>
      <c r="I14" s="664"/>
      <c r="J14" s="664"/>
      <c r="K14" s="664"/>
      <c r="L14" s="666"/>
      <c r="M14" s="666"/>
      <c r="N14" s="666"/>
      <c r="O14" s="666"/>
      <c r="P14" s="666"/>
      <c r="Q14" s="666"/>
    </row>
    <row r="15" spans="1:17" ht="15.5">
      <c r="A15" s="656">
        <v>1</v>
      </c>
      <c r="B15" s="667" t="s">
        <v>392</v>
      </c>
      <c r="C15" s="668"/>
      <c r="D15" s="654"/>
      <c r="E15" s="654"/>
      <c r="F15" s="654"/>
      <c r="G15" s="654"/>
      <c r="H15" s="860"/>
      <c r="I15" s="860"/>
      <c r="J15" s="861">
        <v>0</v>
      </c>
      <c r="K15" s="862"/>
      <c r="L15" s="863" t="str">
        <f>+B15</f>
        <v>December 31st balance (FF1 274.2.b)</v>
      </c>
      <c r="M15" s="864"/>
      <c r="N15" s="864"/>
      <c r="O15" s="864"/>
      <c r="P15" s="864"/>
      <c r="Q15" s="865">
        <f>+J15</f>
        <v>0</v>
      </c>
    </row>
    <row r="16" spans="1:17" ht="15.5">
      <c r="A16" s="656">
        <f t="shared" si="0" ref="A16:A28">+A15+1</f>
        <v>2</v>
      </c>
      <c r="B16" s="668" t="s">
        <v>332</v>
      </c>
      <c r="C16" s="653">
        <v>31</v>
      </c>
      <c r="D16" s="654">
        <f t="shared" si="1" ref="D16:D26">D17+C17</f>
        <v>335</v>
      </c>
      <c r="E16" s="654">
        <f>SUM(C16:C27)</f>
        <v>365</v>
      </c>
      <c r="F16" s="56">
        <f>335/365</f>
        <v>0.9178082191780822</v>
      </c>
      <c r="G16" s="654"/>
      <c r="H16" s="861">
        <v>0</v>
      </c>
      <c r="I16" s="860">
        <f t="shared" si="2" ref="I16:I27">+H16*F16</f>
        <v>0</v>
      </c>
      <c r="J16" s="860">
        <f t="shared" si="3" ref="J16:J18">+I16+J15</f>
        <v>0</v>
      </c>
      <c r="K16" s="862"/>
      <c r="L16" s="866">
        <f t="shared" si="4" ref="L16:L27">+N34</f>
        <v>0</v>
      </c>
      <c r="M16" s="864">
        <f>L16-H16</f>
        <v>0</v>
      </c>
      <c r="N16" s="865">
        <f>IF(AND(H16&gt;=0,L16&gt;=0),IF(M16&gt;=0,I16,L16/H16*I16),IF(AND(H16&lt;0,L16&lt;0),IF(M16&lt;0,I16,L16/H16*I16),0))</f>
        <v>0</v>
      </c>
      <c r="O16" s="865">
        <f t="shared" si="5" ref="O16:O27">IF(AND(H16&gt;=0,L16&gt;=0),IF(M16&gt;=0,M16,0),IF(AND(H16&lt;0,L16&lt;0),IF(M16&lt;0,M16,0),0))</f>
        <v>0</v>
      </c>
      <c r="P16" s="865">
        <f>IF(AND(H16&gt;=0,L16&lt;0),L16,IF(AND(H16&lt;0,L16&gt;=0),L16,0))</f>
        <v>0</v>
      </c>
      <c r="Q16" s="865">
        <f>Q15+N16+(O16+P16)*0.5</f>
        <v>0</v>
      </c>
    </row>
    <row r="17" spans="1:17" ht="15.5">
      <c r="A17" s="656">
        <f>+A16+1</f>
        <v>3</v>
      </c>
      <c r="B17" s="668" t="s">
        <v>333</v>
      </c>
      <c r="C17" s="727">
        <v>28</v>
      </c>
      <c r="D17" s="654">
        <f>D18+C18</f>
        <v>307</v>
      </c>
      <c r="E17" s="654">
        <f>E16</f>
        <v>365</v>
      </c>
      <c r="F17" s="56">
        <f>307/365</f>
        <v>0.84109589041095889</v>
      </c>
      <c r="G17" s="654"/>
      <c r="H17" s="861">
        <v>0</v>
      </c>
      <c r="I17" s="860">
        <f>+H17*F17</f>
        <v>0</v>
      </c>
      <c r="J17" s="860">
        <f>+I17+J16</f>
        <v>0</v>
      </c>
      <c r="K17" s="862"/>
      <c r="L17" s="866">
        <f>+N35</f>
        <v>0</v>
      </c>
      <c r="M17" s="864">
        <f>L17-H17</f>
        <v>0</v>
      </c>
      <c r="N17" s="865">
        <f t="shared" si="6" ref="N17:N27">IF(AND(H17&gt;=0,L17&gt;=0),IF(M17&gt;=0,I17,L17/H17*I17),IF(AND(H17&lt;0,L17&lt;0),IF(M17&lt;0,I17,L17/H17*I17),0))</f>
        <v>0</v>
      </c>
      <c r="O17" s="865">
        <f>IF(AND(H17&gt;=0,L17&gt;=0),IF(M17&gt;=0,M17,0),IF(AND(H17&lt;0,L17&lt;0),IF(M17&lt;0,M17,0),0))</f>
        <v>0</v>
      </c>
      <c r="P17" s="865">
        <f t="shared" si="7" ref="P17:P27">IF(AND(H17&gt;=0,L17&lt;0),L17,IF(AND(H17&lt;0,L17&gt;=0),L17,0))</f>
        <v>0</v>
      </c>
      <c r="Q17" s="865">
        <f>Q16+N17+(O17+P17)*0.5</f>
        <v>0</v>
      </c>
    </row>
    <row r="18" spans="1:17" ht="15.5">
      <c r="A18" s="656">
        <f>+A17+1</f>
        <v>4</v>
      </c>
      <c r="B18" s="668" t="s">
        <v>334</v>
      </c>
      <c r="C18" s="653">
        <v>31</v>
      </c>
      <c r="D18" s="654">
        <f>D19+C19</f>
        <v>276</v>
      </c>
      <c r="E18" s="654">
        <f t="shared" si="8" ref="E18:E27">E17</f>
        <v>365</v>
      </c>
      <c r="F18" s="56">
        <f>276/365</f>
        <v>0.75616438356164384</v>
      </c>
      <c r="G18" s="654"/>
      <c r="H18" s="861">
        <v>0</v>
      </c>
      <c r="I18" s="860">
        <f>+H18*F18</f>
        <v>0</v>
      </c>
      <c r="J18" s="860">
        <f>+I18+J17</f>
        <v>0</v>
      </c>
      <c r="K18" s="862"/>
      <c r="L18" s="866">
        <f>+N36</f>
        <v>0</v>
      </c>
      <c r="M18" s="864">
        <f t="shared" si="9" ref="M18:M27">L18-H18</f>
        <v>0</v>
      </c>
      <c r="N18" s="865">
        <f>IF(AND(H18&gt;=0,L18&gt;=0),IF(M18&gt;=0,I18,L18/H18*I18),IF(AND(H18&lt;0,L18&lt;0),IF(M18&lt;0,I18,L18/H18*I18),0))</f>
        <v>0</v>
      </c>
      <c r="O18" s="865">
        <f>IF(AND(H18&gt;=0,L18&gt;=0),IF(M18&gt;=0,M18,0),IF(AND(H18&lt;0,L18&lt;0),IF(M18&lt;0,M18,0),0))</f>
        <v>0</v>
      </c>
      <c r="P18" s="865">
        <f>IF(AND(H18&gt;=0,L18&lt;0),L18,IF(AND(H18&lt;0,L18&gt;=0),L18,0))</f>
        <v>0</v>
      </c>
      <c r="Q18" s="865">
        <f>Q17+N18+(O18+P18)*0.5</f>
        <v>0</v>
      </c>
    </row>
    <row r="19" spans="1:17" ht="15.5">
      <c r="A19" s="656">
        <f>+A18+1</f>
        <v>5</v>
      </c>
      <c r="B19" s="668" t="s">
        <v>335</v>
      </c>
      <c r="C19" s="653">
        <v>30</v>
      </c>
      <c r="D19" s="654">
        <f>D20+C20</f>
        <v>246</v>
      </c>
      <c r="E19" s="654">
        <f>E18</f>
        <v>365</v>
      </c>
      <c r="F19" s="56">
        <f>246/365</f>
        <v>0.67397260273972603</v>
      </c>
      <c r="G19" s="654"/>
      <c r="H19" s="861">
        <v>0</v>
      </c>
      <c r="I19" s="860">
        <f>+H19*F19</f>
        <v>0</v>
      </c>
      <c r="J19" s="860">
        <f>+I19+J18</f>
        <v>0</v>
      </c>
      <c r="K19" s="862"/>
      <c r="L19" s="866">
        <f>+N37</f>
        <v>0</v>
      </c>
      <c r="M19" s="864">
        <f>L19-H19</f>
        <v>0</v>
      </c>
      <c r="N19" s="865">
        <f>IF(AND(H19&gt;=0,L19&gt;=0),IF(M19&gt;=0,I19,L19/H19*I19),IF(AND(H19&lt;0,L19&lt;0),IF(M19&lt;0,I19,L19/H19*I19),0))</f>
        <v>0</v>
      </c>
      <c r="O19" s="865">
        <f>IF(AND(H19&gt;=0,L19&gt;=0),IF(M19&gt;=0,M19,0),IF(AND(H19&lt;0,L19&lt;0),IF(M19&lt;0,M19,0),0))</f>
        <v>0</v>
      </c>
      <c r="P19" s="865">
        <f>IF(AND(H19&gt;=0,L19&lt;0),L19,IF(AND(H19&lt;0,L19&gt;=0),L19,0))</f>
        <v>0</v>
      </c>
      <c r="Q19" s="865">
        <f t="shared" si="10" ref="Q19:Q27">Q18+N19+(O19+P19)*0.5</f>
        <v>0</v>
      </c>
    </row>
    <row r="20" spans="1:17" ht="15.5">
      <c r="A20" s="656">
        <f>+A19+1</f>
        <v>6</v>
      </c>
      <c r="B20" s="668" t="s">
        <v>336</v>
      </c>
      <c r="C20" s="653">
        <v>31</v>
      </c>
      <c r="D20" s="654">
        <f>D21+C21</f>
        <v>215</v>
      </c>
      <c r="E20" s="654">
        <f>E19</f>
        <v>365</v>
      </c>
      <c r="F20" s="56">
        <f>215/365</f>
        <v>0.58904109589041098</v>
      </c>
      <c r="G20" s="654"/>
      <c r="H20" s="861">
        <v>0</v>
      </c>
      <c r="I20" s="860">
        <f>+H20*F20</f>
        <v>0</v>
      </c>
      <c r="J20" s="860">
        <f t="shared" si="11" ref="J20:J27">+I20+J19</f>
        <v>0</v>
      </c>
      <c r="K20" s="862"/>
      <c r="L20" s="866">
        <f>+N38</f>
        <v>0</v>
      </c>
      <c r="M20" s="864">
        <f>L20-H20</f>
        <v>0</v>
      </c>
      <c r="N20" s="865">
        <f>IF(AND(H20&gt;=0,L20&gt;=0),IF(M20&gt;=0,I20,L20/H20*I20),IF(AND(H20&lt;0,L20&lt;0),IF(M20&lt;0,I20,L20/H20*I20),0))</f>
        <v>0</v>
      </c>
      <c r="O20" s="865">
        <f>IF(AND(H20&gt;=0,L20&gt;=0),IF(M20&gt;=0,M20,0),IF(AND(H20&lt;0,L20&lt;0),IF(M20&lt;0,M20,0),0))</f>
        <v>0</v>
      </c>
      <c r="P20" s="865">
        <f>IF(AND(H20&gt;=0,L20&lt;0),L20,IF(AND(H20&lt;0,L20&gt;=0),L20,0))</f>
        <v>0</v>
      </c>
      <c r="Q20" s="865">
        <f>Q19+N20+(O20+P20)*0.5</f>
        <v>0</v>
      </c>
    </row>
    <row r="21" spans="1:17" ht="15.5">
      <c r="A21" s="656">
        <f>+A20+1</f>
        <v>7</v>
      </c>
      <c r="B21" s="668" t="s">
        <v>337</v>
      </c>
      <c r="C21" s="653">
        <v>30</v>
      </c>
      <c r="D21" s="654">
        <f>D22+C22</f>
        <v>185</v>
      </c>
      <c r="E21" s="654">
        <f>E20</f>
        <v>365</v>
      </c>
      <c r="F21" s="56">
        <f>185/365</f>
        <v>0.50684931506849318</v>
      </c>
      <c r="G21" s="654"/>
      <c r="H21" s="861">
        <v>0</v>
      </c>
      <c r="I21" s="860">
        <f>+H21*F21</f>
        <v>0</v>
      </c>
      <c r="J21" s="860">
        <f>+I21+J20</f>
        <v>0</v>
      </c>
      <c r="K21" s="862"/>
      <c r="L21" s="866">
        <f>+N39</f>
        <v>0</v>
      </c>
      <c r="M21" s="864">
        <f>L21-H21</f>
        <v>0</v>
      </c>
      <c r="N21" s="865">
        <f>IF(AND(H21&gt;=0,L21&gt;=0),IF(M21&gt;=0,I21,L21/H21*I21),IF(AND(H21&lt;0,L21&lt;0),IF(M21&lt;0,I21,L21/H21*I21),0))</f>
        <v>0</v>
      </c>
      <c r="O21" s="865">
        <f>IF(AND(H21&gt;=0,L21&gt;=0),IF(M21&gt;=0,M21,0),IF(AND(H21&lt;0,L21&lt;0),IF(M21&lt;0,M21,0),0))</f>
        <v>0</v>
      </c>
      <c r="P21" s="865">
        <f>IF(AND(H21&gt;=0,L21&lt;0),L21,IF(AND(H21&lt;0,L21&gt;=0),L21,0))</f>
        <v>0</v>
      </c>
      <c r="Q21" s="865">
        <f>Q20+N21+(O21+P21)*0.5</f>
        <v>0</v>
      </c>
    </row>
    <row r="22" spans="1:17" ht="15.5">
      <c r="A22" s="656">
        <f>+A21+1</f>
        <v>8</v>
      </c>
      <c r="B22" s="668" t="s">
        <v>338</v>
      </c>
      <c r="C22" s="653">
        <v>31</v>
      </c>
      <c r="D22" s="654">
        <f>D23+C23</f>
        <v>154</v>
      </c>
      <c r="E22" s="654">
        <f>E21</f>
        <v>365</v>
      </c>
      <c r="F22" s="56">
        <f>154/365</f>
        <v>0.42191780821917807</v>
      </c>
      <c r="G22" s="654"/>
      <c r="H22" s="861">
        <v>0</v>
      </c>
      <c r="I22" s="860">
        <f>+H22*F22</f>
        <v>0</v>
      </c>
      <c r="J22" s="860">
        <f>+I22+J21</f>
        <v>0</v>
      </c>
      <c r="K22" s="862"/>
      <c r="L22" s="866">
        <f>+N40</f>
        <v>0</v>
      </c>
      <c r="M22" s="864">
        <f>L22-H22</f>
        <v>0</v>
      </c>
      <c r="N22" s="865">
        <f>IF(AND(H22&gt;=0,L22&gt;=0),IF(M22&gt;=0,I22,L22/H22*I22),IF(AND(H22&lt;0,L22&lt;0),IF(M22&lt;0,I22,L22/H22*I22),0))</f>
        <v>0</v>
      </c>
      <c r="O22" s="865">
        <f>IF(AND(H22&gt;=0,L22&gt;=0),IF(M22&gt;=0,M22,0),IF(AND(H22&lt;0,L22&lt;0),IF(M22&lt;0,M22,0),0))</f>
        <v>0</v>
      </c>
      <c r="P22" s="865">
        <f>IF(AND(H22&gt;=0,L22&lt;0),L22,IF(AND(H22&lt;0,L22&gt;=0),L22,0))</f>
        <v>0</v>
      </c>
      <c r="Q22" s="865">
        <f>Q21+N22+(O22+P22)*0.5</f>
        <v>0</v>
      </c>
    </row>
    <row r="23" spans="1:17" ht="15.5">
      <c r="A23" s="656">
        <f>+A22+1</f>
        <v>9</v>
      </c>
      <c r="B23" s="668" t="s">
        <v>339</v>
      </c>
      <c r="C23" s="653">
        <v>31</v>
      </c>
      <c r="D23" s="654">
        <f>D24+C24</f>
        <v>123</v>
      </c>
      <c r="E23" s="654">
        <f>E22</f>
        <v>365</v>
      </c>
      <c r="F23" s="56">
        <f>123/365</f>
        <v>0.33698630136986302</v>
      </c>
      <c r="G23" s="654"/>
      <c r="H23" s="861">
        <v>0</v>
      </c>
      <c r="I23" s="860">
        <f>+H23*F23</f>
        <v>0</v>
      </c>
      <c r="J23" s="860">
        <f>+I23+J22</f>
        <v>0</v>
      </c>
      <c r="K23" s="862"/>
      <c r="L23" s="866">
        <f>+N41</f>
        <v>0</v>
      </c>
      <c r="M23" s="864">
        <f>L23-H23</f>
        <v>0</v>
      </c>
      <c r="N23" s="865">
        <f>IF(AND(H23&gt;=0,L23&gt;=0),IF(M23&gt;=0,I23,L23/H23*I23),IF(AND(H23&lt;0,L23&lt;0),IF(M23&lt;0,I23,L23/H23*I23),0))</f>
        <v>0</v>
      </c>
      <c r="O23" s="865">
        <f>IF(AND(H23&gt;=0,L23&gt;=0),IF(M23&gt;=0,M23,0),IF(AND(H23&lt;0,L23&lt;0),IF(M23&lt;0,M23,0),0))</f>
        <v>0</v>
      </c>
      <c r="P23" s="865">
        <f>IF(AND(H23&gt;=0,L23&lt;0),L23,IF(AND(H23&lt;0,L23&gt;=0),L23,0))</f>
        <v>0</v>
      </c>
      <c r="Q23" s="865">
        <f>Q22+N23+(O23+P23)*0.5</f>
        <v>0</v>
      </c>
    </row>
    <row r="24" spans="1:17" ht="15.5">
      <c r="A24" s="656">
        <f>+A23+1</f>
        <v>10</v>
      </c>
      <c r="B24" s="668" t="s">
        <v>340</v>
      </c>
      <c r="C24" s="653">
        <v>30</v>
      </c>
      <c r="D24" s="654">
        <f>D25+C25</f>
        <v>93</v>
      </c>
      <c r="E24" s="654">
        <f>E23</f>
        <v>365</v>
      </c>
      <c r="F24" s="56">
        <f>93/365</f>
        <v>0.25479452054794521</v>
      </c>
      <c r="G24" s="654"/>
      <c r="H24" s="861">
        <v>0</v>
      </c>
      <c r="I24" s="860">
        <f>+H24*F24</f>
        <v>0</v>
      </c>
      <c r="J24" s="860">
        <f>+I24+J23</f>
        <v>0</v>
      </c>
      <c r="K24" s="862"/>
      <c r="L24" s="866">
        <f>+N42</f>
        <v>0</v>
      </c>
      <c r="M24" s="864">
        <f>L24-H24</f>
        <v>0</v>
      </c>
      <c r="N24" s="865">
        <f>IF(AND(H24&gt;=0,L24&gt;=0),IF(M24&gt;=0,I24,L24/H24*I24),IF(AND(H24&lt;0,L24&lt;0),IF(M24&lt;0,I24,L24/H24*I24),0))</f>
        <v>0</v>
      </c>
      <c r="O24" s="865">
        <f>IF(AND(H24&gt;=0,L24&gt;=0),IF(M24&gt;=0,M24,0),IF(AND(H24&lt;0,L24&lt;0),IF(M24&lt;0,M24,0),0))</f>
        <v>0</v>
      </c>
      <c r="P24" s="865">
        <f>IF(AND(H24&gt;=0,L24&lt;0),L24,IF(AND(H24&lt;0,L24&gt;=0),L24,0))</f>
        <v>0</v>
      </c>
      <c r="Q24" s="865">
        <f>Q23+N24+(O24+P24)*0.5</f>
        <v>0</v>
      </c>
    </row>
    <row r="25" spans="1:17" ht="15.5">
      <c r="A25" s="656">
        <f>+A24+1</f>
        <v>11</v>
      </c>
      <c r="B25" s="668" t="s">
        <v>341</v>
      </c>
      <c r="C25" s="653">
        <v>31</v>
      </c>
      <c r="D25" s="654">
        <f>D26+C26</f>
        <v>62</v>
      </c>
      <c r="E25" s="654">
        <f>E24</f>
        <v>365</v>
      </c>
      <c r="F25" s="56">
        <f>62/365</f>
        <v>0.16986301369863013</v>
      </c>
      <c r="G25" s="654"/>
      <c r="H25" s="861">
        <v>0</v>
      </c>
      <c r="I25" s="860">
        <f>+H25*F25</f>
        <v>0</v>
      </c>
      <c r="J25" s="860">
        <f>+I25+J24</f>
        <v>0</v>
      </c>
      <c r="K25" s="862"/>
      <c r="L25" s="866">
        <f>+N43</f>
        <v>0</v>
      </c>
      <c r="M25" s="864">
        <f>L25-H25</f>
        <v>0</v>
      </c>
      <c r="N25" s="865">
        <f>IF(AND(H25&gt;=0,L25&gt;=0),IF(M25&gt;=0,I25,L25/H25*I25),IF(AND(H25&lt;0,L25&lt;0),IF(M25&lt;0,I25,L25/H25*I25),0))</f>
        <v>0</v>
      </c>
      <c r="O25" s="865">
        <f>IF(AND(H25&gt;=0,L25&gt;=0),IF(M25&gt;=0,M25,0),IF(AND(H25&lt;0,L25&lt;0),IF(M25&lt;0,M25,0),0))</f>
        <v>0</v>
      </c>
      <c r="P25" s="865">
        <f>IF(AND(H25&gt;=0,L25&lt;0),L25,IF(AND(H25&lt;0,L25&gt;=0),L25,0))</f>
        <v>0</v>
      </c>
      <c r="Q25" s="865">
        <f>Q24+N25+(O25+P25)*0.5</f>
        <v>0</v>
      </c>
    </row>
    <row r="26" spans="1:17" ht="15.5">
      <c r="A26" s="656">
        <f>+A25+1</f>
        <v>12</v>
      </c>
      <c r="B26" s="668" t="s">
        <v>342</v>
      </c>
      <c r="C26" s="653">
        <v>30</v>
      </c>
      <c r="D26" s="654">
        <f>D27+C27</f>
        <v>32</v>
      </c>
      <c r="E26" s="654">
        <f>E25</f>
        <v>365</v>
      </c>
      <c r="F26" s="56">
        <f>32/365</f>
        <v>0.087671232876712329</v>
      </c>
      <c r="G26" s="654"/>
      <c r="H26" s="861">
        <v>0</v>
      </c>
      <c r="I26" s="860">
        <f>+H26*F26</f>
        <v>0</v>
      </c>
      <c r="J26" s="860">
        <f>+I26+J25</f>
        <v>0</v>
      </c>
      <c r="K26" s="862"/>
      <c r="L26" s="866">
        <f>+N44</f>
        <v>0</v>
      </c>
      <c r="M26" s="864">
        <f>L26-H26</f>
        <v>0</v>
      </c>
      <c r="N26" s="865">
        <f>IF(AND(H26&gt;=0,L26&gt;=0),IF(M26&gt;=0,I26,L26/H26*I26),IF(AND(H26&lt;0,L26&lt;0),IF(M26&lt;0,I26,L26/H26*I26),0))</f>
        <v>0</v>
      </c>
      <c r="O26" s="865">
        <f>IF(AND(H26&gt;=0,L26&gt;=0),IF(M26&gt;=0,M26,0),IF(AND(H26&lt;0,L26&lt;0),IF(M26&lt;0,M26,0),0))</f>
        <v>0</v>
      </c>
      <c r="P26" s="865">
        <f>IF(AND(H26&gt;=0,L26&lt;0),L26,IF(AND(H26&lt;0,L26&gt;=0),L26,0))</f>
        <v>0</v>
      </c>
      <c r="Q26" s="865">
        <f>Q25+N26+(O26+P26)*0.5</f>
        <v>0</v>
      </c>
    </row>
    <row r="27" spans="1:17" ht="15.5">
      <c r="A27" s="656">
        <f>+A26+1</f>
        <v>13</v>
      </c>
      <c r="B27" s="668" t="s">
        <v>343</v>
      </c>
      <c r="C27" s="653">
        <v>31</v>
      </c>
      <c r="D27" s="654">
        <v>1</v>
      </c>
      <c r="E27" s="654">
        <f>E26</f>
        <v>365</v>
      </c>
      <c r="F27" s="56">
        <f>1/365</f>
        <v>0.0027397260273972603</v>
      </c>
      <c r="G27" s="654"/>
      <c r="H27" s="861">
        <v>0</v>
      </c>
      <c r="I27" s="860">
        <f>+H27*F27</f>
        <v>0</v>
      </c>
      <c r="J27" s="860">
        <f>+I27+J26</f>
        <v>0</v>
      </c>
      <c r="K27" s="862"/>
      <c r="L27" s="866">
        <f>+N45</f>
        <v>0</v>
      </c>
      <c r="M27" s="864">
        <f>L27-H27</f>
        <v>0</v>
      </c>
      <c r="N27" s="865">
        <f>IF(AND(H27&gt;=0,L27&gt;=0),IF(M27&gt;=0,I27,L27/H27*I27),IF(AND(H27&lt;0,L27&lt;0),IF(M27&lt;0,I27,L27/H27*I27),0))</f>
        <v>0</v>
      </c>
      <c r="O27" s="865">
        <f>IF(AND(H27&gt;=0,L27&gt;=0),IF(M27&gt;=0,M27,0),IF(AND(H27&lt;0,L27&lt;0),IF(M27&lt;0,M27,0),0))</f>
        <v>0</v>
      </c>
      <c r="P27" s="865">
        <f>IF(AND(H27&gt;=0,L27&lt;0),L27,IF(AND(H27&lt;0,L27&gt;=0),L27,0))</f>
        <v>0</v>
      </c>
      <c r="Q27" s="865">
        <f>Q26+N27+(O27+P27)*0.5</f>
        <v>0</v>
      </c>
    </row>
    <row r="28" spans="1:17" ht="15.5">
      <c r="A28" s="656">
        <f>+A27+1</f>
        <v>14</v>
      </c>
      <c r="B28" s="669" t="s">
        <v>65</v>
      </c>
      <c r="C28" s="670">
        <f>SUM(C16:C27)</f>
        <v>365</v>
      </c>
      <c r="D28" s="669"/>
      <c r="E28" s="669"/>
      <c r="F28" s="671"/>
      <c r="G28" s="654"/>
      <c r="H28" s="867">
        <f>SUM(H16:H27)</f>
        <v>0</v>
      </c>
      <c r="I28" s="867">
        <f>SUM(I16:I27)</f>
        <v>0</v>
      </c>
      <c r="J28" s="868"/>
      <c r="K28" s="862"/>
      <c r="L28" s="867">
        <f>SUM(L16:L27)</f>
        <v>0</v>
      </c>
      <c r="M28" s="867">
        <f t="shared" si="12" ref="M28:P28">SUM(M16:M27)</f>
        <v>0</v>
      </c>
      <c r="N28" s="869">
        <f>SUM(N16:N27)</f>
        <v>0</v>
      </c>
      <c r="O28" s="869">
        <f>SUM(O16:O27)</f>
        <v>0</v>
      </c>
      <c r="P28" s="869">
        <f>SUM(P16:P27)</f>
        <v>0</v>
      </c>
      <c r="Q28" s="870"/>
    </row>
    <row r="29" spans="1:17" ht="15.5">
      <c r="A29" s="656"/>
      <c r="B29" s="672"/>
      <c r="C29" s="672"/>
      <c r="D29" s="672"/>
      <c r="E29" s="672"/>
      <c r="F29" s="673"/>
      <c r="G29" s="673"/>
      <c r="H29" s="656"/>
      <c r="I29" s="674"/>
      <c r="J29" s="673"/>
      <c r="K29" s="673"/>
      <c r="L29" s="656"/>
      <c r="M29" s="656"/>
      <c r="N29" s="656"/>
      <c r="O29" s="656"/>
      <c r="P29" s="656"/>
      <c r="Q29" s="656"/>
    </row>
    <row r="30" spans="1:17" ht="16.9" customHeight="1">
      <c r="A30" s="216"/>
      <c r="B30" s="216"/>
      <c r="C30" s="216"/>
      <c r="D30" s="216"/>
      <c r="E30" s="216"/>
      <c r="F30" s="216"/>
      <c r="G30" s="216"/>
      <c r="H30" s="216"/>
      <c r="I30" s="216"/>
      <c r="J30" s="216"/>
      <c r="K30" s="216"/>
      <c r="L30" s="216"/>
      <c r="M30" s="216"/>
      <c r="N30" s="216"/>
      <c r="O30" s="216"/>
      <c r="P30" s="216"/>
      <c r="Q30" s="216"/>
    </row>
    <row r="31" spans="1:17" ht="16.9" customHeight="1">
      <c r="A31" s="216"/>
      <c r="B31" s="216"/>
      <c r="C31" s="216"/>
      <c r="D31" s="216"/>
      <c r="E31" s="216"/>
      <c r="F31" s="642" t="s">
        <v>17</v>
      </c>
      <c r="G31" s="216"/>
      <c r="H31" s="216"/>
      <c r="I31" s="216"/>
      <c r="J31" s="642" t="s">
        <v>386</v>
      </c>
      <c r="K31" s="216"/>
      <c r="L31" s="216"/>
      <c r="M31" s="220"/>
      <c r="N31" s="220"/>
      <c r="O31" s="1064"/>
      <c r="P31" s="220"/>
      <c r="Q31" s="216"/>
    </row>
    <row r="32" spans="1:16" ht="16.9" customHeight="1">
      <c r="A32" s="216"/>
      <c r="B32" s="216"/>
      <c r="C32" s="636" t="s">
        <v>225</v>
      </c>
      <c r="D32" s="636"/>
      <c r="E32" s="636" t="s">
        <v>325</v>
      </c>
      <c r="F32" s="675" t="s">
        <v>387</v>
      </c>
      <c r="G32" s="675" t="s">
        <v>65</v>
      </c>
      <c r="H32" s="636"/>
      <c r="I32" s="636" t="s">
        <v>328</v>
      </c>
      <c r="J32" s="675" t="s">
        <v>387</v>
      </c>
      <c r="K32" s="216"/>
      <c r="L32" s="675" t="s">
        <v>65</v>
      </c>
      <c r="M32" s="220"/>
      <c r="N32" s="675" t="s">
        <v>388</v>
      </c>
      <c r="O32" s="1065"/>
      <c r="P32" s="1065"/>
    </row>
    <row r="33" spans="1:16" ht="16.9" customHeight="1">
      <c r="A33" s="216"/>
      <c r="B33" s="216" t="s">
        <v>380</v>
      </c>
      <c r="C33" s="216"/>
      <c r="D33" s="216"/>
      <c r="E33" s="216"/>
      <c r="F33" s="216"/>
      <c r="G33" s="216"/>
      <c r="H33" s="216"/>
      <c r="I33" s="216"/>
      <c r="J33" s="216"/>
      <c r="K33" s="216"/>
      <c r="L33" s="216"/>
      <c r="M33" s="220"/>
      <c r="N33" s="216"/>
      <c r="O33" s="220"/>
      <c r="P33" s="965"/>
    </row>
    <row r="34" spans="1:16" ht="16.9" customHeight="1">
      <c r="A34" s="216">
        <f>+A28+1</f>
        <v>15</v>
      </c>
      <c r="B34" s="216" t="s">
        <v>332</v>
      </c>
      <c r="C34" s="871">
        <v>0</v>
      </c>
      <c r="D34" s="569"/>
      <c r="E34" s="871">
        <v>0</v>
      </c>
      <c r="F34" s="726">
        <f>+'Appendix A'!$H$27</f>
        <v>0.16002770040064465</v>
      </c>
      <c r="G34" s="569">
        <f t="shared" si="13" ref="G34:G45">+E34*F34</f>
        <v>0</v>
      </c>
      <c r="H34" s="569"/>
      <c r="I34" s="871">
        <v>0</v>
      </c>
      <c r="J34" s="726">
        <f>+'Appendix A'!$H$16</f>
        <v>0.09138981159089922</v>
      </c>
      <c r="K34" s="216"/>
      <c r="L34" s="569">
        <f>+I34*J34</f>
        <v>0</v>
      </c>
      <c r="M34" s="858"/>
      <c r="N34" s="569">
        <f t="shared" si="14" ref="N34:N45">+C34+G34+L34+P34</f>
        <v>0</v>
      </c>
      <c r="O34" s="725"/>
      <c r="P34" s="858"/>
    </row>
    <row r="35" spans="1:16" ht="16.9" customHeight="1">
      <c r="A35" s="216">
        <f>+A34+1</f>
        <v>16</v>
      </c>
      <c r="B35" s="216" t="s">
        <v>333</v>
      </c>
      <c r="C35" s="871">
        <v>0</v>
      </c>
      <c r="D35" s="569"/>
      <c r="E35" s="871">
        <v>0</v>
      </c>
      <c r="F35" s="726">
        <f>+'Appendix A'!$H$27</f>
        <v>0.16002770040064465</v>
      </c>
      <c r="G35" s="569">
        <f>+E35*F35</f>
        <v>0</v>
      </c>
      <c r="H35" s="569"/>
      <c r="I35" s="871">
        <v>0</v>
      </c>
      <c r="J35" s="726">
        <f>+'Appendix A'!$H$16</f>
        <v>0.09138981159089922</v>
      </c>
      <c r="K35" s="216"/>
      <c r="L35" s="569">
        <f t="shared" si="15" ref="L35:L45">+I35*J35</f>
        <v>0</v>
      </c>
      <c r="M35" s="858"/>
      <c r="N35" s="569">
        <f>+C35+G35+L35+P35</f>
        <v>0</v>
      </c>
      <c r="O35" s="725"/>
      <c r="P35" s="858"/>
    </row>
    <row r="36" spans="1:16" ht="16.9" customHeight="1">
      <c r="A36" s="216">
        <f t="shared" si="16" ref="A36:A45">+A35+1</f>
        <v>17</v>
      </c>
      <c r="B36" s="216" t="s">
        <v>334</v>
      </c>
      <c r="C36" s="871">
        <v>0</v>
      </c>
      <c r="D36" s="569"/>
      <c r="E36" s="871">
        <v>0</v>
      </c>
      <c r="F36" s="726">
        <f>+'Appendix A'!$H$27</f>
        <v>0.16002770040064465</v>
      </c>
      <c r="G36" s="569">
        <f>+E36*F36</f>
        <v>0</v>
      </c>
      <c r="H36" s="569"/>
      <c r="I36" s="871">
        <v>0</v>
      </c>
      <c r="J36" s="726">
        <f>+'Appendix A'!$H$16</f>
        <v>0.09138981159089922</v>
      </c>
      <c r="K36" s="216"/>
      <c r="L36" s="569">
        <f>+I36*J36</f>
        <v>0</v>
      </c>
      <c r="M36" s="858"/>
      <c r="N36" s="569">
        <f>+C36+G36+L36+P36</f>
        <v>0</v>
      </c>
      <c r="O36" s="725"/>
      <c r="P36" s="858"/>
    </row>
    <row r="37" spans="1:16" ht="16.9" customHeight="1">
      <c r="A37" s="216">
        <f>+A36+1</f>
        <v>18</v>
      </c>
      <c r="B37" s="216" t="s">
        <v>335</v>
      </c>
      <c r="C37" s="871">
        <v>0</v>
      </c>
      <c r="D37" s="569"/>
      <c r="E37" s="871">
        <v>0</v>
      </c>
      <c r="F37" s="726">
        <f>+'Appendix A'!$H$27</f>
        <v>0.16002770040064465</v>
      </c>
      <c r="G37" s="569">
        <f>+E37*F37</f>
        <v>0</v>
      </c>
      <c r="H37" s="569"/>
      <c r="I37" s="871">
        <v>0</v>
      </c>
      <c r="J37" s="726">
        <f>+'Appendix A'!$H$16</f>
        <v>0.09138981159089922</v>
      </c>
      <c r="K37" s="216"/>
      <c r="L37" s="569">
        <f>+I37*J37</f>
        <v>0</v>
      </c>
      <c r="M37" s="858"/>
      <c r="N37" s="569">
        <f>+C37+G37+L37+P37</f>
        <v>0</v>
      </c>
      <c r="O37" s="725"/>
      <c r="P37" s="858"/>
    </row>
    <row r="38" spans="1:16" ht="16.9" customHeight="1">
      <c r="A38" s="216">
        <f>+A37+1</f>
        <v>19</v>
      </c>
      <c r="B38" s="216" t="s">
        <v>336</v>
      </c>
      <c r="C38" s="871">
        <v>0</v>
      </c>
      <c r="D38" s="569"/>
      <c r="E38" s="871">
        <v>0</v>
      </c>
      <c r="F38" s="726">
        <f>+'Appendix A'!$H$27</f>
        <v>0.16002770040064465</v>
      </c>
      <c r="G38" s="569">
        <f>+E38*F38</f>
        <v>0</v>
      </c>
      <c r="H38" s="569"/>
      <c r="I38" s="871">
        <v>0</v>
      </c>
      <c r="J38" s="726">
        <f>+'Appendix A'!$H$16</f>
        <v>0.09138981159089922</v>
      </c>
      <c r="K38" s="216"/>
      <c r="L38" s="569">
        <f>+I38*J38</f>
        <v>0</v>
      </c>
      <c r="M38" s="858"/>
      <c r="N38" s="569">
        <f>+C38+G38+L38+P38</f>
        <v>0</v>
      </c>
      <c r="O38" s="725"/>
      <c r="P38" s="858"/>
    </row>
    <row r="39" spans="1:16" ht="16.9" customHeight="1">
      <c r="A39" s="216">
        <f>+A38+1</f>
        <v>20</v>
      </c>
      <c r="B39" s="216" t="s">
        <v>337</v>
      </c>
      <c r="C39" s="871">
        <v>0</v>
      </c>
      <c r="D39" s="569"/>
      <c r="E39" s="871">
        <v>0</v>
      </c>
      <c r="F39" s="726">
        <f>+'Appendix A'!$H$27</f>
        <v>0.16002770040064465</v>
      </c>
      <c r="G39" s="569">
        <f>+E39*F39</f>
        <v>0</v>
      </c>
      <c r="H39" s="569"/>
      <c r="I39" s="871">
        <v>0</v>
      </c>
      <c r="J39" s="726">
        <f>+'Appendix A'!$H$16</f>
        <v>0.09138981159089922</v>
      </c>
      <c r="K39" s="216"/>
      <c r="L39" s="569">
        <f>+I39*J39</f>
        <v>0</v>
      </c>
      <c r="M39" s="858"/>
      <c r="N39" s="569">
        <f>+C39+G39+L39+P39</f>
        <v>0</v>
      </c>
      <c r="O39" s="725"/>
      <c r="P39" s="858"/>
    </row>
    <row r="40" spans="1:16" ht="15.5">
      <c r="A40" s="216">
        <f>+A39+1</f>
        <v>21</v>
      </c>
      <c r="B40" s="216" t="s">
        <v>338</v>
      </c>
      <c r="C40" s="871">
        <v>0</v>
      </c>
      <c r="D40" s="569"/>
      <c r="E40" s="871">
        <v>0</v>
      </c>
      <c r="F40" s="726">
        <f>+'Appendix A'!$H$27</f>
        <v>0.16002770040064465</v>
      </c>
      <c r="G40" s="569">
        <f>+E40*F40</f>
        <v>0</v>
      </c>
      <c r="H40" s="569"/>
      <c r="I40" s="871">
        <v>0</v>
      </c>
      <c r="J40" s="726">
        <f>+'Appendix A'!$H$16</f>
        <v>0.09138981159089922</v>
      </c>
      <c r="K40" s="216"/>
      <c r="L40" s="569">
        <f>+I40*J40</f>
        <v>0</v>
      </c>
      <c r="M40" s="858"/>
      <c r="N40" s="569">
        <f>+C40+G40+L40+P40</f>
        <v>0</v>
      </c>
      <c r="O40" s="725"/>
      <c r="P40" s="858"/>
    </row>
    <row r="41" spans="1:16" ht="15.5">
      <c r="A41" s="216">
        <f>+A40+1</f>
        <v>22</v>
      </c>
      <c r="B41" s="216" t="s">
        <v>339</v>
      </c>
      <c r="C41" s="871">
        <v>0</v>
      </c>
      <c r="D41" s="569"/>
      <c r="E41" s="871">
        <v>0</v>
      </c>
      <c r="F41" s="726">
        <f>+'Appendix A'!$H$27</f>
        <v>0.16002770040064465</v>
      </c>
      <c r="G41" s="569">
        <f>+E41*F41</f>
        <v>0</v>
      </c>
      <c r="H41" s="569"/>
      <c r="I41" s="871">
        <v>0</v>
      </c>
      <c r="J41" s="726">
        <f>+'Appendix A'!$H$16</f>
        <v>0.09138981159089922</v>
      </c>
      <c r="K41" s="216"/>
      <c r="L41" s="569">
        <f>+I41*J41</f>
        <v>0</v>
      </c>
      <c r="M41" s="858"/>
      <c r="N41" s="569">
        <f>+C41+G41+L41+P41</f>
        <v>0</v>
      </c>
      <c r="O41" s="725"/>
      <c r="P41" s="858"/>
    </row>
    <row r="42" spans="1:16" ht="15.5">
      <c r="A42" s="216">
        <f>+A41+1</f>
        <v>23</v>
      </c>
      <c r="B42" s="216" t="s">
        <v>340</v>
      </c>
      <c r="C42" s="871">
        <v>0</v>
      </c>
      <c r="D42" s="569"/>
      <c r="E42" s="871">
        <v>0</v>
      </c>
      <c r="F42" s="726">
        <f>+'Appendix A'!$H$27</f>
        <v>0.16002770040064465</v>
      </c>
      <c r="G42" s="569">
        <f>+E42*F42</f>
        <v>0</v>
      </c>
      <c r="H42" s="569"/>
      <c r="I42" s="871">
        <v>0</v>
      </c>
      <c r="J42" s="726">
        <f>+'Appendix A'!$H$16</f>
        <v>0.09138981159089922</v>
      </c>
      <c r="K42" s="216"/>
      <c r="L42" s="569">
        <f>+I42*J42</f>
        <v>0</v>
      </c>
      <c r="M42" s="858"/>
      <c r="N42" s="569">
        <f>+C42+G42+L42+P42</f>
        <v>0</v>
      </c>
      <c r="O42" s="725"/>
      <c r="P42" s="858"/>
    </row>
    <row r="43" spans="1:16" ht="15.5">
      <c r="A43" s="216">
        <f>+A42+1</f>
        <v>24</v>
      </c>
      <c r="B43" s="216" t="s">
        <v>341</v>
      </c>
      <c r="C43" s="871">
        <v>0</v>
      </c>
      <c r="D43" s="569"/>
      <c r="E43" s="871">
        <v>0</v>
      </c>
      <c r="F43" s="726">
        <f>+'Appendix A'!$H$27</f>
        <v>0.16002770040064465</v>
      </c>
      <c r="G43" s="569">
        <f>+E43*F43</f>
        <v>0</v>
      </c>
      <c r="H43" s="569"/>
      <c r="I43" s="871">
        <v>0</v>
      </c>
      <c r="J43" s="726">
        <f>+'Appendix A'!$H$16</f>
        <v>0.09138981159089922</v>
      </c>
      <c r="K43" s="216"/>
      <c r="L43" s="569">
        <f>+I43*J43</f>
        <v>0</v>
      </c>
      <c r="M43" s="858"/>
      <c r="N43" s="569">
        <f>+C43+G43+L43+P43</f>
        <v>0</v>
      </c>
      <c r="O43" s="725"/>
      <c r="P43" s="858"/>
    </row>
    <row r="44" spans="1:16" ht="15.5">
      <c r="A44" s="216">
        <f>+A43+1</f>
        <v>25</v>
      </c>
      <c r="B44" s="216" t="s">
        <v>342</v>
      </c>
      <c r="C44" s="871">
        <v>0</v>
      </c>
      <c r="D44" s="569"/>
      <c r="E44" s="871">
        <v>0</v>
      </c>
      <c r="F44" s="726">
        <f>+'Appendix A'!$H$27</f>
        <v>0.16002770040064465</v>
      </c>
      <c r="G44" s="569">
        <f>+E44*F44</f>
        <v>0</v>
      </c>
      <c r="H44" s="569"/>
      <c r="I44" s="871">
        <v>0</v>
      </c>
      <c r="J44" s="726">
        <f>+'Appendix A'!$H$16</f>
        <v>0.09138981159089922</v>
      </c>
      <c r="K44" s="216"/>
      <c r="L44" s="569">
        <f>+I44*J44</f>
        <v>0</v>
      </c>
      <c r="M44" s="858"/>
      <c r="N44" s="569">
        <f>+C44+G44+L44+P44</f>
        <v>0</v>
      </c>
      <c r="O44" s="725"/>
      <c r="P44" s="858"/>
    </row>
    <row r="45" spans="1:16" ht="15.5">
      <c r="A45" s="216">
        <f>+A44+1</f>
        <v>26</v>
      </c>
      <c r="B45" s="216" t="s">
        <v>343</v>
      </c>
      <c r="C45" s="871">
        <v>0</v>
      </c>
      <c r="D45" s="569"/>
      <c r="E45" s="871">
        <v>0</v>
      </c>
      <c r="F45" s="726">
        <f>+'Appendix A'!$H$27</f>
        <v>0.16002770040064465</v>
      </c>
      <c r="G45" s="569">
        <f>+E45*F45</f>
        <v>0</v>
      </c>
      <c r="H45" s="569"/>
      <c r="I45" s="871">
        <v>0</v>
      </c>
      <c r="J45" s="726">
        <f>+'Appendix A'!$H$16</f>
        <v>0.09138981159089922</v>
      </c>
      <c r="K45" s="216"/>
      <c r="L45" s="569">
        <f>+I45*J45</f>
        <v>0</v>
      </c>
      <c r="M45" s="858"/>
      <c r="N45" s="569">
        <f>+C45+G45+L45+P45</f>
        <v>0</v>
      </c>
      <c r="O45" s="725"/>
      <c r="P45" s="858"/>
    </row>
    <row r="46" spans="1:17" ht="15.5">
      <c r="A46" s="216"/>
      <c r="B46" s="216"/>
      <c r="C46" s="216"/>
      <c r="D46" s="216"/>
      <c r="E46" s="216"/>
      <c r="F46" s="216"/>
      <c r="G46" s="676"/>
      <c r="H46" s="216"/>
      <c r="I46" s="216"/>
      <c r="J46" s="216"/>
      <c r="K46" s="216"/>
      <c r="L46" s="216"/>
      <c r="M46" s="220"/>
      <c r="N46" s="220"/>
      <c r="O46" s="220"/>
      <c r="P46" s="220"/>
      <c r="Q46" s="216"/>
    </row>
    <row r="47" spans="1:17" ht="15.5">
      <c r="A47" s="216"/>
      <c r="B47" s="216"/>
      <c r="C47" s="216"/>
      <c r="D47" s="216"/>
      <c r="E47" s="216"/>
      <c r="F47" s="216"/>
      <c r="G47" s="216"/>
      <c r="H47" s="216"/>
      <c r="I47" s="216"/>
      <c r="J47" s="216"/>
      <c r="K47" s="216"/>
      <c r="L47" s="216"/>
      <c r="M47" s="216"/>
      <c r="N47" s="216"/>
      <c r="O47" s="216"/>
      <c r="P47" s="216"/>
      <c r="Q47" s="216"/>
    </row>
    <row r="48" spans="1:17" ht="15.5">
      <c r="A48" s="216"/>
      <c r="B48" s="58" t="s">
        <v>389</v>
      </c>
      <c r="C48" s="216"/>
      <c r="D48" s="216"/>
      <c r="E48" s="216"/>
      <c r="F48" s="216"/>
      <c r="G48" s="216"/>
      <c r="H48" s="216"/>
      <c r="I48" s="216"/>
      <c r="J48" s="216"/>
      <c r="K48" s="216"/>
      <c r="L48" s="216"/>
      <c r="M48" s="216"/>
      <c r="N48" s="216"/>
      <c r="O48" s="216"/>
      <c r="P48" s="216"/>
      <c r="Q48" s="216"/>
    </row>
    <row r="49" spans="1:17" ht="15.5">
      <c r="A49" s="216"/>
      <c r="B49" s="58" t="s">
        <v>365</v>
      </c>
      <c r="C49" s="216"/>
      <c r="D49" s="216"/>
      <c r="E49" s="216"/>
      <c r="F49" s="216"/>
      <c r="G49" s="216"/>
      <c r="H49" s="216"/>
      <c r="I49" s="216"/>
      <c r="J49" s="216"/>
      <c r="K49" s="216"/>
      <c r="L49" s="216"/>
      <c r="M49" s="216"/>
      <c r="N49" s="216"/>
      <c r="O49" s="216"/>
      <c r="P49" s="216"/>
      <c r="Q49" s="216"/>
    </row>
    <row r="50" spans="1:17" ht="15.5">
      <c r="A50" s="216"/>
      <c r="B50" s="58" t="s">
        <v>366</v>
      </c>
      <c r="C50" s="216"/>
      <c r="D50" s="216"/>
      <c r="E50" s="216"/>
      <c r="F50" s="216"/>
      <c r="G50" s="216"/>
      <c r="H50" s="216"/>
      <c r="I50" s="216"/>
      <c r="J50" s="216"/>
      <c r="K50" s="216"/>
      <c r="L50" s="216"/>
      <c r="M50" s="216"/>
      <c r="N50" s="216"/>
      <c r="O50" s="216"/>
      <c r="P50" s="216"/>
      <c r="Q50" s="216"/>
    </row>
    <row r="51" spans="1:17" ht="15.5">
      <c r="A51" s="216"/>
      <c r="B51" s="58" t="s">
        <v>367</v>
      </c>
      <c r="C51" s="216"/>
      <c r="D51" s="216"/>
      <c r="E51" s="216"/>
      <c r="F51" s="216"/>
      <c r="G51" s="216"/>
      <c r="H51" s="216"/>
      <c r="I51" s="216"/>
      <c r="J51" s="216"/>
      <c r="K51" s="216"/>
      <c r="L51" s="216"/>
      <c r="M51" s="216"/>
      <c r="N51" s="216"/>
      <c r="O51" s="216"/>
      <c r="P51" s="216"/>
      <c r="Q51" s="216"/>
    </row>
    <row r="52" spans="1:17" ht="15.5">
      <c r="A52" s="975"/>
      <c r="B52" s="58" t="s">
        <v>368</v>
      </c>
      <c r="C52" s="975"/>
      <c r="D52" s="975"/>
      <c r="E52" s="975"/>
      <c r="F52" s="975"/>
      <c r="G52" s="975"/>
      <c r="H52" s="975"/>
      <c r="I52" s="975"/>
      <c r="J52" s="975"/>
      <c r="K52" s="975"/>
      <c r="L52" s="975"/>
      <c r="M52" s="975"/>
      <c r="N52" s="975"/>
      <c r="O52" s="975"/>
      <c r="P52" s="975"/>
      <c r="Q52" s="975"/>
    </row>
    <row r="53" spans="1:17" ht="12.5">
      <c r="A53" s="975"/>
      <c r="B53" s="975"/>
      <c r="C53" s="975"/>
      <c r="D53" s="975"/>
      <c r="E53" s="975"/>
      <c r="F53" s="975"/>
      <c r="G53" s="975"/>
      <c r="H53" s="975"/>
      <c r="I53" s="975"/>
      <c r="J53" s="975"/>
      <c r="K53" s="975"/>
      <c r="L53" s="975"/>
      <c r="M53" s="975"/>
      <c r="N53" s="975"/>
      <c r="O53" s="975"/>
      <c r="P53" s="975"/>
      <c r="Q53" s="975"/>
    </row>
    <row r="54" spans="1:17" ht="12.5">
      <c r="A54" s="975"/>
      <c r="B54" s="975"/>
      <c r="C54" s="975"/>
      <c r="D54" s="975"/>
      <c r="E54" s="975"/>
      <c r="F54" s="975"/>
      <c r="G54" s="975"/>
      <c r="H54" s="975"/>
      <c r="I54" s="975"/>
      <c r="J54" s="975"/>
      <c r="K54" s="975"/>
      <c r="L54" s="975"/>
      <c r="M54" s="975"/>
      <c r="N54" s="975"/>
      <c r="O54" s="975"/>
      <c r="P54" s="975"/>
      <c r="Q54" s="975"/>
    </row>
    <row r="55" spans="1:17" s="813" customFormat="1" ht="12.5">
      <c r="A55" s="975"/>
      <c r="B55" s="975"/>
      <c r="C55" s="975"/>
      <c r="D55" s="975"/>
      <c r="E55" s="975"/>
      <c r="F55" s="975"/>
      <c r="G55" s="975"/>
      <c r="H55" s="975"/>
      <c r="I55" s="975"/>
      <c r="J55" s="975"/>
      <c r="K55" s="975"/>
      <c r="L55" s="975"/>
      <c r="M55" s="975"/>
      <c r="N55" s="975"/>
      <c r="O55" s="975"/>
      <c r="P55" s="975"/>
      <c r="Q55" s="975"/>
    </row>
    <row r="56" spans="1:17" ht="12.5">
      <c r="A56" s="975"/>
      <c r="B56" s="975"/>
      <c r="C56" s="975"/>
      <c r="D56" s="975"/>
      <c r="E56" s="975"/>
      <c r="F56" s="975"/>
      <c r="G56" s="975"/>
      <c r="H56" s="975"/>
      <c r="I56" s="975"/>
      <c r="J56" s="975"/>
      <c r="K56" s="975"/>
      <c r="L56" s="975"/>
      <c r="M56" s="975"/>
      <c r="N56" s="975"/>
      <c r="O56" s="975"/>
      <c r="P56" s="975"/>
      <c r="Q56" s="975"/>
    </row>
  </sheetData>
  <mergeCells count="3">
    <mergeCell ref="B11:F11"/>
    <mergeCell ref="H11:J11"/>
    <mergeCell ref="L11:Q11"/>
  </mergeCells>
  <pageMargins left="0.7" right="0.7" top="0.75" bottom="0.75" header="0.3" footer="0.3"/>
  <pageSetup fitToHeight="3" orientation="landscape" scale="43" r:id="rId1"/>
  <customProperties>
    <customPr name="EpmWorksheetKeyString_GUID" r:id="rId2"/>
    <customPr name="_pios_id" r:id="rId3"/>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3">
    <pageSetUpPr fitToPage="1"/>
  </sheetPr>
  <dimension ref="A1:M65"/>
  <sheetViews>
    <sheetView showGridLines="0" zoomScale="75" zoomScaleNormal="75" workbookViewId="0" topLeftCell="A1"/>
  </sheetViews>
  <sheetFormatPr defaultColWidth="9.27428571428571" defaultRowHeight="15.75"/>
  <cols>
    <col min="1" max="2" width="4.71428571428571" style="32" customWidth="1"/>
    <col min="3" max="3" width="59.7142857142857" style="32" customWidth="1"/>
    <col min="4" max="4" width="3.28571428571429" style="32" customWidth="1"/>
    <col min="5" max="5" width="16.5714285714286" style="38" customWidth="1"/>
    <col min="6" max="6" width="15.2857142857143" style="32" customWidth="1"/>
    <col min="7" max="8" width="20.2857142857143" style="32" customWidth="1"/>
    <col min="9" max="9" width="17.2857142857143" style="32" customWidth="1"/>
    <col min="10" max="10" width="9.28571428571429" style="32"/>
    <col min="11" max="11" width="18" style="32" bestFit="1" customWidth="1"/>
    <col min="12" max="12" width="9.28571428571429" style="32" bestFit="1" customWidth="1"/>
    <col min="13" max="13" width="18" style="32" bestFit="1" customWidth="1"/>
    <col min="14" max="16384" width="9.28571428571429" style="32"/>
  </cols>
  <sheetData>
    <row r="1" spans="1:9" ht="17.5">
      <c r="A1" s="27"/>
      <c r="B1" s="27"/>
      <c r="C1" s="27"/>
      <c r="D1" s="27"/>
      <c r="E1" s="44"/>
      <c r="F1" s="27"/>
      <c r="G1" s="27"/>
      <c r="H1" s="27"/>
      <c r="I1" s="2"/>
    </row>
    <row r="2" spans="1:9" ht="18">
      <c r="A2" s="1164" t="str">
        <f>+'Appendix A'!A3</f>
        <v>Dayton Power and Light</v>
      </c>
      <c r="B2" s="1164"/>
      <c r="C2" s="1164"/>
      <c r="D2" s="1164"/>
      <c r="E2" s="1164"/>
      <c r="F2" s="1164"/>
      <c r="G2" s="1164"/>
      <c r="H2" s="1164"/>
      <c r="I2" s="925"/>
    </row>
    <row r="3" spans="1:9" ht="18">
      <c r="A3" s="1164" t="str">
        <f>+'Appendix A'!A4</f>
        <v xml:space="preserve">ATTACHMENT H-15A </v>
      </c>
      <c r="B3" s="1164"/>
      <c r="C3" s="1164"/>
      <c r="D3" s="1164"/>
      <c r="E3" s="1164"/>
      <c r="F3" s="1165"/>
      <c r="G3" s="1165"/>
      <c r="H3" s="1165"/>
      <c r="I3" s="679"/>
    </row>
    <row r="4" spans="1:8" s="27" customFormat="1" ht="18">
      <c r="A4" s="1164" t="s">
        <v>816</v>
      </c>
      <c r="B4" s="1164"/>
      <c r="C4" s="1164"/>
      <c r="D4" s="1164"/>
      <c r="E4" s="1164"/>
      <c r="F4" s="1165"/>
      <c r="G4" s="1165"/>
      <c r="H4" s="1165"/>
    </row>
    <row r="5" spans="1:9" ht="15.5">
      <c r="A5" s="2" t="s">
        <v>393</v>
      </c>
      <c r="B5" s="2"/>
      <c r="C5" s="2"/>
      <c r="D5" s="2"/>
      <c r="E5" s="6"/>
      <c r="F5" s="2"/>
      <c r="G5" s="2"/>
      <c r="H5" s="2"/>
      <c r="I5" s="2"/>
    </row>
    <row r="6" spans="1:8" s="2" customFormat="1" ht="15.5">
      <c r="A6" s="2" t="s">
        <v>370</v>
      </c>
      <c r="D6" s="33"/>
      <c r="E6" s="6"/>
      <c r="G6" s="4"/>
      <c r="H6" s="4"/>
    </row>
    <row r="7" spans="5:5" s="2" customFormat="1" ht="15.5">
      <c r="E7" s="6"/>
    </row>
    <row r="8" spans="1:9" ht="15.5">
      <c r="A8" s="2"/>
      <c r="B8" s="2"/>
      <c r="C8" s="2"/>
      <c r="D8" s="11"/>
      <c r="E8" s="11" t="s">
        <v>394</v>
      </c>
      <c r="F8" s="11"/>
      <c r="G8" s="11" t="s">
        <v>395</v>
      </c>
      <c r="H8" s="11"/>
      <c r="I8" s="2"/>
    </row>
    <row r="9" spans="1:9" ht="15.5">
      <c r="A9" s="35" t="s">
        <v>396</v>
      </c>
      <c r="B9" s="35"/>
      <c r="C9" s="2"/>
      <c r="D9" s="11"/>
      <c r="E9" s="11" t="s">
        <v>397</v>
      </c>
      <c r="F9" s="11" t="s">
        <v>387</v>
      </c>
      <c r="G9" s="11" t="s">
        <v>398</v>
      </c>
      <c r="H9" s="11"/>
      <c r="I9" s="2"/>
    </row>
    <row r="10" spans="1:9" ht="15.5">
      <c r="A10" s="35"/>
      <c r="B10" s="35"/>
      <c r="C10" s="2"/>
      <c r="D10" s="11"/>
      <c r="E10" s="34"/>
      <c r="F10" s="11"/>
      <c r="G10" s="11"/>
      <c r="H10" s="11"/>
      <c r="I10" s="2"/>
    </row>
    <row r="11" spans="1:9" ht="15.5">
      <c r="A11" s="35"/>
      <c r="B11" s="35" t="s">
        <v>399</v>
      </c>
      <c r="C11" s="2"/>
      <c r="D11" s="11"/>
      <c r="E11" s="34"/>
      <c r="F11" s="11"/>
      <c r="G11" s="11"/>
      <c r="H11" s="11"/>
      <c r="I11" s="2"/>
    </row>
    <row r="12" spans="1:9" ht="15.5">
      <c r="A12" s="7">
        <v>1</v>
      </c>
      <c r="B12" s="2"/>
      <c r="C12" s="4" t="s">
        <v>400</v>
      </c>
      <c r="D12" s="25"/>
      <c r="E12" s="872">
        <f>+'4 - Cost Support'!T117</f>
        <v>12456028.020141896</v>
      </c>
      <c r="F12" s="873" t="s">
        <v>401</v>
      </c>
      <c r="G12" s="682">
        <f>+E12</f>
        <v>12456028.020141896</v>
      </c>
      <c r="H12" s="585" t="str">
        <f>"(Attachment 4, Line "&amp;'4 - Cost Support'!A117&amp;")"</f>
        <v>(Attachment 4, Line 41)</v>
      </c>
      <c r="I12" s="2"/>
    </row>
    <row r="13" spans="1:9" ht="15.5">
      <c r="A13" s="7">
        <f>+A12+1</f>
        <v>2</v>
      </c>
      <c r="B13" s="2"/>
      <c r="C13" s="589" t="s">
        <v>402</v>
      </c>
      <c r="D13" s="2"/>
      <c r="E13" s="874">
        <v>0</v>
      </c>
      <c r="F13" s="875" t="s">
        <v>401</v>
      </c>
      <c r="G13" s="876">
        <f t="shared" si="0" ref="G13:G14">+E13</f>
        <v>0</v>
      </c>
      <c r="H13" s="25"/>
      <c r="I13" s="2"/>
    </row>
    <row r="14" spans="1:9" ht="15.5">
      <c r="A14" s="7">
        <f>+A13+1</f>
        <v>3</v>
      </c>
      <c r="B14" s="2"/>
      <c r="C14" s="589" t="s">
        <v>402</v>
      </c>
      <c r="D14" s="2"/>
      <c r="E14" s="877">
        <v>0</v>
      </c>
      <c r="F14" s="878" t="s">
        <v>401</v>
      </c>
      <c r="G14" s="879">
        <f>+E14</f>
        <v>0</v>
      </c>
      <c r="H14" s="25"/>
      <c r="I14" s="2"/>
    </row>
    <row r="15" spans="1:9" ht="15.5">
      <c r="A15" s="7">
        <f>+A14+1</f>
        <v>4</v>
      </c>
      <c r="B15" s="35" t="s">
        <v>403</v>
      </c>
      <c r="C15" s="2"/>
      <c r="D15" s="23"/>
      <c r="E15" s="976">
        <f>+E12+E13+E14</f>
        <v>12456028.020141896</v>
      </c>
      <c r="F15" s="880" t="s">
        <v>401</v>
      </c>
      <c r="G15" s="977">
        <f>+E15</f>
        <v>12456028.020141896</v>
      </c>
      <c r="H15" s="25"/>
      <c r="I15" s="2"/>
    </row>
    <row r="16" spans="1:9" ht="15.5">
      <c r="A16" s="2"/>
      <c r="B16" s="2"/>
      <c r="C16" s="2"/>
      <c r="D16" s="11"/>
      <c r="E16" s="881"/>
      <c r="F16" s="882"/>
      <c r="G16" s="883"/>
      <c r="H16" s="11"/>
      <c r="I16" s="2"/>
    </row>
    <row r="17" spans="1:13" ht="15.5">
      <c r="A17" s="7"/>
      <c r="B17" s="35" t="s">
        <v>404</v>
      </c>
      <c r="C17" s="2"/>
      <c r="D17" s="11"/>
      <c r="E17" s="884"/>
      <c r="F17" s="885" t="s">
        <v>21</v>
      </c>
      <c r="G17" s="883"/>
      <c r="H17" s="11"/>
      <c r="I17" s="2"/>
      <c r="J17" s="2"/>
      <c r="K17" s="2"/>
      <c r="L17" s="2"/>
      <c r="M17" s="2"/>
    </row>
    <row r="18" spans="1:8" s="2" customFormat="1" ht="15.5">
      <c r="A18" s="7"/>
      <c r="D18" s="11"/>
      <c r="E18" s="978"/>
      <c r="F18" s="885"/>
      <c r="G18" s="885"/>
      <c r="H18" s="979"/>
    </row>
    <row r="19" spans="1:13" s="2" customFormat="1" ht="15.5">
      <c r="A19" s="7">
        <f>+A15+1</f>
        <v>5</v>
      </c>
      <c r="C19" s="588" t="s">
        <v>402</v>
      </c>
      <c r="D19" s="25"/>
      <c r="E19" s="886">
        <v>0</v>
      </c>
      <c r="F19" s="887"/>
      <c r="G19" s="888"/>
      <c r="H19" s="25"/>
      <c r="K19" s="264"/>
      <c r="L19" s="264"/>
      <c r="M19" s="264"/>
    </row>
    <row r="20" spans="1:13" s="2" customFormat="1" ht="15.5">
      <c r="A20" s="7">
        <f>+A19+1</f>
        <v>6</v>
      </c>
      <c r="B20" s="35" t="s">
        <v>405</v>
      </c>
      <c r="D20" s="23"/>
      <c r="E20" s="568">
        <f>SUM(E19:E19)</f>
        <v>0</v>
      </c>
      <c r="F20" s="829">
        <f>+'Appendix A'!H27</f>
        <v>0.16002770040064465</v>
      </c>
      <c r="G20" s="568">
        <f>+E20*F20</f>
        <v>0</v>
      </c>
      <c r="H20" s="568"/>
      <c r="K20" s="264"/>
      <c r="L20" s="264"/>
      <c r="M20" s="264"/>
    </row>
    <row r="21" spans="1:13" s="2" customFormat="1" ht="12.75" customHeight="1">
      <c r="A21" s="7"/>
      <c r="D21" s="23"/>
      <c r="E21" s="36"/>
      <c r="F21" s="23"/>
      <c r="G21" s="37"/>
      <c r="H21" s="37"/>
      <c r="K21" s="264"/>
      <c r="L21" s="264"/>
      <c r="M21" s="264"/>
    </row>
    <row r="22" spans="1:13" s="2" customFormat="1" ht="12.75" customHeight="1">
      <c r="A22" s="7"/>
      <c r="B22" s="35" t="s">
        <v>328</v>
      </c>
      <c r="D22" s="23"/>
      <c r="E22" s="36"/>
      <c r="F22" s="980" t="s">
        <v>406</v>
      </c>
      <c r="G22" s="23"/>
      <c r="H22" s="23"/>
      <c r="K22" s="264"/>
      <c r="L22" s="264"/>
      <c r="M22" s="264"/>
    </row>
    <row r="23" spans="1:13" s="2" customFormat="1" ht="12.75" customHeight="1">
      <c r="A23" s="7"/>
      <c r="D23" s="23"/>
      <c r="E23" s="36"/>
      <c r="F23" s="23"/>
      <c r="G23" s="23"/>
      <c r="H23" s="23"/>
      <c r="K23" s="264"/>
      <c r="L23" s="264"/>
      <c r="M23" s="264"/>
    </row>
    <row r="24" spans="1:13" s="2" customFormat="1" ht="15.5">
      <c r="A24" s="7">
        <f>+A20+1</f>
        <v>7</v>
      </c>
      <c r="C24" s="2" t="s">
        <v>407</v>
      </c>
      <c r="E24" s="39">
        <f>+'4 - Cost Support'!S118</f>
        <v>3239444</v>
      </c>
      <c r="K24" s="264"/>
      <c r="L24" s="264"/>
      <c r="M24" s="264"/>
    </row>
    <row r="25" spans="1:13" s="2" customFormat="1" ht="15.5">
      <c r="A25" s="7">
        <f>1+A24</f>
        <v>8</v>
      </c>
      <c r="C25" s="2" t="s">
        <v>408</v>
      </c>
      <c r="E25" s="39">
        <f>+'4 - Cost Support'!S119</f>
        <v>0</v>
      </c>
      <c r="K25" s="264"/>
      <c r="L25" s="264"/>
      <c r="M25" s="264"/>
    </row>
    <row r="26" spans="1:13" s="2" customFormat="1" ht="15.5">
      <c r="A26" s="7">
        <f>1+A25</f>
        <v>9</v>
      </c>
      <c r="C26" s="588" t="s">
        <v>409</v>
      </c>
      <c r="E26" s="1010">
        <v>143712</v>
      </c>
      <c r="F26" s="10"/>
      <c r="G26" s="10"/>
      <c r="H26" s="530"/>
      <c r="K26" s="264"/>
      <c r="L26" s="264"/>
      <c r="M26" s="264"/>
    </row>
    <row r="27" spans="1:13" ht="15.5">
      <c r="A27" s="7">
        <f>1+A26</f>
        <v>10</v>
      </c>
      <c r="B27" s="35" t="s">
        <v>410</v>
      </c>
      <c r="C27" s="2"/>
      <c r="D27" s="2"/>
      <c r="E27" s="568">
        <f>SUM(E24:E26)</f>
        <v>3383156</v>
      </c>
      <c r="F27" s="981">
        <f>+'Appendix A'!H16</f>
        <v>0.09138981159089922</v>
      </c>
      <c r="G27" s="568">
        <f>+E27*F27</f>
        <v>309185.98942262022</v>
      </c>
      <c r="H27" s="568"/>
      <c r="I27" s="2"/>
      <c r="J27" s="2"/>
      <c r="K27" s="264"/>
      <c r="L27" s="264"/>
      <c r="M27" s="264"/>
    </row>
    <row r="28" spans="1:13" ht="15.5">
      <c r="A28" s="7"/>
      <c r="B28" s="35"/>
      <c r="C28" s="2"/>
      <c r="D28" s="2"/>
      <c r="E28" s="568"/>
      <c r="F28" s="982"/>
      <c r="G28" s="568"/>
      <c r="H28" s="568"/>
      <c r="I28" s="2"/>
      <c r="J28" s="2"/>
      <c r="K28" s="264"/>
      <c r="L28" s="264"/>
      <c r="M28" s="264"/>
    </row>
    <row r="29" spans="1:13" s="2" customFormat="1" ht="16" thickBot="1">
      <c r="A29" s="7">
        <f>+A27+1</f>
        <v>11</v>
      </c>
      <c r="B29" s="35" t="s">
        <v>411</v>
      </c>
      <c r="E29" s="937">
        <f>+E15+E20+E27</f>
        <v>15839184.020141896</v>
      </c>
      <c r="F29" s="983"/>
      <c r="G29" s="937">
        <f>+G15+G20+G27</f>
        <v>12765214.009564515</v>
      </c>
      <c r="H29" s="531"/>
      <c r="K29" s="264"/>
      <c r="L29" s="264"/>
      <c r="M29" s="264"/>
    </row>
    <row r="30" spans="1:13" s="2" customFormat="1" ht="16" thickTop="1">
      <c r="A30" s="7"/>
      <c r="C30" s="29"/>
      <c r="E30" s="6"/>
      <c r="K30" s="264"/>
      <c r="L30" s="264"/>
      <c r="M30" s="264"/>
    </row>
    <row r="31" spans="1:13" s="2" customFormat="1" ht="15.5">
      <c r="A31" s="7"/>
      <c r="C31" s="29"/>
      <c r="E31" s="6"/>
      <c r="F31" s="39"/>
      <c r="K31" s="264"/>
      <c r="L31" s="264"/>
      <c r="M31" s="264"/>
    </row>
    <row r="32" spans="1:13" ht="15.5">
      <c r="A32" s="7"/>
      <c r="B32" s="2"/>
      <c r="C32" s="35" t="s">
        <v>242</v>
      </c>
      <c r="D32" s="2"/>
      <c r="E32" s="6"/>
      <c r="F32" s="2"/>
      <c r="G32" s="2"/>
      <c r="H32" s="2"/>
      <c r="I32" s="2"/>
      <c r="J32" s="2"/>
      <c r="K32" s="264"/>
      <c r="L32" s="264"/>
      <c r="M32" s="264"/>
    </row>
    <row r="33" spans="1:13" s="2" customFormat="1" ht="15.5">
      <c r="A33" s="7"/>
      <c r="E33" s="6"/>
      <c r="G33" s="984"/>
      <c r="H33" s="984"/>
      <c r="K33" s="264"/>
      <c r="L33" s="264"/>
      <c r="M33" s="264"/>
    </row>
    <row r="34" spans="1:13" ht="15.5">
      <c r="A34" s="7">
        <f>1+A29</f>
        <v>12</v>
      </c>
      <c r="B34" s="2"/>
      <c r="C34" s="590" t="s">
        <v>412</v>
      </c>
      <c r="D34" s="4"/>
      <c r="E34" s="889">
        <v>0</v>
      </c>
      <c r="F34" s="40"/>
      <c r="G34" s="4"/>
      <c r="H34" s="4"/>
      <c r="I34" s="2"/>
      <c r="J34" s="2"/>
      <c r="K34" s="264"/>
      <c r="L34" s="264"/>
      <c r="M34" s="264"/>
    </row>
    <row r="35" spans="1:13" ht="15.5">
      <c r="A35" s="7">
        <f>1+A34</f>
        <v>13</v>
      </c>
      <c r="B35" s="2"/>
      <c r="C35" s="590" t="s">
        <v>413</v>
      </c>
      <c r="D35" s="4"/>
      <c r="E35" s="889">
        <v>0</v>
      </c>
      <c r="F35" s="40"/>
      <c r="G35" s="4"/>
      <c r="H35" s="4"/>
      <c r="I35" s="2"/>
      <c r="J35" s="2"/>
      <c r="K35" s="264"/>
      <c r="L35" s="264"/>
      <c r="M35" s="264"/>
    </row>
    <row r="36" spans="1:13" ht="15.5">
      <c r="A36" s="7">
        <f t="shared" si="1" ref="A36:A41">1+A35</f>
        <v>14</v>
      </c>
      <c r="B36" s="2"/>
      <c r="C36" s="590" t="s">
        <v>414</v>
      </c>
      <c r="D36" s="4"/>
      <c r="E36" s="889">
        <v>0</v>
      </c>
      <c r="F36" s="40"/>
      <c r="G36" s="4"/>
      <c r="H36" s="4"/>
      <c r="I36" s="2"/>
      <c r="J36" s="2"/>
      <c r="K36" s="264"/>
      <c r="L36" s="264"/>
      <c r="M36" s="264"/>
    </row>
    <row r="37" spans="1:13" ht="15.5">
      <c r="A37" s="7">
        <f>1+A36</f>
        <v>15</v>
      </c>
      <c r="B37" s="2"/>
      <c r="C37" s="590" t="s">
        <v>415</v>
      </c>
      <c r="D37" s="4"/>
      <c r="E37" s="889">
        <v>0</v>
      </c>
      <c r="F37" s="40"/>
      <c r="G37" s="4"/>
      <c r="H37" s="4"/>
      <c r="I37" s="2"/>
      <c r="J37" s="2"/>
      <c r="K37" s="264"/>
      <c r="L37" s="264"/>
      <c r="M37" s="264"/>
    </row>
    <row r="38" spans="1:13" ht="15.5">
      <c r="A38" s="7">
        <f>1+A37</f>
        <v>16</v>
      </c>
      <c r="B38" s="2"/>
      <c r="C38" s="588" t="s">
        <v>402</v>
      </c>
      <c r="D38" s="25"/>
      <c r="E38" s="889">
        <v>0</v>
      </c>
      <c r="F38" s="40"/>
      <c r="G38" s="4"/>
      <c r="H38" s="4"/>
      <c r="I38" s="2"/>
      <c r="J38" s="2"/>
      <c r="K38" s="264"/>
      <c r="L38" s="264"/>
      <c r="M38" s="264"/>
    </row>
    <row r="39" spans="1:13" ht="15.5">
      <c r="A39" s="7">
        <f>1+A38</f>
        <v>17</v>
      </c>
      <c r="B39" s="2"/>
      <c r="C39" s="588" t="s">
        <v>402</v>
      </c>
      <c r="D39" s="25"/>
      <c r="E39" s="889">
        <v>0</v>
      </c>
      <c r="F39" s="40"/>
      <c r="G39" s="2"/>
      <c r="H39" s="2"/>
      <c r="I39" s="2"/>
      <c r="J39" s="2"/>
      <c r="K39" s="264"/>
      <c r="L39" s="264"/>
      <c r="M39" s="264"/>
    </row>
    <row r="40" spans="1:13" ht="15.5">
      <c r="A40" s="7">
        <f>1+A39</f>
        <v>18</v>
      </c>
      <c r="B40" s="2"/>
      <c r="C40" s="588" t="s">
        <v>402</v>
      </c>
      <c r="D40" s="4"/>
      <c r="E40" s="889">
        <v>0</v>
      </c>
      <c r="F40" s="40"/>
      <c r="G40" s="2"/>
      <c r="H40" s="2"/>
      <c r="I40" s="2"/>
      <c r="J40" s="2"/>
      <c r="K40" s="264"/>
      <c r="L40" s="264"/>
      <c r="M40" s="264"/>
    </row>
    <row r="41" spans="1:13" s="2" customFormat="1" ht="15.5">
      <c r="A41" s="7">
        <f>1+A40</f>
        <v>19</v>
      </c>
      <c r="C41" s="709" t="s">
        <v>416</v>
      </c>
      <c r="D41" s="4"/>
      <c r="E41" s="985">
        <f>SUM(E34:E40)</f>
        <v>0</v>
      </c>
      <c r="K41" s="264"/>
      <c r="L41" s="264"/>
      <c r="M41" s="264"/>
    </row>
    <row r="42" spans="1:13" s="2" customFormat="1" ht="15.5">
      <c r="A42" s="7"/>
      <c r="C42" s="4"/>
      <c r="D42" s="4"/>
      <c r="E42" s="890"/>
      <c r="K42" s="264"/>
      <c r="L42" s="264"/>
      <c r="M42" s="264"/>
    </row>
    <row r="43" spans="1:13" ht="15.5">
      <c r="A43" s="7">
        <f>1+A41</f>
        <v>20</v>
      </c>
      <c r="B43" s="709" t="s">
        <v>417</v>
      </c>
      <c r="C43" s="986"/>
      <c r="D43" s="4"/>
      <c r="E43" s="987">
        <f>+E29+E41</f>
        <v>15839184.020141896</v>
      </c>
      <c r="F43" s="2"/>
      <c r="G43" s="2"/>
      <c r="H43" s="2"/>
      <c r="I43" s="2"/>
      <c r="J43" s="2"/>
      <c r="K43" s="264"/>
      <c r="L43" s="264"/>
      <c r="M43" s="264"/>
    </row>
    <row r="44" spans="1:13" ht="15.5">
      <c r="A44" s="7"/>
      <c r="B44" s="4"/>
      <c r="C44" s="988"/>
      <c r="D44" s="4"/>
      <c r="E44" s="890"/>
      <c r="F44" s="4"/>
      <c r="G44" s="2"/>
      <c r="H44" s="2"/>
      <c r="I44" s="2"/>
      <c r="J44" s="2"/>
      <c r="K44" s="264"/>
      <c r="L44" s="264"/>
      <c r="M44" s="264"/>
    </row>
    <row r="45" spans="1:13" ht="15.5">
      <c r="A45" s="7">
        <f>1+A43</f>
        <v>21</v>
      </c>
      <c r="B45" s="709" t="s">
        <v>418</v>
      </c>
      <c r="C45" s="986"/>
      <c r="D45" s="989"/>
      <c r="E45" s="889">
        <v>0</v>
      </c>
      <c r="F45" s="41"/>
      <c r="G45" s="41"/>
      <c r="H45" s="41"/>
      <c r="I45" s="2"/>
      <c r="J45" s="2"/>
      <c r="K45" s="264"/>
      <c r="L45" s="264"/>
      <c r="M45" s="264"/>
    </row>
    <row r="46" spans="1:13" ht="15.5">
      <c r="A46" s="2"/>
      <c r="B46" s="4"/>
      <c r="C46" s="990"/>
      <c r="D46" s="990"/>
      <c r="E46" s="991"/>
      <c r="F46" s="41"/>
      <c r="G46" s="41"/>
      <c r="H46" s="41"/>
      <c r="I46" s="2"/>
      <c r="J46" s="2"/>
      <c r="K46" s="264"/>
      <c r="L46" s="264"/>
      <c r="M46" s="264"/>
    </row>
    <row r="47" spans="1:13" ht="15.5">
      <c r="A47" s="7">
        <f>1+A45</f>
        <v>22</v>
      </c>
      <c r="B47" s="4"/>
      <c r="C47" s="990" t="s">
        <v>419</v>
      </c>
      <c r="D47" s="990"/>
      <c r="E47" s="992">
        <f>+E43-E45</f>
        <v>15839184.020141896</v>
      </c>
      <c r="F47" s="2"/>
      <c r="G47" s="41"/>
      <c r="H47" s="41"/>
      <c r="I47" s="2"/>
      <c r="J47" s="2"/>
      <c r="K47" s="264"/>
      <c r="L47" s="264"/>
      <c r="M47" s="264"/>
    </row>
    <row r="48" spans="1:13" ht="15.5">
      <c r="A48" s="2"/>
      <c r="B48" s="4"/>
      <c r="C48" s="990"/>
      <c r="D48" s="990"/>
      <c r="E48" s="993"/>
      <c r="F48" s="41"/>
      <c r="G48" s="41"/>
      <c r="H48" s="41"/>
      <c r="I48" s="2"/>
      <c r="J48" s="2"/>
      <c r="K48" s="2"/>
      <c r="L48" s="2"/>
      <c r="M48" s="2"/>
    </row>
    <row r="49" spans="2:8" ht="15.5">
      <c r="B49" s="4"/>
      <c r="C49" s="990"/>
      <c r="D49" s="990"/>
      <c r="E49" s="993"/>
      <c r="F49" s="41"/>
      <c r="G49" s="41"/>
      <c r="H49" s="41"/>
    </row>
    <row r="50" spans="2:8" ht="15.5">
      <c r="B50" s="4"/>
      <c r="C50" s="990"/>
      <c r="D50" s="990"/>
      <c r="E50" s="993"/>
      <c r="F50" s="41"/>
      <c r="G50" s="41"/>
      <c r="H50" s="41"/>
    </row>
    <row r="51" spans="2:8" ht="15.5">
      <c r="B51" s="4"/>
      <c r="C51" s="990"/>
      <c r="D51" s="990"/>
      <c r="E51" s="993"/>
      <c r="F51" s="41"/>
      <c r="G51" s="41"/>
      <c r="H51" s="41"/>
    </row>
    <row r="52" spans="2:8" ht="25.15" customHeight="1">
      <c r="B52" s="4"/>
      <c r="C52" s="4"/>
      <c r="D52" s="4"/>
      <c r="E52" s="39"/>
      <c r="F52" s="40"/>
      <c r="G52" s="40"/>
      <c r="H52" s="40"/>
    </row>
    <row r="53" spans="2:8" ht="25.15" customHeight="1">
      <c r="B53" s="4"/>
      <c r="C53" s="4"/>
      <c r="D53" s="4"/>
      <c r="E53" s="39"/>
      <c r="F53" s="40"/>
      <c r="G53" s="40"/>
      <c r="H53" s="40"/>
    </row>
    <row r="54" spans="2:8" ht="25.15" customHeight="1">
      <c r="B54" s="4"/>
      <c r="C54" s="942"/>
      <c r="D54" s="4"/>
      <c r="E54" s="39"/>
      <c r="F54" s="4"/>
      <c r="G54" s="40"/>
      <c r="H54" s="40"/>
    </row>
    <row r="55" spans="2:8" ht="25.15" customHeight="1">
      <c r="B55" s="4"/>
      <c r="C55" s="4"/>
      <c r="D55" s="4"/>
      <c r="E55" s="39"/>
      <c r="F55" s="4"/>
      <c r="G55" s="40"/>
      <c r="H55" s="40"/>
    </row>
    <row r="56" spans="2:8" ht="25.15" customHeight="1">
      <c r="B56" s="4"/>
      <c r="C56" s="942"/>
      <c r="D56" s="4"/>
      <c r="E56" s="39"/>
      <c r="F56" s="4"/>
      <c r="G56" s="40"/>
      <c r="H56" s="40"/>
    </row>
    <row r="57" spans="2:8" ht="25.15" customHeight="1">
      <c r="B57" s="4"/>
      <c r="C57" s="4"/>
      <c r="D57" s="4"/>
      <c r="E57" s="39"/>
      <c r="F57" s="4"/>
      <c r="G57" s="40"/>
      <c r="H57" s="40"/>
    </row>
    <row r="58" spans="2:8" ht="25.15" customHeight="1">
      <c r="B58" s="4"/>
      <c r="C58" s="942"/>
      <c r="D58" s="4"/>
      <c r="E58" s="39"/>
      <c r="F58" s="4"/>
      <c r="G58" s="40"/>
      <c r="H58" s="40"/>
    </row>
    <row r="59" spans="2:8" ht="25.15" customHeight="1">
      <c r="B59" s="4"/>
      <c r="C59" s="4"/>
      <c r="D59" s="4"/>
      <c r="E59" s="39"/>
      <c r="F59" s="4"/>
      <c r="G59" s="4"/>
      <c r="H59" s="4"/>
    </row>
    <row r="60" spans="2:8" ht="25.15" customHeight="1">
      <c r="B60" s="4"/>
      <c r="C60" s="4"/>
      <c r="D60" s="4"/>
      <c r="E60" s="994"/>
      <c r="F60" s="4"/>
      <c r="G60" s="4"/>
      <c r="H60" s="4"/>
    </row>
    <row r="61" spans="2:8" ht="25.15" customHeight="1">
      <c r="B61" s="4"/>
      <c r="C61" s="4"/>
      <c r="D61" s="4"/>
      <c r="E61" s="994"/>
      <c r="F61" s="4"/>
      <c r="G61" s="4"/>
      <c r="H61" s="4"/>
    </row>
    <row r="62" spans="2:8" ht="15.5">
      <c r="B62" s="2"/>
      <c r="C62" s="4"/>
      <c r="D62" s="2"/>
      <c r="E62" s="6"/>
      <c r="F62" s="2"/>
      <c r="G62" s="2"/>
      <c r="H62" s="2"/>
    </row>
    <row r="63" spans="2:8" ht="15.5">
      <c r="B63" s="2"/>
      <c r="C63" s="4"/>
      <c r="D63" s="2"/>
      <c r="E63" s="6"/>
      <c r="F63" s="2"/>
      <c r="G63" s="2"/>
      <c r="H63" s="2"/>
    </row>
    <row r="64" spans="2:8" ht="15.5">
      <c r="B64" s="2"/>
      <c r="C64" s="4"/>
      <c r="D64" s="2"/>
      <c r="E64" s="6"/>
      <c r="F64" s="2"/>
      <c r="G64" s="2"/>
      <c r="H64" s="2"/>
    </row>
    <row r="65" spans="3:3" ht="15.5">
      <c r="C65" s="4"/>
    </row>
  </sheetData>
  <mergeCells count="3">
    <mergeCell ref="A4:H4"/>
    <mergeCell ref="A2:H2"/>
    <mergeCell ref="A3:H3"/>
  </mergeCells>
  <printOptions horizontalCentered="1"/>
  <pageMargins left="0.75" right="0.75" top="1" bottom="1" header="0.5" footer="0.5"/>
  <pageSetup orientation="portrait" scale="53" r:id="rId1"/>
  <headerFooter alignWithMargins="0"/>
  <customProperties>
    <customPr name="EpmWorksheetKeyString_GUID" r:id="rId2"/>
    <customPr name="_pios_id" r:id="rId3"/>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4">
    <pageSetUpPr fitToPage="1"/>
  </sheetPr>
  <dimension ref="A1:AM45"/>
  <sheetViews>
    <sheetView showGridLines="0" zoomScale="75" zoomScaleNormal="75" workbookViewId="0" topLeftCell="A1"/>
  </sheetViews>
  <sheetFormatPr defaultColWidth="9.27428571428571" defaultRowHeight="15.75"/>
  <cols>
    <col min="1" max="1" width="7.28571428571429" style="7" customWidth="1"/>
    <col min="2" max="2" width="120.571428571429" style="2" customWidth="1"/>
    <col min="3" max="3" width="23.7142857142857" style="2" customWidth="1"/>
    <col min="4" max="4" width="17" style="22" bestFit="1" customWidth="1"/>
    <col min="5" max="5" width="17.5714285714286" style="2" customWidth="1"/>
    <col min="6" max="6" width="9.28571428571429" style="2"/>
    <col min="7" max="7" width="12.5714285714286" style="2" bestFit="1" customWidth="1"/>
    <col min="8" max="9" width="9.28571428571429" style="2"/>
    <col min="10" max="10" width="13.2857142857143" style="2" bestFit="1" customWidth="1"/>
    <col min="11" max="14" width="9.28571428571429" style="2"/>
    <col min="15" max="15" width="14.5714285714286" style="2" bestFit="1" customWidth="1"/>
    <col min="16" max="39" width="9.28571428571429" style="2"/>
    <col min="40" max="16384" width="9.28571428571429" style="2"/>
  </cols>
  <sheetData>
    <row r="1" spans="1:4" ht="17.5">
      <c r="A1" s="42"/>
      <c r="B1" s="27"/>
      <c r="C1" s="27"/>
      <c r="D1" s="43"/>
    </row>
    <row r="2" spans="1:4" ht="18">
      <c r="A2" s="1164" t="str">
        <f>+'Appendix A'!A3</f>
        <v>Dayton Power and Light</v>
      </c>
      <c r="B2" s="1164"/>
      <c r="C2" s="1164"/>
      <c r="D2" s="1164"/>
    </row>
    <row r="3" spans="1:5" ht="18">
      <c r="A3" s="1164" t="str">
        <f>+'Appendix A'!A4</f>
        <v xml:space="preserve">ATTACHMENT H-15A </v>
      </c>
      <c r="B3" s="1164"/>
      <c r="C3" s="1164"/>
      <c r="D3" s="1164"/>
      <c r="E3" s="925"/>
    </row>
    <row r="4" spans="1:4" ht="18">
      <c r="A4" s="1164" t="s">
        <v>817</v>
      </c>
      <c r="B4" s="1164"/>
      <c r="C4" s="1164"/>
      <c r="D4" s="1164"/>
    </row>
    <row r="5" spans="2:3" ht="15.5">
      <c r="B5" s="21"/>
      <c r="C5" s="8"/>
    </row>
    <row r="6" spans="1:4" ht="15.5">
      <c r="A6" s="5" t="s">
        <v>370</v>
      </c>
      <c r="B6" s="21"/>
      <c r="C6" s="7"/>
      <c r="D6" s="11"/>
    </row>
    <row r="7" spans="2:4" ht="15.5">
      <c r="B7" s="21"/>
      <c r="C7" s="7"/>
      <c r="D7" s="18"/>
    </row>
    <row r="8" spans="2:3" ht="15.5">
      <c r="B8" s="21"/>
      <c r="C8" s="7"/>
    </row>
    <row r="9" spans="3:4" ht="15" customHeight="1">
      <c r="C9" s="7"/>
      <c r="D9" s="680"/>
    </row>
    <row r="10" spans="2:4" ht="15.5">
      <c r="B10" s="681" t="s">
        <v>420</v>
      </c>
      <c r="C10" s="7"/>
      <c r="D10" s="891"/>
    </row>
    <row r="11" spans="1:5" ht="15.5">
      <c r="A11" s="7">
        <v>1</v>
      </c>
      <c r="B11" s="703" t="s">
        <v>422</v>
      </c>
      <c r="C11" s="704"/>
      <c r="D11" s="1102">
        <v>-102718</v>
      </c>
      <c r="E11" s="556" t="s">
        <v>421</v>
      </c>
    </row>
    <row r="12" spans="2:4" ht="15.5">
      <c r="B12" s="681"/>
      <c r="C12" s="7"/>
      <c r="D12" s="891"/>
    </row>
    <row r="13" spans="2:4" ht="15.5">
      <c r="B13" s="995" t="s">
        <v>423</v>
      </c>
      <c r="D13" s="891"/>
    </row>
    <row r="14" spans="1:5" ht="15.5">
      <c r="A14" s="7">
        <f>+A11+1</f>
        <v>2</v>
      </c>
      <c r="B14" s="3" t="s">
        <v>424</v>
      </c>
      <c r="C14" s="3"/>
      <c r="D14" s="47">
        <v>0</v>
      </c>
      <c r="E14" s="556" t="s">
        <v>421</v>
      </c>
    </row>
    <row r="15" spans="1:5" ht="15.5">
      <c r="A15" s="7">
        <f>+A14+1</f>
        <v>3</v>
      </c>
      <c r="B15" s="3" t="s">
        <v>425</v>
      </c>
      <c r="C15" s="3"/>
      <c r="D15" s="47">
        <v>0</v>
      </c>
      <c r="E15" s="556" t="s">
        <v>421</v>
      </c>
    </row>
    <row r="16" spans="1:5" ht="15.5">
      <c r="A16" s="7">
        <f t="shared" si="0" ref="A16:A17">+A15+1</f>
        <v>4</v>
      </c>
      <c r="B16" s="3" t="s">
        <v>426</v>
      </c>
      <c r="C16" s="3"/>
      <c r="D16" s="47">
        <v>0</v>
      </c>
      <c r="E16" s="556" t="s">
        <v>421</v>
      </c>
    </row>
    <row r="17" spans="1:5" ht="15.5">
      <c r="A17" s="7">
        <f>+A16+1</f>
        <v>5</v>
      </c>
      <c r="B17" s="3" t="s">
        <v>427</v>
      </c>
      <c r="C17" s="3"/>
      <c r="D17" s="1054">
        <v>-212500</v>
      </c>
      <c r="E17" s="556" t="s">
        <v>421</v>
      </c>
    </row>
    <row r="18" spans="1:5" ht="15.5">
      <c r="A18" s="7">
        <f>+A17+1</f>
        <v>6</v>
      </c>
      <c r="B18" s="3" t="s">
        <v>806</v>
      </c>
      <c r="C18" s="3"/>
      <c r="D18" s="1056">
        <f>+SUM(D14:D17)</f>
        <v>-212500</v>
      </c>
      <c r="E18" s="556"/>
    </row>
    <row r="19" spans="2:5" ht="15.5">
      <c r="B19" s="3"/>
      <c r="C19" s="3"/>
      <c r="D19" s="891"/>
      <c r="E19" s="556"/>
    </row>
    <row r="20" spans="1:39" s="24" customFormat="1" ht="15.5">
      <c r="A20" s="8"/>
      <c r="B20" s="683" t="s">
        <v>428</v>
      </c>
      <c r="C20" s="3"/>
      <c r="D20" s="682"/>
      <c r="E20" s="556"/>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1" spans="1:39" s="24" customFormat="1" ht="15.5">
      <c r="A21" s="8">
        <f>+A18+1</f>
        <v>7</v>
      </c>
      <c r="B21" s="5" t="s">
        <v>429</v>
      </c>
      <c r="C21" s="23"/>
      <c r="D21" s="1006">
        <v>-1506528</v>
      </c>
      <c r="E21" s="556" t="s">
        <v>421</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row>
    <row r="22" spans="1:39" s="24" customFormat="1" ht="15.5">
      <c r="A22" s="8">
        <f>+A21+1</f>
        <v>8</v>
      </c>
      <c r="B22" s="3" t="s">
        <v>430</v>
      </c>
      <c r="C22" s="3"/>
      <c r="D22" s="1006">
        <v>0</v>
      </c>
      <c r="E22" s="556" t="s">
        <v>421</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row>
    <row r="23" spans="1:39" s="24" customFormat="1" ht="15.5">
      <c r="A23" s="8">
        <f>+A22+1</f>
        <v>9</v>
      </c>
      <c r="B23" s="3" t="s">
        <v>431</v>
      </c>
      <c r="C23" s="4"/>
      <c r="D23" s="1006">
        <v>0</v>
      </c>
      <c r="E23" s="556" t="s">
        <v>421</v>
      </c>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5" ht="15.5">
      <c r="A24" s="8">
        <f>+A23+1</f>
        <v>10</v>
      </c>
      <c r="B24" s="3" t="s">
        <v>432</v>
      </c>
      <c r="C24" s="3"/>
      <c r="D24" s="1006">
        <v>0</v>
      </c>
      <c r="E24" s="556" t="s">
        <v>421</v>
      </c>
    </row>
    <row r="25" spans="1:5" ht="15.5">
      <c r="A25" s="8">
        <f>+A24+1</f>
        <v>11</v>
      </c>
      <c r="B25" s="3" t="s">
        <v>433</v>
      </c>
      <c r="C25" s="3"/>
      <c r="D25" s="1054">
        <v>98796</v>
      </c>
      <c r="E25" s="556" t="s">
        <v>421</v>
      </c>
    </row>
    <row r="26" spans="1:5" ht="15.5">
      <c r="A26" s="8">
        <f>+A25+1</f>
        <v>12</v>
      </c>
      <c r="B26" s="3" t="s">
        <v>807</v>
      </c>
      <c r="C26" s="3"/>
      <c r="D26" s="682">
        <f>+SUM(D21:D25)</f>
        <v>-1407732</v>
      </c>
      <c r="E26" s="556"/>
    </row>
    <row r="27" spans="1:5" ht="30" customHeight="1">
      <c r="A27" s="8"/>
      <c r="B27" s="683" t="s">
        <v>434</v>
      </c>
      <c r="C27" s="3"/>
      <c r="D27" s="682"/>
      <c r="E27" s="556"/>
    </row>
    <row r="28" spans="1:5" ht="46.5">
      <c r="A28" s="678">
        <f>+A26+1</f>
        <v>13</v>
      </c>
      <c r="B28" s="25" t="s">
        <v>435</v>
      </c>
      <c r="C28" s="23"/>
      <c r="D28" s="87">
        <v>0</v>
      </c>
      <c r="E28" s="556" t="s">
        <v>421</v>
      </c>
    </row>
    <row r="29" spans="1:5" ht="15.5">
      <c r="A29" s="8">
        <f>+A28+1</f>
        <v>14</v>
      </c>
      <c r="B29" s="1" t="s">
        <v>436</v>
      </c>
      <c r="C29" s="23"/>
      <c r="D29" s="1054">
        <v>-261833</v>
      </c>
      <c r="E29" s="556" t="s">
        <v>421</v>
      </c>
    </row>
    <row r="30" spans="1:5" ht="15.5">
      <c r="A30" s="8">
        <f>+A29+1</f>
        <v>15</v>
      </c>
      <c r="B30" s="1" t="s">
        <v>808</v>
      </c>
      <c r="C30" s="23"/>
      <c r="D30" s="1055">
        <f>+D28+D29</f>
        <v>-261833</v>
      </c>
      <c r="E30" s="556"/>
    </row>
    <row r="31" spans="1:7" ht="31">
      <c r="A31" s="7">
        <f>+A29+1</f>
        <v>15</v>
      </c>
      <c r="B31" s="1" t="s">
        <v>437</v>
      </c>
      <c r="C31" s="684" t="str">
        <f>"(Sum of Lines "&amp;A11&amp;", "&amp;A18&amp;", "&amp;A26&amp;" and "&amp;A30&amp;")"</f>
        <v>(Sum of Lines 1, 6, 12 and 15)</v>
      </c>
      <c r="D31" s="569">
        <f>+D11+D18+D26+D30</f>
        <v>-1984783</v>
      </c>
      <c r="G31" s="882"/>
    </row>
    <row r="32" spans="1:15" ht="15.5">
      <c r="A32" s="8"/>
      <c r="B32" s="4"/>
      <c r="C32" s="4"/>
      <c r="D32" s="892"/>
      <c r="E32" s="556"/>
      <c r="F32" s="556"/>
      <c r="G32" s="556"/>
      <c r="H32" s="556"/>
      <c r="I32" s="556"/>
      <c r="J32" s="556"/>
      <c r="K32" s="556"/>
      <c r="L32" s="556"/>
      <c r="M32" s="556"/>
      <c r="N32" s="556"/>
      <c r="O32" s="556"/>
    </row>
    <row r="33" spans="1:15" ht="15.5">
      <c r="A33" s="8">
        <f>+A31+1</f>
        <v>16</v>
      </c>
      <c r="B33" s="3" t="s">
        <v>438</v>
      </c>
      <c r="C33" s="4"/>
      <c r="D33" s="893">
        <f>+D37</f>
        <v>0</v>
      </c>
      <c r="E33" s="280"/>
      <c r="F33" s="280"/>
      <c r="G33" s="280"/>
      <c r="H33" s="280"/>
      <c r="I33" s="280"/>
      <c r="J33" s="280"/>
      <c r="K33" s="280"/>
      <c r="L33" s="280"/>
      <c r="M33" s="280"/>
      <c r="N33" s="280"/>
      <c r="O33" s="280"/>
    </row>
    <row r="34" spans="1:15" ht="15.5">
      <c r="A34" s="8">
        <f>A33+1</f>
        <v>17</v>
      </c>
      <c r="B34" s="3" t="s">
        <v>439</v>
      </c>
      <c r="C34" s="684" t="str">
        <f>"(Line "&amp;A31&amp;" - "&amp;A33&amp;")"</f>
        <v>(Line 15 - 16)</v>
      </c>
      <c r="D34" s="61">
        <f>+D31-D33</f>
        <v>-1984783</v>
      </c>
      <c r="E34" s="281"/>
      <c r="F34" s="280"/>
      <c r="G34" s="280"/>
      <c r="H34" s="280"/>
      <c r="I34" s="280"/>
      <c r="J34" s="281"/>
      <c r="K34" s="280"/>
      <c r="L34" s="280"/>
      <c r="M34" s="280"/>
      <c r="N34" s="280"/>
      <c r="O34" s="280"/>
    </row>
    <row r="35" spans="1:15" ht="15.5">
      <c r="A35" s="8"/>
      <c r="B35" s="19"/>
      <c r="D35" s="892"/>
      <c r="E35" s="9"/>
      <c r="F35" s="9"/>
      <c r="G35" s="9"/>
      <c r="H35" s="9"/>
      <c r="I35" s="9"/>
      <c r="J35" s="9"/>
      <c r="K35" s="556"/>
      <c r="L35" s="556"/>
      <c r="M35" s="556"/>
      <c r="N35" s="556"/>
      <c r="O35" s="556"/>
    </row>
    <row r="36" spans="1:16" ht="28.9" customHeight="1">
      <c r="A36" s="678">
        <f>A34+1</f>
        <v>18</v>
      </c>
      <c r="B36" s="1021" t="s">
        <v>809</v>
      </c>
      <c r="C36" s="684" t="str">
        <f>"(Sum of Lines "&amp;A14&amp;" , "&amp;A15&amp;" , "&amp;A16&amp;", "&amp;A22&amp;" and "&amp;A24&amp;")"</f>
        <v>(Sum of Lines 2 , 3 , 4, 8 and 10)</v>
      </c>
      <c r="D36" s="894">
        <f>+D14+D15+D16+D22+D24</f>
        <v>0</v>
      </c>
      <c r="E36" s="556"/>
      <c r="F36" s="556"/>
      <c r="G36" s="556"/>
      <c r="H36" s="556"/>
      <c r="I36" s="556"/>
      <c r="J36" s="556"/>
      <c r="K36" s="556"/>
      <c r="L36" s="556"/>
      <c r="M36" s="556"/>
      <c r="N36" s="556"/>
      <c r="O36" s="556"/>
      <c r="P36" s="556"/>
    </row>
    <row r="37" spans="1:15" ht="15" customHeight="1">
      <c r="A37" s="678">
        <f>+A36+1</f>
        <v>19</v>
      </c>
      <c r="B37" s="1021" t="s">
        <v>440</v>
      </c>
      <c r="C37" s="684" t="str">
        <f>"(50% of Line "&amp;A36&amp;")"</f>
        <v>(50% of Line 18)</v>
      </c>
      <c r="D37" s="894">
        <f>+D36*0.5</f>
        <v>0</v>
      </c>
      <c r="E37" s="556"/>
      <c r="F37" s="556"/>
      <c r="G37" s="556"/>
      <c r="H37" s="556"/>
      <c r="I37" s="556"/>
      <c r="J37" s="556"/>
      <c r="K37" s="556"/>
      <c r="L37" s="556"/>
      <c r="M37" s="556"/>
      <c r="N37" s="556"/>
      <c r="O37" s="275"/>
    </row>
    <row r="38" spans="1:15" ht="15.5">
      <c r="A38" s="678"/>
      <c r="B38" s="3"/>
      <c r="C38" s="4"/>
      <c r="D38" s="893"/>
      <c r="O38" s="279"/>
    </row>
    <row r="39" ht="15.5"/>
    <row r="40" spans="1:4" s="4" customFormat="1" ht="31.9" customHeight="1">
      <c r="A40" s="678" t="s">
        <v>441</v>
      </c>
      <c r="B40" s="1166" t="s">
        <v>442</v>
      </c>
      <c r="C40" s="1166"/>
      <c r="D40" s="1166"/>
    </row>
    <row r="41" spans="1:4" s="4" customFormat="1" ht="88.9" customHeight="1">
      <c r="A41" s="678" t="s">
        <v>443</v>
      </c>
      <c r="B41" s="1167" t="s">
        <v>992</v>
      </c>
      <c r="C41" s="1168"/>
      <c r="D41" s="1168"/>
    </row>
    <row r="42" spans="1:15" ht="15.5">
      <c r="A42" s="7" t="s">
        <v>444</v>
      </c>
      <c r="B42" s="2" t="s">
        <v>445</v>
      </c>
      <c r="O42" s="264"/>
    </row>
    <row r="43" spans="15:15" ht="15.5">
      <c r="O43" s="264"/>
    </row>
    <row r="44" spans="15:15" ht="15.5">
      <c r="O44" s="264"/>
    </row>
    <row r="45" spans="15:15" ht="15.5">
      <c r="O45" s="264"/>
    </row>
  </sheetData>
  <mergeCells count="5">
    <mergeCell ref="B40:D40"/>
    <mergeCell ref="B41:D41"/>
    <mergeCell ref="A4:D4"/>
    <mergeCell ref="A2:D2"/>
    <mergeCell ref="A3:D3"/>
  </mergeCells>
  <printOptions horizontalCentered="1"/>
  <pageMargins left="0.75" right="0.75" top="1" bottom="1" header="0.5" footer="0.5"/>
  <pageSetup orientation="landscape" scale="51" r:id="rId1"/>
  <headerFooter alignWithMargins="0"/>
  <customProperties>
    <customPr name="EpmWorksheetKeyString_GUID" r:id="rId2"/>
    <customPr name="_pios_id" r:id="rId3"/>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codeName="Sheet6"/>
  <dimension ref="A1:U345"/>
  <sheetViews>
    <sheetView showGridLines="0" zoomScale="60" zoomScaleNormal="60" zoomScaleSheetLayoutView="40" zoomScalePageLayoutView="50" workbookViewId="0" topLeftCell="A1">
      <selection pane="topLeft" activeCell="A1" sqref="A1:U1"/>
    </sheetView>
  </sheetViews>
  <sheetFormatPr defaultColWidth="9.27428571428571" defaultRowHeight="15.75"/>
  <cols>
    <col min="1" max="1" width="6.28571428571429" style="88" customWidth="1"/>
    <col min="2" max="2" width="6.42857142857143" style="88" customWidth="1"/>
    <col min="3" max="3" width="63.1428571428571" style="88" customWidth="1"/>
    <col min="4" max="4" width="41.4285714285714" style="88" customWidth="1"/>
    <col min="5" max="5" width="26.2857142857143" style="88" customWidth="1"/>
    <col min="6" max="6" width="14.7142857142857" style="556" customWidth="1"/>
    <col min="7" max="7" width="18.7142857142857" style="88" customWidth="1"/>
    <col min="8" max="8" width="19.7142857142857" style="88" customWidth="1"/>
    <col min="9" max="9" width="21.2857142857143" style="88" customWidth="1"/>
    <col min="10" max="10" width="20.7142857142857" style="88" customWidth="1"/>
    <col min="11" max="11" width="19" style="88" customWidth="1"/>
    <col min="12" max="12" width="20.4285714285714" style="88" customWidth="1"/>
    <col min="13" max="13" width="18.2857142857143" style="88" customWidth="1"/>
    <col min="14" max="14" width="21.7142857142857" style="88" customWidth="1"/>
    <col min="15" max="15" width="21.4285714285714" style="88" customWidth="1"/>
    <col min="16" max="16" width="22" style="88" customWidth="1"/>
    <col min="17" max="17" width="20.7142857142857" style="88" customWidth="1"/>
    <col min="18" max="18" width="21.4285714285714" style="88" customWidth="1"/>
    <col min="19" max="19" width="21.5714285714286" style="88" customWidth="1"/>
    <col min="20" max="20" width="20.2857142857143" style="88" customWidth="1"/>
    <col min="21" max="21" width="18.4285714285714" style="88" customWidth="1"/>
    <col min="22" max="16384" width="9.28571428571429" style="88"/>
  </cols>
  <sheetData>
    <row r="1" spans="1:21" s="556" customFormat="1" ht="21" customHeight="1">
      <c r="A1" s="1175" t="s">
        <v>0</v>
      </c>
      <c r="B1" s="1175"/>
      <c r="C1" s="1175"/>
      <c r="D1" s="1175"/>
      <c r="E1" s="1175"/>
      <c r="F1" s="1175"/>
      <c r="G1" s="1175"/>
      <c r="H1" s="1175"/>
      <c r="I1" s="1175"/>
      <c r="J1" s="1175"/>
      <c r="K1" s="1175"/>
      <c r="L1" s="1175"/>
      <c r="M1" s="1175"/>
      <c r="N1" s="1175"/>
      <c r="O1" s="1175"/>
      <c r="P1" s="1175"/>
      <c r="Q1" s="1175"/>
      <c r="R1" s="1175"/>
      <c r="S1" s="1175"/>
      <c r="T1" s="1175"/>
      <c r="U1" s="1175"/>
    </row>
    <row r="2" spans="1:21" ht="21" customHeight="1">
      <c r="A2" s="1175" t="str">
        <f>+'Appendix A'!A4</f>
        <v xml:space="preserve">ATTACHMENT H-15A </v>
      </c>
      <c r="B2" s="1175"/>
      <c r="C2" s="1175"/>
      <c r="D2" s="1175"/>
      <c r="E2" s="1175"/>
      <c r="F2" s="1175"/>
      <c r="G2" s="1175"/>
      <c r="H2" s="1175"/>
      <c r="I2" s="1175"/>
      <c r="J2" s="1175"/>
      <c r="K2" s="1175"/>
      <c r="L2" s="1175"/>
      <c r="M2" s="1175"/>
      <c r="N2" s="1175"/>
      <c r="O2" s="1175"/>
      <c r="P2" s="1175"/>
      <c r="Q2" s="1175"/>
      <c r="R2" s="1175"/>
      <c r="S2" s="1175"/>
      <c r="T2" s="1175"/>
      <c r="U2" s="1175"/>
    </row>
    <row r="3" spans="1:21" ht="21" customHeight="1">
      <c r="A3" s="1175" t="s">
        <v>818</v>
      </c>
      <c r="B3" s="1175"/>
      <c r="C3" s="1175"/>
      <c r="D3" s="1175"/>
      <c r="E3" s="1175"/>
      <c r="F3" s="1175"/>
      <c r="G3" s="1175"/>
      <c r="H3" s="1175"/>
      <c r="I3" s="1175"/>
      <c r="J3" s="1175"/>
      <c r="K3" s="1175"/>
      <c r="L3" s="1175"/>
      <c r="M3" s="1175"/>
      <c r="N3" s="1175"/>
      <c r="O3" s="1175"/>
      <c r="P3" s="1175"/>
      <c r="Q3" s="1175"/>
      <c r="R3" s="1175"/>
      <c r="S3" s="1175"/>
      <c r="T3" s="1175"/>
      <c r="U3" s="1175"/>
    </row>
    <row r="4" spans="1:21" ht="51.65" customHeight="1">
      <c r="A4" s="556" t="s">
        <v>370</v>
      </c>
      <c r="B4" s="700"/>
      <c r="C4" s="700"/>
      <c r="D4" s="700"/>
      <c r="E4" s="700"/>
      <c r="F4" s="700"/>
      <c r="G4" s="700"/>
      <c r="H4" s="700"/>
      <c r="I4" s="700"/>
      <c r="J4" s="700"/>
      <c r="K4" s="700"/>
      <c r="L4" s="700"/>
      <c r="M4" s="700"/>
      <c r="N4" s="700"/>
      <c r="O4" s="700"/>
      <c r="P4" s="700"/>
      <c r="Q4" s="700"/>
      <c r="R4" s="556"/>
      <c r="S4" s="556"/>
      <c r="T4" s="556"/>
      <c r="U4" s="925"/>
    </row>
    <row r="5" spans="1:21" ht="21" customHeight="1">
      <c r="A5" s="95"/>
      <c r="B5" s="96"/>
      <c r="C5" s="96"/>
      <c r="D5" s="96"/>
      <c r="E5" s="96"/>
      <c r="F5" s="96"/>
      <c r="G5" s="262"/>
      <c r="H5" s="98"/>
      <c r="I5" s="98"/>
      <c r="J5" s="98"/>
      <c r="K5" s="99"/>
      <c r="L5" s="98"/>
      <c r="M5" s="98"/>
      <c r="N5" s="262"/>
      <c r="O5" s="260"/>
      <c r="P5" s="89"/>
      <c r="Q5" s="262"/>
      <c r="R5" s="556"/>
      <c r="S5" s="556"/>
      <c r="T5" s="556"/>
      <c r="U5" s="280"/>
    </row>
    <row r="6" spans="1:21" ht="16" thickBot="1">
      <c r="A6" s="100" t="s">
        <v>446</v>
      </c>
      <c r="B6" s="101"/>
      <c r="C6" s="556"/>
      <c r="D6" s="102"/>
      <c r="E6" s="98"/>
      <c r="F6" s="98"/>
      <c r="G6" s="818" t="s">
        <v>447</v>
      </c>
      <c r="H6" s="1178" t="s">
        <v>319</v>
      </c>
      <c r="I6" s="1178"/>
      <c r="J6" s="1178"/>
      <c r="K6" s="1178"/>
      <c r="L6" s="1178"/>
      <c r="M6" s="1178"/>
      <c r="N6" s="1178"/>
      <c r="O6" s="1178"/>
      <c r="P6" s="1178"/>
      <c r="Q6" s="1178"/>
      <c r="R6" s="1178"/>
      <c r="S6" s="1179"/>
      <c r="T6" s="91"/>
      <c r="U6" s="91"/>
    </row>
    <row r="7" spans="1:21" ht="32.15" customHeight="1" thickBot="1">
      <c r="A7" s="166" t="s">
        <v>448</v>
      </c>
      <c r="B7" s="167" t="s">
        <v>449</v>
      </c>
      <c r="C7" s="167"/>
      <c r="D7" s="167"/>
      <c r="E7" s="169" t="s">
        <v>450</v>
      </c>
      <c r="F7" s="1028" t="s">
        <v>451</v>
      </c>
      <c r="G7" s="106" t="s">
        <v>452</v>
      </c>
      <c r="H7" s="168" t="s">
        <v>453</v>
      </c>
      <c r="I7" s="168" t="s">
        <v>454</v>
      </c>
      <c r="J7" s="168" t="s">
        <v>455</v>
      </c>
      <c r="K7" s="168" t="s">
        <v>456</v>
      </c>
      <c r="L7" s="168" t="s">
        <v>336</v>
      </c>
      <c r="M7" s="168" t="s">
        <v>457</v>
      </c>
      <c r="N7" s="168" t="s">
        <v>458</v>
      </c>
      <c r="O7" s="168" t="s">
        <v>459</v>
      </c>
      <c r="P7" s="168" t="s">
        <v>460</v>
      </c>
      <c r="Q7" s="168" t="s">
        <v>461</v>
      </c>
      <c r="R7" s="168" t="s">
        <v>462</v>
      </c>
      <c r="S7" s="106" t="s">
        <v>463</v>
      </c>
      <c r="T7" s="1028" t="s">
        <v>464</v>
      </c>
      <c r="U7" s="272" t="s">
        <v>465</v>
      </c>
    </row>
    <row r="8" spans="1:21" ht="15.5">
      <c r="A8" s="108"/>
      <c r="B8" s="109" t="s">
        <v>14</v>
      </c>
      <c r="C8" s="110"/>
      <c r="D8" s="111"/>
      <c r="E8" s="111"/>
      <c r="F8" s="111"/>
      <c r="G8" s="91"/>
      <c r="H8" s="562"/>
      <c r="I8" s="562"/>
      <c r="J8" s="562"/>
      <c r="K8" s="562"/>
      <c r="L8" s="562"/>
      <c r="M8" s="562"/>
      <c r="N8" s="562"/>
      <c r="O8" s="562"/>
      <c r="P8" s="562"/>
      <c r="Q8" s="562"/>
      <c r="R8" s="562"/>
      <c r="S8" s="735"/>
      <c r="T8" s="113"/>
      <c r="U8" s="269"/>
    </row>
    <row r="9" spans="1:21" ht="15.5">
      <c r="A9" s="114">
        <v>1</v>
      </c>
      <c r="B9" s="115"/>
      <c r="C9" s="102" t="s">
        <v>466</v>
      </c>
      <c r="D9" s="91"/>
      <c r="E9" s="116" t="s">
        <v>1011</v>
      </c>
      <c r="F9" s="116"/>
      <c r="G9" s="267">
        <v>2367465243</v>
      </c>
      <c r="H9" s="267">
        <v>2375293091.7782936</v>
      </c>
      <c r="I9" s="267">
        <v>2382553238.8189464</v>
      </c>
      <c r="J9" s="267">
        <v>2399061908.7336001</v>
      </c>
      <c r="K9" s="267">
        <v>2411893426.3154535</v>
      </c>
      <c r="L9" s="267">
        <v>2424280078.5060267</v>
      </c>
      <c r="M9" s="267">
        <v>2459563537.4161601</v>
      </c>
      <c r="N9" s="267">
        <v>2472740450.5602136</v>
      </c>
      <c r="O9" s="267">
        <v>2481525657.9923062</v>
      </c>
      <c r="P9" s="267">
        <v>2495108363.4840403</v>
      </c>
      <c r="Q9" s="267">
        <v>2507294250.2096066</v>
      </c>
      <c r="R9" s="267">
        <v>2515461480.6056638</v>
      </c>
      <c r="S9" s="267">
        <v>2534473331.3554101</v>
      </c>
      <c r="T9" s="819">
        <f>AVERAGE(G9:S9)</f>
        <v>2448208773.7519789</v>
      </c>
      <c r="U9" s="273">
        <v>0</v>
      </c>
    </row>
    <row r="10" spans="1:21" ht="15.5">
      <c r="A10" s="114">
        <f>+A9+1</f>
        <v>2</v>
      </c>
      <c r="B10" s="115"/>
      <c r="C10" s="102" t="s">
        <v>467</v>
      </c>
      <c r="D10" s="91"/>
      <c r="E10" s="96" t="s">
        <v>468</v>
      </c>
      <c r="F10" s="96"/>
      <c r="G10" s="267">
        <v>0</v>
      </c>
      <c r="H10" s="267">
        <v>0</v>
      </c>
      <c r="I10" s="267">
        <v>0</v>
      </c>
      <c r="J10" s="267">
        <v>0</v>
      </c>
      <c r="K10" s="267">
        <v>0</v>
      </c>
      <c r="L10" s="267">
        <v>0</v>
      </c>
      <c r="M10" s="267">
        <v>0</v>
      </c>
      <c r="N10" s="267">
        <v>0</v>
      </c>
      <c r="O10" s="267">
        <v>0</v>
      </c>
      <c r="P10" s="267">
        <v>0</v>
      </c>
      <c r="Q10" s="267">
        <v>0</v>
      </c>
      <c r="R10" s="267">
        <v>0</v>
      </c>
      <c r="S10" s="267">
        <v>0</v>
      </c>
      <c r="T10" s="819">
        <f t="shared" si="0" ref="T10:T14">AVERAGE(G10:S10)</f>
        <v>0</v>
      </c>
      <c r="U10" s="273">
        <v>0</v>
      </c>
    </row>
    <row r="11" spans="1:21" ht="15.5">
      <c r="A11" s="114">
        <f t="shared" si="1" ref="A11:A14">+A10+1</f>
        <v>3</v>
      </c>
      <c r="B11" s="115"/>
      <c r="C11" s="102" t="s">
        <v>16</v>
      </c>
      <c r="D11" s="91"/>
      <c r="E11" s="116" t="s">
        <v>1012</v>
      </c>
      <c r="F11" s="116"/>
      <c r="G11" s="267">
        <v>-1156341626</v>
      </c>
      <c r="H11" s="267">
        <v>-1161033292.18467</v>
      </c>
      <c r="I11" s="267">
        <v>-1165819959.73294</v>
      </c>
      <c r="J11" s="267">
        <v>-1170477605.28795</v>
      </c>
      <c r="K11" s="267">
        <v>-1174656549.88662</v>
      </c>
      <c r="L11" s="267">
        <v>-1178923442.46156</v>
      </c>
      <c r="M11" s="267">
        <v>-1183034852.42993</v>
      </c>
      <c r="N11" s="267">
        <v>-1187305499.4900701</v>
      </c>
      <c r="O11" s="267">
        <v>-1192094138.87426</v>
      </c>
      <c r="P11" s="267">
        <v>-1196672470.0459299</v>
      </c>
      <c r="Q11" s="267">
        <v>-1201909227.16749</v>
      </c>
      <c r="R11" s="267">
        <v>-1207141746.67082</v>
      </c>
      <c r="S11" s="267">
        <v>-1212194789.8722301</v>
      </c>
      <c r="T11" s="819">
        <f>AVERAGE(G11:S11)</f>
        <v>-1183661938.4695745</v>
      </c>
      <c r="U11" s="273">
        <v>0</v>
      </c>
    </row>
    <row r="12" spans="1:21" ht="15" customHeight="1">
      <c r="A12" s="114">
        <f>+A11+1</f>
        <v>4</v>
      </c>
      <c r="B12" s="91"/>
      <c r="C12" s="119" t="s">
        <v>35</v>
      </c>
      <c r="D12" s="102"/>
      <c r="E12" s="96" t="s">
        <v>1013</v>
      </c>
      <c r="F12" s="96"/>
      <c r="G12" s="267">
        <v>-25620287.57</v>
      </c>
      <c r="H12" s="267">
        <v>-25983712.547460798</v>
      </c>
      <c r="I12" s="267">
        <v>-26351949.336736299</v>
      </c>
      <c r="J12" s="267">
        <v>-26725900.080454599</v>
      </c>
      <c r="K12" s="267">
        <v>-27102457.114108499</v>
      </c>
      <c r="L12" s="267">
        <v>-27482969.925640099</v>
      </c>
      <c r="M12" s="267">
        <v>-27867871.0374595</v>
      </c>
      <c r="N12" s="267">
        <v>-28256619.796553999</v>
      </c>
      <c r="O12" s="267">
        <v>-28648990.930834699</v>
      </c>
      <c r="P12" s="267">
        <v>-29043632.8077696</v>
      </c>
      <c r="Q12" s="267">
        <v>-29439288.409103699</v>
      </c>
      <c r="R12" s="267">
        <v>-29838034.743494701</v>
      </c>
      <c r="S12" s="267">
        <v>-30240344.882328901</v>
      </c>
      <c r="T12" s="819">
        <f>AVERAGE(G12:S12)</f>
        <v>-27892466.09091888</v>
      </c>
      <c r="U12" s="273">
        <v>0</v>
      </c>
    </row>
    <row r="13" spans="1:21" ht="15.5">
      <c r="A13" s="114">
        <f>+A12+1</f>
        <v>5</v>
      </c>
      <c r="B13" s="102"/>
      <c r="C13" s="119" t="s">
        <v>469</v>
      </c>
      <c r="D13" s="102"/>
      <c r="E13" s="96" t="s">
        <v>468</v>
      </c>
      <c r="F13" s="96"/>
      <c r="G13" s="267">
        <v>0</v>
      </c>
      <c r="H13" s="267">
        <v>0</v>
      </c>
      <c r="I13" s="267">
        <v>0</v>
      </c>
      <c r="J13" s="267">
        <v>0</v>
      </c>
      <c r="K13" s="267">
        <v>0</v>
      </c>
      <c r="L13" s="267">
        <v>0</v>
      </c>
      <c r="M13" s="267">
        <v>0</v>
      </c>
      <c r="N13" s="267">
        <v>0</v>
      </c>
      <c r="O13" s="267">
        <v>0</v>
      </c>
      <c r="P13" s="267">
        <v>0</v>
      </c>
      <c r="Q13" s="267">
        <v>0</v>
      </c>
      <c r="R13" s="267">
        <v>0</v>
      </c>
      <c r="S13" s="267">
        <v>0</v>
      </c>
      <c r="T13" s="819">
        <f>AVERAGE(G13:S13)</f>
        <v>0</v>
      </c>
      <c r="U13" s="273">
        <v>0</v>
      </c>
    </row>
    <row r="14" spans="1:21" ht="15.5">
      <c r="A14" s="114">
        <f>+A13+1</f>
        <v>6</v>
      </c>
      <c r="B14" s="93"/>
      <c r="C14" s="119" t="s">
        <v>470</v>
      </c>
      <c r="D14" s="102"/>
      <c r="E14" s="96" t="s">
        <v>468</v>
      </c>
      <c r="F14" s="96"/>
      <c r="G14" s="267">
        <v>0</v>
      </c>
      <c r="H14" s="267">
        <v>0</v>
      </c>
      <c r="I14" s="267">
        <v>0</v>
      </c>
      <c r="J14" s="267">
        <v>0</v>
      </c>
      <c r="K14" s="267">
        <v>0</v>
      </c>
      <c r="L14" s="267">
        <v>0</v>
      </c>
      <c r="M14" s="267">
        <v>0</v>
      </c>
      <c r="N14" s="267">
        <v>0</v>
      </c>
      <c r="O14" s="267">
        <v>0</v>
      </c>
      <c r="P14" s="267">
        <v>0</v>
      </c>
      <c r="Q14" s="267">
        <v>0</v>
      </c>
      <c r="R14" s="267">
        <v>0</v>
      </c>
      <c r="S14" s="267">
        <v>0</v>
      </c>
      <c r="T14" s="819">
        <f>AVERAGE(G14:S14)</f>
        <v>0</v>
      </c>
      <c r="U14" s="273">
        <v>0</v>
      </c>
    </row>
    <row r="15" spans="1:21" ht="15.5">
      <c r="A15" s="114"/>
      <c r="B15" s="115"/>
      <c r="C15" s="102"/>
      <c r="D15" s="102"/>
      <c r="E15" s="268"/>
      <c r="F15" s="268"/>
      <c r="G15" s="267"/>
      <c r="H15" s="267"/>
      <c r="I15" s="267"/>
      <c r="J15" s="267"/>
      <c r="K15" s="267"/>
      <c r="L15" s="267"/>
      <c r="M15" s="267"/>
      <c r="N15" s="267"/>
      <c r="O15" s="267"/>
      <c r="P15" s="267"/>
      <c r="Q15" s="267"/>
      <c r="R15" s="267"/>
      <c r="S15" s="267"/>
      <c r="T15" s="819"/>
      <c r="U15" s="286"/>
    </row>
    <row r="16" spans="1:21" s="556" customFormat="1" ht="15.5">
      <c r="A16" s="114"/>
      <c r="B16" s="115" t="s">
        <v>23</v>
      </c>
      <c r="C16" s="102"/>
      <c r="D16" s="102"/>
      <c r="E16" s="268"/>
      <c r="F16" s="268"/>
      <c r="G16" s="267"/>
      <c r="H16" s="267"/>
      <c r="I16" s="267"/>
      <c r="J16" s="267"/>
      <c r="K16" s="267"/>
      <c r="L16" s="267"/>
      <c r="M16" s="267"/>
      <c r="N16" s="267"/>
      <c r="O16" s="267"/>
      <c r="P16" s="267"/>
      <c r="Q16" s="267"/>
      <c r="R16" s="267"/>
      <c r="S16" s="267"/>
      <c r="T16" s="819"/>
      <c r="U16" s="286"/>
    </row>
    <row r="17" spans="1:21" ht="15.5">
      <c r="A17" s="114">
        <f>+A14+1</f>
        <v>7</v>
      </c>
      <c r="B17" s="115"/>
      <c r="C17" s="102" t="s">
        <v>471</v>
      </c>
      <c r="D17" s="102"/>
      <c r="E17" s="121" t="s">
        <v>472</v>
      </c>
      <c r="F17" s="762" t="s">
        <v>473</v>
      </c>
      <c r="G17" s="1103">
        <v>416764484</v>
      </c>
      <c r="H17" s="1103">
        <v>416764484</v>
      </c>
      <c r="I17" s="1103">
        <v>416764484</v>
      </c>
      <c r="J17" s="1103">
        <v>425083234</v>
      </c>
      <c r="K17" s="1103">
        <v>425083234</v>
      </c>
      <c r="L17" s="1103">
        <v>425083234</v>
      </c>
      <c r="M17" s="1103">
        <v>446416984</v>
      </c>
      <c r="N17" s="1103">
        <v>446416984</v>
      </c>
      <c r="O17" s="1103">
        <v>446416984</v>
      </c>
      <c r="P17" s="1103">
        <v>449326734</v>
      </c>
      <c r="Q17" s="1103">
        <v>449326734</v>
      </c>
      <c r="R17" s="1103">
        <v>449326734</v>
      </c>
      <c r="S17" s="1103">
        <v>458220484</v>
      </c>
      <c r="T17" s="819">
        <f>AVERAGE(G17:S17)</f>
        <v>436230368.61538464</v>
      </c>
      <c r="U17" s="273">
        <v>0</v>
      </c>
    </row>
    <row r="18" spans="1:21" ht="15.5">
      <c r="A18" s="114">
        <f>+A17+1</f>
        <v>8</v>
      </c>
      <c r="B18" s="115"/>
      <c r="C18" s="102" t="s">
        <v>474</v>
      </c>
      <c r="D18" s="102"/>
      <c r="E18" s="96" t="s">
        <v>475</v>
      </c>
      <c r="F18" s="189" t="s">
        <v>476</v>
      </c>
      <c r="G18" s="267">
        <v>31743875</v>
      </c>
      <c r="H18" s="267">
        <v>31767208.333333332</v>
      </c>
      <c r="I18" s="267">
        <v>31790541.666666664</v>
      </c>
      <c r="J18" s="267">
        <v>31813874.999999996</v>
      </c>
      <c r="K18" s="267">
        <v>31837208.333333328</v>
      </c>
      <c r="L18" s="267">
        <v>31860541.66666666</v>
      </c>
      <c r="M18" s="267">
        <v>31883874.999999993</v>
      </c>
      <c r="N18" s="267">
        <v>31907208.333333325</v>
      </c>
      <c r="O18" s="267">
        <v>31930541.666666657</v>
      </c>
      <c r="P18" s="267">
        <v>31953874.999999989</v>
      </c>
      <c r="Q18" s="267">
        <v>38730791.666666657</v>
      </c>
      <c r="R18" s="267">
        <v>41107708.333333321</v>
      </c>
      <c r="S18" s="267">
        <v>43484624.999999985</v>
      </c>
      <c r="T18" s="819">
        <f t="shared" si="2" ref="T18:T20">AVERAGE(G18:S18)</f>
        <v>33985528.84615384</v>
      </c>
      <c r="U18" s="273">
        <v>0</v>
      </c>
    </row>
    <row r="19" spans="1:21" ht="15.5">
      <c r="A19" s="114">
        <f t="shared" si="3" ref="A19:A20">+A18+1</f>
        <v>9</v>
      </c>
      <c r="B19" s="115"/>
      <c r="C19" s="102" t="s">
        <v>26</v>
      </c>
      <c r="D19" s="102"/>
      <c r="E19" s="96" t="s">
        <v>477</v>
      </c>
      <c r="F19" s="189" t="s">
        <v>478</v>
      </c>
      <c r="G19" s="267">
        <v>36862413</v>
      </c>
      <c r="H19" s="267">
        <v>37396413</v>
      </c>
      <c r="I19" s="267">
        <v>38030530</v>
      </c>
      <c r="J19" s="267">
        <v>38319768</v>
      </c>
      <c r="K19" s="267">
        <v>38758768</v>
      </c>
      <c r="L19" s="267">
        <v>39245768</v>
      </c>
      <c r="M19" s="267">
        <v>39672768</v>
      </c>
      <c r="N19" s="267">
        <v>40074768</v>
      </c>
      <c r="O19" s="267">
        <v>40326768</v>
      </c>
      <c r="P19" s="267">
        <v>40439268</v>
      </c>
      <c r="Q19" s="267">
        <v>40782268</v>
      </c>
      <c r="R19" s="267">
        <v>41177768</v>
      </c>
      <c r="S19" s="267">
        <v>41773268</v>
      </c>
      <c r="T19" s="819">
        <f>AVERAGE(G19:S19)</f>
        <v>39450810.461538464</v>
      </c>
      <c r="U19" s="273">
        <v>0</v>
      </c>
    </row>
    <row r="20" spans="1:21" ht="15.5">
      <c r="A20" s="114">
        <f>+A19+1</f>
        <v>10</v>
      </c>
      <c r="B20" s="115"/>
      <c r="C20" s="102" t="s">
        <v>467</v>
      </c>
      <c r="D20" s="91"/>
      <c r="E20" s="96" t="s">
        <v>468</v>
      </c>
      <c r="F20" s="189"/>
      <c r="G20" s="267">
        <v>0</v>
      </c>
      <c r="H20" s="267">
        <v>0</v>
      </c>
      <c r="I20" s="267">
        <v>0</v>
      </c>
      <c r="J20" s="267">
        <v>0</v>
      </c>
      <c r="K20" s="267">
        <v>0</v>
      </c>
      <c r="L20" s="267">
        <v>0</v>
      </c>
      <c r="M20" s="267">
        <v>0</v>
      </c>
      <c r="N20" s="267">
        <v>0</v>
      </c>
      <c r="O20" s="267">
        <v>0</v>
      </c>
      <c r="P20" s="267">
        <v>0</v>
      </c>
      <c r="Q20" s="267">
        <v>0</v>
      </c>
      <c r="R20" s="267">
        <v>0</v>
      </c>
      <c r="S20" s="267">
        <v>0</v>
      </c>
      <c r="T20" s="819">
        <f>AVERAGE(G20:S20)</f>
        <v>0</v>
      </c>
      <c r="U20" s="273">
        <v>0</v>
      </c>
    </row>
    <row r="21" spans="1:21" s="556" customFormat="1" ht="15.5">
      <c r="A21" s="118"/>
      <c r="B21" s="101"/>
      <c r="C21" s="119"/>
      <c r="D21" s="102"/>
      <c r="E21" s="123"/>
      <c r="F21" s="762"/>
      <c r="G21" s="267"/>
      <c r="H21" s="267"/>
      <c r="I21" s="267"/>
      <c r="J21" s="267"/>
      <c r="K21" s="267"/>
      <c r="L21" s="267"/>
      <c r="M21" s="267"/>
      <c r="N21" s="267"/>
      <c r="O21" s="267"/>
      <c r="P21" s="267"/>
      <c r="Q21" s="267"/>
      <c r="R21" s="267"/>
      <c r="S21" s="267"/>
      <c r="T21" s="819"/>
      <c r="U21" s="273"/>
    </row>
    <row r="22" spans="1:21" ht="15.5">
      <c r="A22" s="114"/>
      <c r="B22" s="115" t="s">
        <v>32</v>
      </c>
      <c r="C22" s="102"/>
      <c r="D22" s="102"/>
      <c r="E22" s="268"/>
      <c r="F22" s="763"/>
      <c r="G22" s="267"/>
      <c r="H22" s="267"/>
      <c r="I22" s="267"/>
      <c r="J22" s="267"/>
      <c r="K22" s="267"/>
      <c r="L22" s="267"/>
      <c r="M22" s="267"/>
      <c r="N22" s="267"/>
      <c r="O22" s="267"/>
      <c r="P22" s="267"/>
      <c r="Q22" s="267"/>
      <c r="R22" s="267"/>
      <c r="S22" s="267"/>
      <c r="T22" s="819"/>
      <c r="U22" s="286"/>
    </row>
    <row r="23" spans="1:21" ht="15.5">
      <c r="A23" s="118">
        <f>+A20+1</f>
        <v>11</v>
      </c>
      <c r="B23" s="97"/>
      <c r="C23" s="102" t="s">
        <v>33</v>
      </c>
      <c r="D23" s="102"/>
      <c r="E23" s="119" t="s">
        <v>479</v>
      </c>
      <c r="F23" s="189">
        <v>108</v>
      </c>
      <c r="G23" s="267">
        <v>-231866604</v>
      </c>
      <c r="H23" s="267">
        <v>-232578074.66718099</v>
      </c>
      <c r="I23" s="267">
        <v>-233289545.334362</v>
      </c>
      <c r="J23" s="267">
        <v>-234001016.00154299</v>
      </c>
      <c r="K23" s="267">
        <v>-234727786.12365001</v>
      </c>
      <c r="L23" s="267">
        <v>-235454556.245758</v>
      </c>
      <c r="M23" s="267">
        <v>-236181326.36786601</v>
      </c>
      <c r="N23" s="267">
        <v>-236947332.52261701</v>
      </c>
      <c r="O23" s="267">
        <v>-237713338.67736799</v>
      </c>
      <c r="P23" s="267">
        <v>-238479344.83211899</v>
      </c>
      <c r="Q23" s="267">
        <v>-239250702.46263</v>
      </c>
      <c r="R23" s="267">
        <v>-240022060.09314001</v>
      </c>
      <c r="S23" s="267">
        <v>-240793417.72365099</v>
      </c>
      <c r="T23" s="819">
        <f t="shared" si="4" ref="T23:T25">AVERAGE(G23:S23)</f>
        <v>-236254238.85014501</v>
      </c>
      <c r="U23" s="273">
        <v>0</v>
      </c>
    </row>
    <row r="24" spans="1:21" ht="15.5">
      <c r="A24" s="118">
        <f>+A23+1</f>
        <v>12</v>
      </c>
      <c r="B24" s="97"/>
      <c r="C24" s="102" t="s">
        <v>34</v>
      </c>
      <c r="D24" s="97"/>
      <c r="E24" s="119" t="s">
        <v>480</v>
      </c>
      <c r="F24" s="189">
        <v>108</v>
      </c>
      <c r="G24" s="267">
        <v>-18877542</v>
      </c>
      <c r="H24" s="267">
        <v>-18968754.679807302</v>
      </c>
      <c r="I24" s="267">
        <v>-19060037.985010602</v>
      </c>
      <c r="J24" s="267">
        <v>-19151391.915609799</v>
      </c>
      <c r="K24" s="267">
        <v>-19242816.471604899</v>
      </c>
      <c r="L24" s="267">
        <v>-19334311.6529961</v>
      </c>
      <c r="M24" s="267">
        <v>-19425877.4597831</v>
      </c>
      <c r="N24" s="267">
        <v>-19517513.891966201</v>
      </c>
      <c r="O24" s="267">
        <v>-19609220.9495451</v>
      </c>
      <c r="P24" s="267">
        <v>-19700998.632520098</v>
      </c>
      <c r="Q24" s="267">
        <v>-19792846.940891001</v>
      </c>
      <c r="R24" s="267">
        <v>-19905207.638816401</v>
      </c>
      <c r="S24" s="267">
        <v>-20024762.794487599</v>
      </c>
      <c r="T24" s="819">
        <f>AVERAGE(G24:S24)</f>
        <v>-19431637.154849093</v>
      </c>
      <c r="U24" s="273">
        <v>0</v>
      </c>
    </row>
    <row r="25" spans="1:21" ht="16" thickBot="1">
      <c r="A25" s="143">
        <f>+A24+1</f>
        <v>13</v>
      </c>
      <c r="B25" s="127"/>
      <c r="C25" s="131" t="s">
        <v>481</v>
      </c>
      <c r="D25" s="131"/>
      <c r="E25" s="577" t="s">
        <v>468</v>
      </c>
      <c r="F25" s="764">
        <v>111</v>
      </c>
      <c r="G25" s="1104">
        <v>0</v>
      </c>
      <c r="H25" s="1104">
        <v>0</v>
      </c>
      <c r="I25" s="1104">
        <v>0</v>
      </c>
      <c r="J25" s="1104">
        <v>0</v>
      </c>
      <c r="K25" s="1104">
        <v>0</v>
      </c>
      <c r="L25" s="1104">
        <v>0</v>
      </c>
      <c r="M25" s="1104">
        <v>0</v>
      </c>
      <c r="N25" s="1104">
        <v>0</v>
      </c>
      <c r="O25" s="1104">
        <v>0</v>
      </c>
      <c r="P25" s="1104">
        <v>0</v>
      </c>
      <c r="Q25" s="1104">
        <v>0</v>
      </c>
      <c r="R25" s="1104">
        <v>0</v>
      </c>
      <c r="S25" s="1104">
        <v>0</v>
      </c>
      <c r="T25" s="828">
        <f>AVERAGE(G25:S25)</f>
        <v>0</v>
      </c>
      <c r="U25" s="578">
        <v>0</v>
      </c>
    </row>
    <row r="26" spans="1:21" s="89" customFormat="1" ht="15.5">
      <c r="A26" s="206"/>
      <c r="B26" s="125"/>
      <c r="C26" s="116"/>
      <c r="D26" s="93"/>
      <c r="E26" s="133"/>
      <c r="F26" s="133"/>
      <c r="G26" s="20"/>
      <c r="H26" s="20"/>
      <c r="I26" s="20"/>
      <c r="J26" s="20"/>
      <c r="K26" s="20"/>
      <c r="L26" s="20"/>
      <c r="M26" s="20"/>
      <c r="N26" s="20"/>
      <c r="O26" s="20"/>
      <c r="P26" s="20"/>
      <c r="Q26" s="20"/>
      <c r="R26" s="20"/>
      <c r="S26" s="20"/>
      <c r="T26" s="20"/>
      <c r="U26" s="120"/>
    </row>
    <row r="27" spans="1:21" s="89" customFormat="1" ht="15.5">
      <c r="A27" s="206"/>
      <c r="B27" s="125"/>
      <c r="C27" s="116"/>
      <c r="D27" s="93"/>
      <c r="E27" s="133"/>
      <c r="F27" s="133"/>
      <c r="G27" s="20"/>
      <c r="H27" s="20"/>
      <c r="I27" s="20"/>
      <c r="J27" s="20"/>
      <c r="K27" s="20"/>
      <c r="L27" s="20"/>
      <c r="M27" s="20"/>
      <c r="N27" s="20"/>
      <c r="O27" s="20"/>
      <c r="P27" s="20"/>
      <c r="Q27" s="20"/>
      <c r="R27" s="20"/>
      <c r="S27" s="271"/>
      <c r="U27" s="120"/>
    </row>
    <row r="28" spans="1:21" ht="16" thickBot="1">
      <c r="A28" s="100" t="s">
        <v>482</v>
      </c>
      <c r="B28" s="91"/>
      <c r="C28" s="134"/>
      <c r="D28" s="91"/>
      <c r="E28" s="136"/>
      <c r="F28" s="136"/>
      <c r="G28" s="137"/>
      <c r="H28" s="137"/>
      <c r="I28" s="137"/>
      <c r="J28" s="137"/>
      <c r="K28" s="137"/>
      <c r="L28" s="137"/>
      <c r="M28" s="137"/>
      <c r="N28" s="137"/>
      <c r="O28" s="20"/>
      <c r="P28" s="20"/>
      <c r="Q28" s="137"/>
      <c r="R28" s="137"/>
      <c r="S28" s="137"/>
      <c r="T28" s="137"/>
      <c r="U28" s="275"/>
    </row>
    <row r="29" spans="1:21" ht="31.5" thickBot="1">
      <c r="A29" s="104" t="s">
        <v>448</v>
      </c>
      <c r="B29" s="105" t="s">
        <v>449</v>
      </c>
      <c r="C29" s="105"/>
      <c r="D29" s="105"/>
      <c r="E29" s="107" t="s">
        <v>450</v>
      </c>
      <c r="F29" s="1026" t="s">
        <v>451</v>
      </c>
      <c r="G29" s="138"/>
      <c r="H29" s="138"/>
      <c r="I29" s="138"/>
      <c r="J29" s="138"/>
      <c r="K29" s="138"/>
      <c r="L29" s="138"/>
      <c r="M29" s="138"/>
      <c r="N29" s="138"/>
      <c r="O29" s="138"/>
      <c r="P29" s="138"/>
      <c r="Q29" s="138"/>
      <c r="R29" s="138"/>
      <c r="S29" s="138"/>
      <c r="T29" s="106" t="s">
        <v>483</v>
      </c>
      <c r="U29" s="139"/>
    </row>
    <row r="30" spans="1:21" s="89" customFormat="1" ht="15.5">
      <c r="A30" s="140"/>
      <c r="B30" s="92"/>
      <c r="C30" s="92"/>
      <c r="D30" s="92"/>
      <c r="E30" s="141"/>
      <c r="F30" s="141"/>
      <c r="G30" s="93"/>
      <c r="H30" s="93"/>
      <c r="I30" s="93"/>
      <c r="J30" s="93"/>
      <c r="K30" s="93"/>
      <c r="L30" s="93"/>
      <c r="M30" s="93"/>
      <c r="N30" s="93"/>
      <c r="O30" s="93"/>
      <c r="P30" s="93"/>
      <c r="Q30" s="93"/>
      <c r="R30" s="93"/>
      <c r="S30" s="93"/>
      <c r="T30" s="209"/>
      <c r="U30" s="142"/>
    </row>
    <row r="31" spans="1:21" ht="15.5">
      <c r="A31" s="118">
        <f>+A25+1</f>
        <v>14</v>
      </c>
      <c r="B31" s="100"/>
      <c r="C31" s="134" t="s">
        <v>484</v>
      </c>
      <c r="D31" s="100"/>
      <c r="E31" s="136" t="s">
        <v>1008</v>
      </c>
      <c r="F31" s="136"/>
      <c r="G31" s="135"/>
      <c r="H31" s="91"/>
      <c r="I31" s="91"/>
      <c r="J31" s="91"/>
      <c r="K31" s="91"/>
      <c r="L31" s="91"/>
      <c r="M31" s="91"/>
      <c r="N31" s="91"/>
      <c r="O31" s="91"/>
      <c r="P31" s="91"/>
      <c r="Q31" s="91"/>
      <c r="R31" s="91"/>
      <c r="S31" s="93"/>
      <c r="T31" s="267">
        <v>33512208</v>
      </c>
      <c r="U31" s="122"/>
    </row>
    <row r="32" spans="1:21" ht="15.5">
      <c r="A32" s="118">
        <f>+A31+1</f>
        <v>15</v>
      </c>
      <c r="B32" s="100"/>
      <c r="C32" s="134" t="s">
        <v>485</v>
      </c>
      <c r="D32" s="100"/>
      <c r="E32" s="136" t="s">
        <v>1009</v>
      </c>
      <c r="F32" s="136"/>
      <c r="G32" s="91"/>
      <c r="H32" s="91"/>
      <c r="I32" s="91"/>
      <c r="J32" s="91"/>
      <c r="K32" s="91"/>
      <c r="L32" s="91"/>
      <c r="M32" s="91"/>
      <c r="N32" s="91"/>
      <c r="O32" s="91"/>
      <c r="P32" s="91"/>
      <c r="Q32" s="91"/>
      <c r="R32" s="91"/>
      <c r="S32" s="93"/>
      <c r="T32" s="267">
        <v>3343867</v>
      </c>
      <c r="U32" s="122"/>
    </row>
    <row r="33" spans="1:21" ht="15.5">
      <c r="A33" s="118">
        <f>+A32+1</f>
        <v>16</v>
      </c>
      <c r="B33" s="91"/>
      <c r="C33" s="134" t="s">
        <v>486</v>
      </c>
      <c r="D33" s="91"/>
      <c r="E33" s="136" t="s">
        <v>1010</v>
      </c>
      <c r="F33" s="136"/>
      <c r="G33" s="91"/>
      <c r="H33" s="91"/>
      <c r="I33" s="91"/>
      <c r="J33" s="91"/>
      <c r="K33" s="91"/>
      <c r="L33" s="91"/>
      <c r="M33" s="91"/>
      <c r="N33" s="91"/>
      <c r="O33" s="91"/>
      <c r="P33" s="91"/>
      <c r="Q33" s="91"/>
      <c r="R33" s="91"/>
      <c r="S33" s="93"/>
      <c r="T33" s="267">
        <v>2757079</v>
      </c>
      <c r="U33" s="122"/>
    </row>
    <row r="34" spans="1:21" ht="16" thickBot="1">
      <c r="A34" s="143"/>
      <c r="B34" s="144"/>
      <c r="C34" s="145"/>
      <c r="D34" s="144"/>
      <c r="E34" s="146"/>
      <c r="F34" s="146"/>
      <c r="G34" s="31"/>
      <c r="H34" s="144"/>
      <c r="I34" s="144"/>
      <c r="J34" s="144"/>
      <c r="K34" s="144"/>
      <c r="L34" s="144"/>
      <c r="M34" s="144"/>
      <c r="N34" s="144"/>
      <c r="O34" s="144"/>
      <c r="P34" s="144"/>
      <c r="Q34" s="144"/>
      <c r="R34" s="144"/>
      <c r="S34" s="144"/>
      <c r="T34" s="144"/>
      <c r="U34" s="147"/>
    </row>
    <row r="35" spans="1:21" ht="15.5">
      <c r="A35" s="97"/>
      <c r="B35" s="91"/>
      <c r="C35" s="134"/>
      <c r="D35" s="91"/>
      <c r="E35" s="136"/>
      <c r="F35" s="136"/>
      <c r="G35" s="26"/>
      <c r="H35" s="26"/>
      <c r="I35" s="26"/>
      <c r="J35" s="26"/>
      <c r="K35" s="26"/>
      <c r="L35" s="26"/>
      <c r="M35" s="26"/>
      <c r="N35" s="26"/>
      <c r="O35" s="26"/>
      <c r="P35" s="26"/>
      <c r="Q35" s="26"/>
      <c r="R35" s="26"/>
      <c r="S35" s="26"/>
      <c r="T35" s="26"/>
      <c r="U35" s="91"/>
    </row>
    <row r="36" spans="1:21" ht="15.5">
      <c r="A36" s="97"/>
      <c r="B36" s="91"/>
      <c r="C36" s="134"/>
      <c r="D36" s="91"/>
      <c r="E36" s="136"/>
      <c r="F36" s="136"/>
      <c r="G36" s="26"/>
      <c r="H36" s="26"/>
      <c r="I36" s="26"/>
      <c r="J36" s="26"/>
      <c r="K36" s="26"/>
      <c r="L36" s="26"/>
      <c r="M36" s="26"/>
      <c r="N36" s="26"/>
      <c r="O36" s="26"/>
      <c r="P36" s="26"/>
      <c r="Q36" s="26"/>
      <c r="R36" s="26"/>
      <c r="S36" s="26"/>
      <c r="T36" s="26"/>
      <c r="U36" s="91"/>
    </row>
    <row r="37" spans="1:21" ht="16" thickBot="1">
      <c r="A37" s="100" t="s">
        <v>487</v>
      </c>
      <c r="B37" s="556"/>
      <c r="C37" s="556"/>
      <c r="D37" s="556"/>
      <c r="E37" s="556"/>
      <c r="G37" s="137"/>
      <c r="H37" s="556"/>
      <c r="I37" s="556"/>
      <c r="J37" s="556"/>
      <c r="K37" s="556"/>
      <c r="L37" s="556"/>
      <c r="M37" s="556"/>
      <c r="N37" s="556"/>
      <c r="O37" s="556"/>
      <c r="P37" s="556"/>
      <c r="Q37" s="556"/>
      <c r="R37" s="556"/>
      <c r="S37" s="556"/>
      <c r="T37" s="556"/>
      <c r="U37" s="556"/>
    </row>
    <row r="38" spans="1:21" ht="31.5" thickBot="1">
      <c r="A38" s="104" t="s">
        <v>448</v>
      </c>
      <c r="B38" s="105" t="s">
        <v>449</v>
      </c>
      <c r="C38" s="105"/>
      <c r="D38" s="105"/>
      <c r="E38" s="107" t="s">
        <v>450</v>
      </c>
      <c r="F38" s="1026" t="s">
        <v>451</v>
      </c>
      <c r="G38" s="138"/>
      <c r="H38" s="138"/>
      <c r="I38" s="138"/>
      <c r="J38" s="138"/>
      <c r="K38" s="138"/>
      <c r="L38" s="138"/>
      <c r="M38" s="138"/>
      <c r="N38" s="138"/>
      <c r="O38" s="138"/>
      <c r="P38" s="138"/>
      <c r="Q38" s="138"/>
      <c r="R38" s="1026" t="s">
        <v>488</v>
      </c>
      <c r="S38" s="106" t="s">
        <v>483</v>
      </c>
      <c r="T38" s="1026" t="s">
        <v>464</v>
      </c>
      <c r="U38" s="139"/>
    </row>
    <row r="39" spans="1:21" ht="15.5">
      <c r="A39" s="140"/>
      <c r="B39" s="92"/>
      <c r="C39" s="92"/>
      <c r="D39" s="92"/>
      <c r="E39" s="141"/>
      <c r="F39" s="141"/>
      <c r="G39" s="91"/>
      <c r="H39" s="91"/>
      <c r="I39" s="91"/>
      <c r="J39" s="93"/>
      <c r="K39" s="93"/>
      <c r="L39" s="93"/>
      <c r="M39" s="93"/>
      <c r="N39" s="93"/>
      <c r="O39" s="93"/>
      <c r="P39" s="93"/>
      <c r="Q39" s="26"/>
      <c r="R39" s="26"/>
      <c r="S39" s="26"/>
      <c r="T39" s="1024"/>
      <c r="U39" s="142"/>
    </row>
    <row r="40" spans="1:21" ht="15.5">
      <c r="A40" s="118">
        <f>+A33+1</f>
        <v>17</v>
      </c>
      <c r="B40" s="97"/>
      <c r="C40" s="699" t="s">
        <v>225</v>
      </c>
      <c r="D40" s="133"/>
      <c r="E40" s="119" t="s">
        <v>489</v>
      </c>
      <c r="F40" s="189">
        <v>105</v>
      </c>
      <c r="G40" s="135"/>
      <c r="H40" s="91"/>
      <c r="I40" s="91"/>
      <c r="J40" s="91"/>
      <c r="K40" s="91"/>
      <c r="L40" s="91"/>
      <c r="M40" s="91"/>
      <c r="N40" s="91"/>
      <c r="O40" s="91"/>
      <c r="P40" s="93"/>
      <c r="Q40" s="26"/>
      <c r="R40" s="267">
        <v>269799</v>
      </c>
      <c r="S40" s="267">
        <v>269799</v>
      </c>
      <c r="T40" s="54">
        <f>+SUM(R40:S40)/2</f>
        <v>269799</v>
      </c>
      <c r="U40" s="122"/>
    </row>
    <row r="41" spans="1:21" ht="16" thickBot="1">
      <c r="A41" s="143"/>
      <c r="B41" s="148"/>
      <c r="C41" s="127"/>
      <c r="D41" s="131"/>
      <c r="E41" s="128"/>
      <c r="F41" s="128"/>
      <c r="G41" s="31"/>
      <c r="H41" s="31"/>
      <c r="I41" s="31"/>
      <c r="J41" s="144"/>
      <c r="K41" s="144"/>
      <c r="L41" s="144"/>
      <c r="M41" s="144"/>
      <c r="N41" s="144"/>
      <c r="O41" s="144"/>
      <c r="P41" s="144"/>
      <c r="Q41" s="31"/>
      <c r="R41" s="31"/>
      <c r="S41" s="31"/>
      <c r="T41" s="144"/>
      <c r="U41" s="147"/>
    </row>
    <row r="42" spans="1:21" ht="15.5">
      <c r="A42" s="97"/>
      <c r="B42" s="97"/>
      <c r="C42" s="125"/>
      <c r="D42" s="133"/>
      <c r="E42" s="119"/>
      <c r="F42" s="119"/>
      <c r="G42" s="26"/>
      <c r="H42" s="26"/>
      <c r="I42" s="26"/>
      <c r="J42" s="91"/>
      <c r="K42" s="91"/>
      <c r="L42" s="91"/>
      <c r="M42" s="91"/>
      <c r="N42" s="91"/>
      <c r="O42" s="91"/>
      <c r="P42" s="91"/>
      <c r="Q42" s="91"/>
      <c r="R42" s="91"/>
      <c r="S42" s="91"/>
      <c r="T42" s="91"/>
      <c r="U42" s="91"/>
    </row>
    <row r="43" spans="1:21" ht="15.5">
      <c r="A43" s="97"/>
      <c r="B43" s="97"/>
      <c r="C43" s="125"/>
      <c r="D43" s="133"/>
      <c r="E43" s="119"/>
      <c r="F43" s="119"/>
      <c r="G43" s="26"/>
      <c r="H43" s="26"/>
      <c r="I43" s="26"/>
      <c r="J43" s="91"/>
      <c r="K43" s="91"/>
      <c r="L43" s="91"/>
      <c r="M43" s="91"/>
      <c r="N43" s="91"/>
      <c r="O43" s="91"/>
      <c r="P43" s="91"/>
      <c r="Q43" s="91"/>
      <c r="R43" s="91"/>
      <c r="S43" s="91"/>
      <c r="T43" s="91"/>
      <c r="U43" s="91"/>
    </row>
    <row r="44" spans="1:21" ht="16" thickBot="1">
      <c r="A44" s="100" t="s">
        <v>50</v>
      </c>
      <c r="B44" s="556"/>
      <c r="C44" s="556"/>
      <c r="D44" s="556"/>
      <c r="E44" s="556"/>
      <c r="G44" s="556"/>
      <c r="H44" s="556"/>
      <c r="I44" s="556"/>
      <c r="J44" s="556"/>
      <c r="K44" s="556"/>
      <c r="L44" s="556"/>
      <c r="M44" s="556"/>
      <c r="N44" s="556"/>
      <c r="O44" s="556"/>
      <c r="P44" s="556"/>
      <c r="Q44" s="556"/>
      <c r="R44" s="556"/>
      <c r="S44" s="556"/>
      <c r="T44" s="556"/>
      <c r="U44" s="556"/>
    </row>
    <row r="45" spans="1:21" ht="31.5" thickBot="1">
      <c r="A45" s="104" t="s">
        <v>448</v>
      </c>
      <c r="B45" s="105" t="s">
        <v>449</v>
      </c>
      <c r="C45" s="105"/>
      <c r="D45" s="105"/>
      <c r="E45" s="169" t="s">
        <v>450</v>
      </c>
      <c r="F45" s="1026" t="s">
        <v>451</v>
      </c>
      <c r="G45" s="106" t="s">
        <v>452</v>
      </c>
      <c r="H45" s="168" t="s">
        <v>453</v>
      </c>
      <c r="I45" s="168" t="s">
        <v>454</v>
      </c>
      <c r="J45" s="168" t="s">
        <v>455</v>
      </c>
      <c r="K45" s="168" t="s">
        <v>456</v>
      </c>
      <c r="L45" s="168" t="s">
        <v>336</v>
      </c>
      <c r="M45" s="168" t="s">
        <v>457</v>
      </c>
      <c r="N45" s="168" t="s">
        <v>458</v>
      </c>
      <c r="O45" s="168" t="s">
        <v>459</v>
      </c>
      <c r="P45" s="168" t="s">
        <v>460</v>
      </c>
      <c r="Q45" s="168" t="s">
        <v>461</v>
      </c>
      <c r="R45" s="168" t="s">
        <v>462</v>
      </c>
      <c r="S45" s="106" t="s">
        <v>463</v>
      </c>
      <c r="T45" s="1071" t="s">
        <v>464</v>
      </c>
      <c r="U45" s="1027"/>
    </row>
    <row r="46" spans="1:21" s="89" customFormat="1" ht="15.5">
      <c r="A46" s="150"/>
      <c r="B46" s="151"/>
      <c r="C46" s="152"/>
      <c r="D46" s="153"/>
      <c r="E46" s="154"/>
      <c r="F46" s="154"/>
      <c r="G46" s="153"/>
      <c r="H46" s="153"/>
      <c r="I46" s="153"/>
      <c r="J46" s="153"/>
      <c r="K46" s="153"/>
      <c r="L46" s="153"/>
      <c r="M46" s="155"/>
      <c r="N46" s="155"/>
      <c r="O46" s="153"/>
      <c r="P46" s="156"/>
      <c r="Q46" s="157"/>
      <c r="R46" s="156"/>
      <c r="S46" s="157"/>
      <c r="T46" s="153"/>
      <c r="U46" s="158"/>
    </row>
    <row r="47" spans="1:21" s="89" customFormat="1" ht="15.5">
      <c r="A47" s="118">
        <f>+A40+1</f>
        <v>18</v>
      </c>
      <c r="B47" s="97"/>
      <c r="C47" s="93" t="s">
        <v>860</v>
      </c>
      <c r="D47" s="93"/>
      <c r="E47" s="119" t="s">
        <v>1007</v>
      </c>
      <c r="F47" s="189">
        <v>165</v>
      </c>
      <c r="G47" s="267">
        <v>6921419</v>
      </c>
      <c r="H47" s="267">
        <v>6921419</v>
      </c>
      <c r="I47" s="267">
        <v>6921419</v>
      </c>
      <c r="J47" s="267">
        <v>6921419</v>
      </c>
      <c r="K47" s="267">
        <v>6921419</v>
      </c>
      <c r="L47" s="267">
        <v>6921419</v>
      </c>
      <c r="M47" s="267">
        <v>6921419</v>
      </c>
      <c r="N47" s="267">
        <v>6921419</v>
      </c>
      <c r="O47" s="267">
        <v>6921419</v>
      </c>
      <c r="P47" s="267">
        <v>6921419</v>
      </c>
      <c r="Q47" s="267">
        <v>6921419</v>
      </c>
      <c r="R47" s="267">
        <v>6921419</v>
      </c>
      <c r="S47" s="267">
        <v>6921419</v>
      </c>
      <c r="T47" s="579">
        <f>AVERAGE(G47:S47)</f>
        <v>6921419</v>
      </c>
      <c r="U47" s="159"/>
    </row>
    <row r="48" spans="1:21" s="89" customFormat="1" ht="15.5">
      <c r="A48" s="118">
        <f>+A47+1</f>
        <v>19</v>
      </c>
      <c r="B48" s="97"/>
      <c r="C48" s="93" t="s">
        <v>861</v>
      </c>
      <c r="D48" s="93"/>
      <c r="E48" s="119" t="s">
        <v>1007</v>
      </c>
      <c r="F48" s="189">
        <v>165</v>
      </c>
      <c r="G48" s="1080">
        <v>0</v>
      </c>
      <c r="H48" s="956">
        <v>0</v>
      </c>
      <c r="I48" s="956">
        <v>0</v>
      </c>
      <c r="J48" s="956">
        <v>0</v>
      </c>
      <c r="K48" s="956">
        <v>0</v>
      </c>
      <c r="L48" s="956">
        <v>0</v>
      </c>
      <c r="M48" s="1093">
        <v>0</v>
      </c>
      <c r="N48" s="1093">
        <v>0</v>
      </c>
      <c r="O48" s="267">
        <v>0</v>
      </c>
      <c r="P48" s="267">
        <v>0</v>
      </c>
      <c r="Q48" s="267">
        <v>0</v>
      </c>
      <c r="R48" s="267">
        <v>0</v>
      </c>
      <c r="S48" s="267">
        <v>0</v>
      </c>
      <c r="T48" s="579">
        <f t="shared" si="5" ref="T48:T50">AVERAGE(G48:S48)</f>
        <v>0</v>
      </c>
      <c r="U48" s="159"/>
    </row>
    <row r="49" spans="1:21" s="89" customFormat="1" ht="15.5">
      <c r="A49" s="118">
        <f>+A48+1</f>
        <v>20</v>
      </c>
      <c r="B49" s="97"/>
      <c r="C49" s="93" t="s">
        <v>862</v>
      </c>
      <c r="D49" s="93"/>
      <c r="E49" s="119" t="s">
        <v>1007</v>
      </c>
      <c r="F49" s="189">
        <v>165</v>
      </c>
      <c r="G49" s="1080">
        <v>0</v>
      </c>
      <c r="H49" s="956">
        <v>0</v>
      </c>
      <c r="I49" s="956">
        <v>0</v>
      </c>
      <c r="J49" s="956">
        <v>0</v>
      </c>
      <c r="K49" s="956">
        <v>0</v>
      </c>
      <c r="L49" s="956">
        <v>0</v>
      </c>
      <c r="M49" s="1093">
        <v>0</v>
      </c>
      <c r="N49" s="1093">
        <v>0</v>
      </c>
      <c r="O49" s="267">
        <v>0</v>
      </c>
      <c r="P49" s="267">
        <v>0</v>
      </c>
      <c r="Q49" s="267">
        <v>0</v>
      </c>
      <c r="R49" s="267">
        <v>0</v>
      </c>
      <c r="S49" s="267">
        <v>0</v>
      </c>
      <c r="T49" s="579">
        <f>AVERAGE(G49:S49)</f>
        <v>0</v>
      </c>
      <c r="U49" s="159"/>
    </row>
    <row r="50" spans="1:21" s="89" customFormat="1" ht="15.5">
      <c r="A50" s="118">
        <f>+A49+1</f>
        <v>21</v>
      </c>
      <c r="B50" s="97"/>
      <c r="C50" s="93" t="s">
        <v>864</v>
      </c>
      <c r="D50" s="93"/>
      <c r="E50" s="119" t="s">
        <v>1007</v>
      </c>
      <c r="F50" s="189">
        <v>165</v>
      </c>
      <c r="G50" s="1080">
        <v>0</v>
      </c>
      <c r="H50" s="956">
        <v>0</v>
      </c>
      <c r="I50" s="956">
        <v>0</v>
      </c>
      <c r="J50" s="956">
        <v>0</v>
      </c>
      <c r="K50" s="956">
        <v>0</v>
      </c>
      <c r="L50" s="956">
        <v>0</v>
      </c>
      <c r="M50" s="1093">
        <v>0</v>
      </c>
      <c r="N50" s="1093">
        <v>0</v>
      </c>
      <c r="O50" s="267">
        <v>0</v>
      </c>
      <c r="P50" s="267">
        <v>0</v>
      </c>
      <c r="Q50" s="267">
        <v>0</v>
      </c>
      <c r="R50" s="267">
        <v>0</v>
      </c>
      <c r="S50" s="267">
        <v>0</v>
      </c>
      <c r="T50" s="579">
        <f>AVERAGE(G50:S50)</f>
        <v>0</v>
      </c>
      <c r="U50" s="159"/>
    </row>
    <row r="51" spans="1:21" s="89" customFormat="1" ht="15.5">
      <c r="A51" s="118">
        <f>+A50+1</f>
        <v>22</v>
      </c>
      <c r="B51" s="97"/>
      <c r="C51" s="93" t="s">
        <v>863</v>
      </c>
      <c r="D51" s="93"/>
      <c r="E51" s="119"/>
      <c r="F51" s="189"/>
      <c r="G51" s="135"/>
      <c r="H51" s="93"/>
      <c r="I51" s="93"/>
      <c r="J51" s="93"/>
      <c r="K51" s="93"/>
      <c r="L51" s="93"/>
      <c r="M51" s="51"/>
      <c r="N51" s="51"/>
      <c r="O51" s="579"/>
      <c r="P51" s="579"/>
      <c r="Q51" s="579"/>
      <c r="R51" s="579"/>
      <c r="S51" s="579"/>
      <c r="T51" s="54">
        <f>+T47-T48-T49-T50</f>
        <v>6921419</v>
      </c>
      <c r="U51" s="159"/>
    </row>
    <row r="52" spans="1:21" s="89" customFormat="1" ht="16" thickBot="1">
      <c r="A52" s="143"/>
      <c r="B52" s="148"/>
      <c r="C52" s="148"/>
      <c r="D52" s="148"/>
      <c r="E52" s="148"/>
      <c r="F52" s="148"/>
      <c r="G52" s="148"/>
      <c r="H52" s="148"/>
      <c r="I52" s="148"/>
      <c r="J52" s="148"/>
      <c r="K52" s="148"/>
      <c r="L52" s="148"/>
      <c r="M52" s="148"/>
      <c r="N52" s="148"/>
      <c r="O52" s="148"/>
      <c r="P52" s="148"/>
      <c r="Q52" s="148"/>
      <c r="R52" s="148" t="s">
        <v>132</v>
      </c>
      <c r="S52" s="129"/>
      <c r="T52" s="129"/>
      <c r="U52" s="132"/>
    </row>
    <row r="53" spans="1:21" s="89" customFormat="1" ht="15.5">
      <c r="A53" s="97"/>
      <c r="B53" s="97"/>
      <c r="C53" s="97"/>
      <c r="D53" s="97"/>
      <c r="E53" s="97"/>
      <c r="F53" s="97"/>
      <c r="G53" s="97"/>
      <c r="H53" s="97"/>
      <c r="I53" s="97"/>
      <c r="J53" s="97"/>
      <c r="K53" s="97"/>
      <c r="L53" s="97"/>
      <c r="M53" s="97"/>
      <c r="N53" s="97"/>
      <c r="O53" s="97"/>
      <c r="P53" s="97"/>
      <c r="Q53" s="97"/>
      <c r="R53" s="97"/>
      <c r="S53" s="93"/>
      <c r="T53" s="93"/>
      <c r="U53" s="93"/>
    </row>
    <row r="54" spans="1:21" ht="15.5">
      <c r="A54" s="97"/>
      <c r="B54" s="91"/>
      <c r="C54" s="134"/>
      <c r="D54" s="91"/>
      <c r="E54" s="136"/>
      <c r="F54" s="136"/>
      <c r="G54" s="26"/>
      <c r="H54" s="26"/>
      <c r="I54" s="26"/>
      <c r="J54" s="26"/>
      <c r="K54" s="26"/>
      <c r="L54" s="26"/>
      <c r="M54" s="26"/>
      <c r="N54" s="26"/>
      <c r="O54" s="26"/>
      <c r="P54" s="26"/>
      <c r="Q54" s="26"/>
      <c r="R54" s="26"/>
      <c r="S54" s="26"/>
      <c r="T54" s="26"/>
      <c r="U54" s="91"/>
    </row>
    <row r="55" spans="1:21" ht="16" thickBot="1">
      <c r="A55" s="100" t="s">
        <v>53</v>
      </c>
      <c r="B55" s="91"/>
      <c r="C55" s="91"/>
      <c r="D55" s="91"/>
      <c r="E55" s="91"/>
      <c r="F55" s="91"/>
      <c r="G55" s="137"/>
      <c r="H55" s="1180"/>
      <c r="I55" s="1180"/>
      <c r="J55" s="1180"/>
      <c r="K55" s="1180"/>
      <c r="L55" s="1180"/>
      <c r="M55" s="1180"/>
      <c r="N55" s="1180"/>
      <c r="O55" s="1180"/>
      <c r="P55" s="1180"/>
      <c r="Q55" s="1180"/>
      <c r="R55" s="1180"/>
      <c r="S55" s="1180"/>
      <c r="T55" s="91"/>
      <c r="U55" s="91"/>
    </row>
    <row r="56" spans="1:21" ht="31.5" thickBot="1">
      <c r="A56" s="104" t="s">
        <v>448</v>
      </c>
      <c r="B56" s="105" t="s">
        <v>449</v>
      </c>
      <c r="C56" s="105"/>
      <c r="D56" s="105"/>
      <c r="E56" s="107" t="s">
        <v>450</v>
      </c>
      <c r="F56" s="1026" t="s">
        <v>451</v>
      </c>
      <c r="G56" s="106" t="s">
        <v>452</v>
      </c>
      <c r="H56" s="106" t="s">
        <v>453</v>
      </c>
      <c r="I56" s="106" t="s">
        <v>454</v>
      </c>
      <c r="J56" s="106" t="s">
        <v>455</v>
      </c>
      <c r="K56" s="106" t="s">
        <v>456</v>
      </c>
      <c r="L56" s="106" t="s">
        <v>336</v>
      </c>
      <c r="M56" s="106" t="s">
        <v>457</v>
      </c>
      <c r="N56" s="106" t="s">
        <v>458</v>
      </c>
      <c r="O56" s="106" t="s">
        <v>459</v>
      </c>
      <c r="P56" s="106" t="s">
        <v>460</v>
      </c>
      <c r="Q56" s="106" t="s">
        <v>461</v>
      </c>
      <c r="R56" s="106" t="s">
        <v>462</v>
      </c>
      <c r="S56" s="106" t="s">
        <v>463</v>
      </c>
      <c r="T56" s="1069" t="s">
        <v>464</v>
      </c>
      <c r="U56" s="1070"/>
    </row>
    <row r="57" spans="1:21" s="89" customFormat="1" ht="15.5">
      <c r="A57" s="118"/>
      <c r="B57" s="93"/>
      <c r="C57" s="116"/>
      <c r="D57" s="93"/>
      <c r="E57" s="123"/>
      <c r="F57" s="123"/>
      <c r="G57" s="93"/>
      <c r="H57" s="93"/>
      <c r="I57" s="93"/>
      <c r="J57" s="93"/>
      <c r="K57" s="93"/>
      <c r="L57" s="93"/>
      <c r="M57" s="93"/>
      <c r="N57" s="93"/>
      <c r="O57" s="93"/>
      <c r="P57" s="93"/>
      <c r="Q57" s="93"/>
      <c r="R57" s="26"/>
      <c r="S57" s="20"/>
      <c r="T57" s="20"/>
      <c r="U57" s="142"/>
    </row>
    <row r="58" spans="1:21" s="89" customFormat="1" ht="15.5">
      <c r="A58" s="118"/>
      <c r="B58" s="93"/>
      <c r="C58" s="116"/>
      <c r="D58" s="93"/>
      <c r="E58" s="123"/>
      <c r="F58" s="123"/>
      <c r="G58" s="93"/>
      <c r="H58" s="93"/>
      <c r="I58" s="93"/>
      <c r="J58" s="93"/>
      <c r="K58" s="93"/>
      <c r="L58" s="93"/>
      <c r="M58" s="93"/>
      <c r="N58" s="93"/>
      <c r="O58" s="93"/>
      <c r="P58" s="93"/>
      <c r="Q58" s="93"/>
      <c r="R58" s="26"/>
      <c r="S58" s="20"/>
      <c r="T58" s="20"/>
      <c r="U58" s="142"/>
    </row>
    <row r="59" spans="1:21" ht="15.5">
      <c r="A59" s="124">
        <f>+A51+1</f>
        <v>23</v>
      </c>
      <c r="B59" s="93"/>
      <c r="C59" s="116" t="s">
        <v>491</v>
      </c>
      <c r="D59" s="133"/>
      <c r="E59" s="133" t="s">
        <v>492</v>
      </c>
      <c r="F59" s="765">
        <v>163</v>
      </c>
      <c r="G59" s="1080">
        <v>490321</v>
      </c>
      <c r="H59" s="1080">
        <v>490321</v>
      </c>
      <c r="I59" s="1080">
        <v>490321</v>
      </c>
      <c r="J59" s="1080">
        <v>490321</v>
      </c>
      <c r="K59" s="1080">
        <v>490321</v>
      </c>
      <c r="L59" s="1080">
        <v>490321</v>
      </c>
      <c r="M59" s="1080">
        <v>490321</v>
      </c>
      <c r="N59" s="1080">
        <v>490321</v>
      </c>
      <c r="O59" s="1080">
        <v>490321</v>
      </c>
      <c r="P59" s="1080">
        <v>490321</v>
      </c>
      <c r="Q59" s="1080">
        <v>490321</v>
      </c>
      <c r="R59" s="1080">
        <v>490321</v>
      </c>
      <c r="S59" s="1080">
        <v>490321</v>
      </c>
      <c r="T59" s="579">
        <f>AVERAGE(G59:S59)</f>
        <v>490321</v>
      </c>
      <c r="U59" s="122"/>
    </row>
    <row r="60" spans="1:21" ht="15.5">
      <c r="A60" s="124">
        <f>+A59+1</f>
        <v>24</v>
      </c>
      <c r="B60" s="93"/>
      <c r="C60" s="116" t="s">
        <v>56</v>
      </c>
      <c r="D60" s="133"/>
      <c r="E60" s="133" t="s">
        <v>493</v>
      </c>
      <c r="F60" s="765">
        <v>154</v>
      </c>
      <c r="G60" s="1080">
        <v>0</v>
      </c>
      <c r="H60" s="956">
        <v>0</v>
      </c>
      <c r="I60" s="956">
        <v>0</v>
      </c>
      <c r="J60" s="956">
        <v>0</v>
      </c>
      <c r="K60" s="956">
        <v>0</v>
      </c>
      <c r="L60" s="956">
        <v>0</v>
      </c>
      <c r="M60" s="1093">
        <v>0</v>
      </c>
      <c r="N60" s="1093">
        <v>0</v>
      </c>
      <c r="O60" s="267">
        <v>0</v>
      </c>
      <c r="P60" s="267">
        <v>0</v>
      </c>
      <c r="Q60" s="267">
        <v>0</v>
      </c>
      <c r="R60" s="267">
        <v>0</v>
      </c>
      <c r="S60" s="267">
        <v>0</v>
      </c>
      <c r="T60" s="579">
        <f t="shared" si="6" ref="T60:T61">AVERAGE(G60:S60)</f>
        <v>0</v>
      </c>
      <c r="U60" s="122"/>
    </row>
    <row r="61" spans="1:21" s="556" customFormat="1" ht="15.5">
      <c r="A61" s="124">
        <f>+A60+1</f>
        <v>25</v>
      </c>
      <c r="B61" s="93"/>
      <c r="C61" s="116" t="s">
        <v>819</v>
      </c>
      <c r="D61" s="133"/>
      <c r="E61" s="133" t="s">
        <v>820</v>
      </c>
      <c r="F61" s="765">
        <v>154</v>
      </c>
      <c r="G61" s="1080">
        <v>0</v>
      </c>
      <c r="H61" s="956">
        <v>0</v>
      </c>
      <c r="I61" s="956">
        <v>0</v>
      </c>
      <c r="J61" s="956">
        <v>0</v>
      </c>
      <c r="K61" s="956">
        <v>0</v>
      </c>
      <c r="L61" s="956">
        <v>0</v>
      </c>
      <c r="M61" s="1093">
        <v>0</v>
      </c>
      <c r="N61" s="1093">
        <v>0</v>
      </c>
      <c r="O61" s="267">
        <v>0</v>
      </c>
      <c r="P61" s="267">
        <v>0</v>
      </c>
      <c r="Q61" s="267">
        <v>0</v>
      </c>
      <c r="R61" s="267">
        <v>0</v>
      </c>
      <c r="S61" s="267">
        <v>0</v>
      </c>
      <c r="T61" s="579">
        <f>AVERAGE(G61:S61)</f>
        <v>0</v>
      </c>
      <c r="U61" s="122"/>
    </row>
    <row r="62" spans="1:21" ht="16" thickBot="1">
      <c r="A62" s="143"/>
      <c r="B62" s="148"/>
      <c r="C62" s="127"/>
      <c r="D62" s="148"/>
      <c r="E62" s="128"/>
      <c r="F62" s="128"/>
      <c r="G62" s="144"/>
      <c r="H62" s="144"/>
      <c r="I62" s="165"/>
      <c r="J62" s="128"/>
      <c r="K62" s="128"/>
      <c r="L62" s="128"/>
      <c r="M62" s="128"/>
      <c r="N62" s="128"/>
      <c r="O62" s="128"/>
      <c r="P62" s="128"/>
      <c r="Q62" s="128"/>
      <c r="R62" s="128"/>
      <c r="S62" s="144"/>
      <c r="T62" s="1169"/>
      <c r="U62" s="1170"/>
    </row>
    <row r="63" spans="1:21" s="91" customFormat="1" ht="15.5">
      <c r="A63" s="97"/>
      <c r="B63" s="115"/>
      <c r="C63" s="119"/>
      <c r="D63" s="133"/>
      <c r="E63" s="96"/>
      <c r="F63" s="96"/>
      <c r="G63" s="26"/>
      <c r="H63" s="26"/>
      <c r="I63" s="26"/>
      <c r="J63" s="26"/>
      <c r="K63" s="26"/>
      <c r="L63" s="26"/>
      <c r="M63" s="26"/>
      <c r="N63" s="26"/>
      <c r="O63" s="26"/>
      <c r="P63" s="26"/>
      <c r="Q63" s="26"/>
      <c r="R63" s="26"/>
      <c r="S63" s="26"/>
      <c r="T63" s="46"/>
      <c r="U63" s="162"/>
    </row>
    <row r="64" spans="1:21" s="91" customFormat="1" ht="15.5">
      <c r="A64" s="97"/>
      <c r="B64" s="115"/>
      <c r="C64" s="119"/>
      <c r="D64" s="133"/>
      <c r="E64" s="96"/>
      <c r="F64" s="96"/>
      <c r="G64" s="26"/>
      <c r="H64" s="26"/>
      <c r="I64" s="26"/>
      <c r="J64" s="26"/>
      <c r="K64" s="26"/>
      <c r="L64" s="26"/>
      <c r="M64" s="26"/>
      <c r="N64" s="26"/>
      <c r="O64" s="26"/>
      <c r="P64" s="26"/>
      <c r="Q64" s="26"/>
      <c r="R64" s="26"/>
      <c r="S64" s="26"/>
      <c r="T64" s="46"/>
      <c r="U64" s="162"/>
    </row>
    <row r="65" spans="1:21" ht="16" thickBot="1">
      <c r="A65" s="100" t="s">
        <v>494</v>
      </c>
      <c r="B65" s="91"/>
      <c r="C65" s="91"/>
      <c r="D65" s="91"/>
      <c r="E65" s="91"/>
      <c r="F65" s="91"/>
      <c r="G65" s="137"/>
      <c r="H65" s="556"/>
      <c r="I65" s="556"/>
      <c r="J65" s="556"/>
      <c r="K65" s="556"/>
      <c r="L65" s="556"/>
      <c r="M65" s="556"/>
      <c r="N65" s="556"/>
      <c r="O65" s="556"/>
      <c r="P65" s="556"/>
      <c r="Q65" s="556"/>
      <c r="R65" s="556"/>
      <c r="S65" s="556"/>
      <c r="T65" s="556"/>
      <c r="U65" s="556"/>
    </row>
    <row r="66" spans="1:21" ht="31.5" thickBot="1">
      <c r="A66" s="104" t="s">
        <v>448</v>
      </c>
      <c r="B66" s="105" t="s">
        <v>449</v>
      </c>
      <c r="C66" s="105"/>
      <c r="D66" s="105"/>
      <c r="E66" s="107" t="s">
        <v>450</v>
      </c>
      <c r="F66" s="1026" t="s">
        <v>451</v>
      </c>
      <c r="G66" s="138"/>
      <c r="H66" s="138"/>
      <c r="I66" s="138"/>
      <c r="J66" s="138"/>
      <c r="K66" s="138"/>
      <c r="L66" s="138"/>
      <c r="M66" s="138"/>
      <c r="N66" s="138"/>
      <c r="O66" s="138"/>
      <c r="P66" s="138"/>
      <c r="Q66" s="138"/>
      <c r="R66" s="138"/>
      <c r="S66" s="106" t="s">
        <v>483</v>
      </c>
      <c r="T66" s="972"/>
      <c r="U66" s="139"/>
    </row>
    <row r="67" spans="1:21" ht="15.5">
      <c r="A67" s="118">
        <f>+A61+1</f>
        <v>26</v>
      </c>
      <c r="B67" s="91"/>
      <c r="C67" s="134" t="s">
        <v>74</v>
      </c>
      <c r="D67" s="91"/>
      <c r="E67" s="199" t="s">
        <v>495</v>
      </c>
      <c r="F67" s="766" t="s">
        <v>496</v>
      </c>
      <c r="G67" s="135"/>
      <c r="H67" s="91"/>
      <c r="I67" s="91"/>
      <c r="J67" s="91"/>
      <c r="K67" s="91"/>
      <c r="L67" s="91"/>
      <c r="M67" s="91"/>
      <c r="N67" s="91"/>
      <c r="O67" s="91"/>
      <c r="P67" s="91"/>
      <c r="Q67" s="91"/>
      <c r="R67" s="91"/>
      <c r="S67" s="895">
        <f>64812406+500000</f>
        <v>65312406</v>
      </c>
      <c r="T67" s="556"/>
      <c r="U67" s="122"/>
    </row>
    <row r="68" spans="1:21" ht="15.5">
      <c r="A68" s="118">
        <f>+A67+1</f>
        <v>27</v>
      </c>
      <c r="B68" s="91"/>
      <c r="C68" s="134" t="s">
        <v>497</v>
      </c>
      <c r="D68" s="91"/>
      <c r="E68" s="136" t="s">
        <v>498</v>
      </c>
      <c r="F68" s="192">
        <v>565</v>
      </c>
      <c r="G68" s="135"/>
      <c r="H68" s="93"/>
      <c r="I68" s="93"/>
      <c r="J68" s="91"/>
      <c r="K68" s="91"/>
      <c r="L68" s="91"/>
      <c r="M68" s="91"/>
      <c r="N68" s="91"/>
      <c r="O68" s="91"/>
      <c r="P68" s="91"/>
      <c r="Q68" s="91"/>
      <c r="R68" s="91"/>
      <c r="S68" s="895">
        <v>50681852</v>
      </c>
      <c r="T68" s="556"/>
      <c r="U68" s="122"/>
    </row>
    <row r="69" spans="1:21" s="556" customFormat="1" ht="15.5">
      <c r="A69" s="118">
        <f>+A68+1</f>
        <v>28</v>
      </c>
      <c r="B69" s="91"/>
      <c r="C69" s="134" t="s">
        <v>499</v>
      </c>
      <c r="D69" s="91"/>
      <c r="E69" s="136" t="s">
        <v>500</v>
      </c>
      <c r="F69" s="192">
        <v>561.40</v>
      </c>
      <c r="G69" s="135"/>
      <c r="H69" s="93"/>
      <c r="I69" s="93"/>
      <c r="J69" s="91"/>
      <c r="K69" s="91"/>
      <c r="L69" s="91"/>
      <c r="M69" s="91"/>
      <c r="N69" s="91"/>
      <c r="O69" s="91"/>
      <c r="P69" s="91"/>
      <c r="Q69" s="91"/>
      <c r="R69" s="91"/>
      <c r="S69" s="895">
        <v>8585741</v>
      </c>
      <c r="U69" s="122"/>
    </row>
    <row r="70" spans="1:21" s="556" customFormat="1" ht="15.5">
      <c r="A70" s="118">
        <f>+A69+1</f>
        <v>29</v>
      </c>
      <c r="B70" s="91"/>
      <c r="C70" s="134" t="s">
        <v>501</v>
      </c>
      <c r="D70" s="91"/>
      <c r="E70" s="136"/>
      <c r="F70" s="192"/>
      <c r="G70" s="91"/>
      <c r="H70" s="91"/>
      <c r="I70" s="91"/>
      <c r="J70" s="91"/>
      <c r="K70" s="91"/>
      <c r="L70" s="91"/>
      <c r="M70" s="91"/>
      <c r="N70" s="91"/>
      <c r="O70" s="91"/>
      <c r="P70" s="91"/>
      <c r="Q70" s="91"/>
      <c r="R70" s="91"/>
      <c r="S70" s="579">
        <f>+SUM(S68:S69)</f>
        <v>59267593</v>
      </c>
      <c r="U70" s="122"/>
    </row>
    <row r="71" spans="1:21" ht="16" thickBot="1">
      <c r="A71" s="143"/>
      <c r="B71" s="144"/>
      <c r="C71" s="145"/>
      <c r="D71" s="144"/>
      <c r="E71" s="146"/>
      <c r="F71" s="146"/>
      <c r="G71" s="31"/>
      <c r="H71" s="31"/>
      <c r="I71" s="31"/>
      <c r="J71" s="31"/>
      <c r="K71" s="31"/>
      <c r="L71" s="31"/>
      <c r="M71" s="31"/>
      <c r="N71" s="31"/>
      <c r="O71" s="31"/>
      <c r="P71" s="31"/>
      <c r="Q71" s="31"/>
      <c r="R71" s="31"/>
      <c r="S71" s="31"/>
      <c r="T71" s="31"/>
      <c r="U71" s="147"/>
    </row>
    <row r="72" spans="1:21" ht="15.5">
      <c r="A72" s="97"/>
      <c r="B72" s="91"/>
      <c r="C72" s="134"/>
      <c r="D72" s="91"/>
      <c r="E72" s="136"/>
      <c r="F72" s="136"/>
      <c r="G72" s="26"/>
      <c r="H72" s="26"/>
      <c r="I72" s="26"/>
      <c r="J72" s="26"/>
      <c r="K72" s="26"/>
      <c r="L72" s="26"/>
      <c r="M72" s="26"/>
      <c r="N72" s="26"/>
      <c r="O72" s="26"/>
      <c r="P72" s="26"/>
      <c r="Q72" s="26"/>
      <c r="R72" s="26"/>
      <c r="S72" s="26"/>
      <c r="T72" s="26"/>
      <c r="U72" s="91"/>
    </row>
    <row r="73" spans="1:21" ht="15.5">
      <c r="A73" s="97"/>
      <c r="B73" s="91"/>
      <c r="C73" s="134"/>
      <c r="D73" s="91"/>
      <c r="E73" s="136"/>
      <c r="F73" s="136"/>
      <c r="G73" s="26"/>
      <c r="H73" s="26"/>
      <c r="I73" s="26"/>
      <c r="J73" s="26"/>
      <c r="K73" s="26"/>
      <c r="L73" s="26"/>
      <c r="M73" s="26"/>
      <c r="N73" s="26"/>
      <c r="O73" s="26"/>
      <c r="P73" s="26"/>
      <c r="Q73" s="26"/>
      <c r="R73" s="26"/>
      <c r="S73" s="26"/>
      <c r="T73" s="26"/>
      <c r="U73" s="91"/>
    </row>
    <row r="74" spans="1:21" s="91" customFormat="1" ht="16" thickBot="1">
      <c r="A74" s="100" t="s">
        <v>502</v>
      </c>
      <c r="G74" s="137"/>
      <c r="H74" s="26"/>
      <c r="I74" s="26"/>
      <c r="J74" s="26"/>
      <c r="K74" s="26"/>
      <c r="L74" s="26"/>
      <c r="M74" s="26"/>
      <c r="N74" s="26"/>
      <c r="O74" s="26"/>
      <c r="P74" s="26"/>
      <c r="Q74" s="26"/>
      <c r="R74" s="26"/>
      <c r="S74" s="26"/>
      <c r="T74" s="46"/>
      <c r="U74" s="162"/>
    </row>
    <row r="75" spans="1:21" s="91" customFormat="1" ht="31.5" thickBot="1">
      <c r="A75" s="104" t="s">
        <v>448</v>
      </c>
      <c r="B75" s="105" t="s">
        <v>449</v>
      </c>
      <c r="C75" s="105"/>
      <c r="D75" s="105"/>
      <c r="E75" s="107" t="s">
        <v>450</v>
      </c>
      <c r="F75" s="1026" t="s">
        <v>451</v>
      </c>
      <c r="G75" s="138"/>
      <c r="H75" s="52"/>
      <c r="I75" s="52"/>
      <c r="J75" s="52"/>
      <c r="K75" s="52"/>
      <c r="L75" s="52"/>
      <c r="M75" s="52"/>
      <c r="N75" s="52"/>
      <c r="O75" s="52"/>
      <c r="P75" s="52"/>
      <c r="Q75" s="52"/>
      <c r="R75" s="52"/>
      <c r="S75" s="106" t="s">
        <v>483</v>
      </c>
      <c r="T75" s="972"/>
      <c r="U75" s="1027"/>
    </row>
    <row r="76" spans="1:21" s="91" customFormat="1" ht="15.5">
      <c r="A76" s="114"/>
      <c r="C76" s="126"/>
      <c r="D76" s="102"/>
      <c r="E76" s="102"/>
      <c r="F76" s="102"/>
      <c r="H76" s="26"/>
      <c r="I76" s="26"/>
      <c r="J76" s="26"/>
      <c r="K76" s="26"/>
      <c r="L76" s="26"/>
      <c r="M76" s="26"/>
      <c r="N76" s="26"/>
      <c r="O76" s="26"/>
      <c r="P76" s="26"/>
      <c r="Q76" s="26"/>
      <c r="R76" s="26"/>
      <c r="S76" s="133"/>
      <c r="U76" s="170"/>
    </row>
    <row r="77" spans="1:21" s="91" customFormat="1" ht="15.5">
      <c r="A77" s="114">
        <f>+A70+1</f>
        <v>30</v>
      </c>
      <c r="B77" s="171"/>
      <c r="C77" s="126" t="s">
        <v>503</v>
      </c>
      <c r="D77" s="102"/>
      <c r="E77" s="102" t="s">
        <v>1006</v>
      </c>
      <c r="F77" s="767">
        <v>924</v>
      </c>
      <c r="G77" s="135"/>
      <c r="H77" s="26"/>
      <c r="I77" s="26"/>
      <c r="J77" s="26"/>
      <c r="K77" s="26"/>
      <c r="L77" s="26"/>
      <c r="M77" s="26"/>
      <c r="N77" s="26"/>
      <c r="O77" s="26"/>
      <c r="P77" s="26"/>
      <c r="Q77" s="26"/>
      <c r="R77" s="26"/>
      <c r="S77" s="895">
        <v>3917387</v>
      </c>
      <c r="U77" s="170"/>
    </row>
    <row r="78" spans="1:21" s="91" customFormat="1" ht="16" thickBot="1">
      <c r="A78" s="143"/>
      <c r="B78" s="161"/>
      <c r="C78" s="128"/>
      <c r="D78" s="131"/>
      <c r="E78" s="172"/>
      <c r="F78" s="172"/>
      <c r="G78" s="31"/>
      <c r="H78" s="31"/>
      <c r="I78" s="31"/>
      <c r="J78" s="31"/>
      <c r="K78" s="31"/>
      <c r="L78" s="31"/>
      <c r="M78" s="31"/>
      <c r="N78" s="31"/>
      <c r="O78" s="31"/>
      <c r="P78" s="31"/>
      <c r="Q78" s="31"/>
      <c r="R78" s="31"/>
      <c r="S78" s="31"/>
      <c r="T78" s="53"/>
      <c r="U78" s="173"/>
    </row>
    <row r="79" spans="1:21" ht="15.5">
      <c r="A79" s="97"/>
      <c r="B79" s="97"/>
      <c r="C79" s="125"/>
      <c r="D79" s="97"/>
      <c r="E79" s="119"/>
      <c r="F79" s="119"/>
      <c r="G79" s="91"/>
      <c r="H79" s="91"/>
      <c r="I79" s="50"/>
      <c r="J79" s="119"/>
      <c r="K79" s="119"/>
      <c r="L79" s="119"/>
      <c r="M79" s="119"/>
      <c r="N79" s="119"/>
      <c r="O79" s="119"/>
      <c r="P79" s="119"/>
      <c r="Q79" s="119"/>
      <c r="R79" s="119"/>
      <c r="S79" s="91"/>
      <c r="T79" s="282"/>
      <c r="U79" s="556"/>
    </row>
    <row r="80" spans="1:21" ht="16" thickBot="1">
      <c r="A80" s="100" t="s">
        <v>504</v>
      </c>
      <c r="B80" s="556"/>
      <c r="C80" s="556"/>
      <c r="D80" s="556"/>
      <c r="E80" s="556"/>
      <c r="G80" s="556"/>
      <c r="H80" s="556"/>
      <c r="I80" s="556"/>
      <c r="J80" s="556"/>
      <c r="K80" s="556"/>
      <c r="L80" s="556"/>
      <c r="M80" s="556"/>
      <c r="N80" s="556"/>
      <c r="O80" s="556"/>
      <c r="P80" s="556"/>
      <c r="Q80" s="556"/>
      <c r="R80" s="556"/>
      <c r="S80" s="556"/>
      <c r="T80" s="556"/>
      <c r="U80" s="556"/>
    </row>
    <row r="81" spans="1:21" ht="31.5" thickBot="1">
      <c r="A81" s="104" t="s">
        <v>448</v>
      </c>
      <c r="B81" s="105" t="s">
        <v>449</v>
      </c>
      <c r="C81" s="105"/>
      <c r="D81" s="105"/>
      <c r="E81" s="107" t="s">
        <v>450</v>
      </c>
      <c r="F81" s="1026" t="s">
        <v>451</v>
      </c>
      <c r="G81" s="106"/>
      <c r="H81" s="106"/>
      <c r="I81" s="106"/>
      <c r="J81" s="106"/>
      <c r="K81" s="106"/>
      <c r="L81" s="106"/>
      <c r="M81" s="106"/>
      <c r="N81" s="106"/>
      <c r="O81" s="106"/>
      <c r="P81" s="106"/>
      <c r="Q81" s="106"/>
      <c r="R81" s="106"/>
      <c r="S81" s="1026" t="s">
        <v>483</v>
      </c>
      <c r="T81" s="1173"/>
      <c r="U81" s="1174"/>
    </row>
    <row r="82" spans="1:21" ht="15.5">
      <c r="A82" s="118"/>
      <c r="B82" s="125"/>
      <c r="C82" s="97"/>
      <c r="D82" s="97"/>
      <c r="E82" s="97"/>
      <c r="F82" s="97"/>
      <c r="G82" s="97"/>
      <c r="H82" s="97"/>
      <c r="I82" s="97"/>
      <c r="J82" s="97"/>
      <c r="K82" s="97"/>
      <c r="L82" s="97"/>
      <c r="M82" s="97"/>
      <c r="N82" s="97"/>
      <c r="O82" s="97"/>
      <c r="P82" s="97"/>
      <c r="Q82" s="97"/>
      <c r="R82" s="97"/>
      <c r="S82" s="91"/>
      <c r="T82" s="91"/>
      <c r="U82" s="122"/>
    </row>
    <row r="83" spans="1:21" s="564" customFormat="1" ht="15.5">
      <c r="A83" s="118">
        <f>+A77+1</f>
        <v>31</v>
      </c>
      <c r="B83" s="97"/>
      <c r="C83" s="119" t="s">
        <v>505</v>
      </c>
      <c r="D83" s="97"/>
      <c r="E83" s="119" t="s">
        <v>1005</v>
      </c>
      <c r="F83" s="189" t="s">
        <v>506</v>
      </c>
      <c r="G83" s="135"/>
      <c r="H83" s="563"/>
      <c r="I83" s="563"/>
      <c r="J83" s="563"/>
      <c r="K83" s="563"/>
      <c r="L83" s="563"/>
      <c r="M83" s="563"/>
      <c r="N83" s="563"/>
      <c r="O83" s="563"/>
      <c r="P83" s="563"/>
      <c r="Q83" s="563" t="s">
        <v>507</v>
      </c>
      <c r="R83" s="563"/>
      <c r="S83" s="895">
        <v>70449487</v>
      </c>
      <c r="T83" s="1024"/>
      <c r="U83" s="170"/>
    </row>
    <row r="84" spans="1:21" ht="15.5">
      <c r="A84" s="118">
        <f>+A83+1</f>
        <v>32</v>
      </c>
      <c r="B84" s="97"/>
      <c r="C84" s="96" t="s">
        <v>508</v>
      </c>
      <c r="D84" s="26"/>
      <c r="E84" s="119" t="s">
        <v>509</v>
      </c>
      <c r="F84" s="189" t="s">
        <v>506</v>
      </c>
      <c r="G84" s="119"/>
      <c r="H84" s="119"/>
      <c r="I84" s="119"/>
      <c r="J84" s="119"/>
      <c r="K84" s="119"/>
      <c r="L84" s="119"/>
      <c r="M84" s="119"/>
      <c r="N84" s="119"/>
      <c r="O84" s="119"/>
      <c r="P84" s="119"/>
      <c r="Q84" s="119"/>
      <c r="R84" s="119"/>
      <c r="S84" s="895">
        <v>3355000</v>
      </c>
      <c r="T84" s="1171"/>
      <c r="U84" s="1172"/>
    </row>
    <row r="85" spans="1:21" s="556" customFormat="1" ht="15.5">
      <c r="A85" s="118">
        <f>+A84+1</f>
        <v>33</v>
      </c>
      <c r="B85" s="97"/>
      <c r="C85" s="96" t="s">
        <v>510</v>
      </c>
      <c r="D85" s="26"/>
      <c r="E85" s="119" t="s">
        <v>509</v>
      </c>
      <c r="F85" s="189" t="s">
        <v>506</v>
      </c>
      <c r="G85" s="119"/>
      <c r="H85" s="119"/>
      <c r="I85" s="119"/>
      <c r="J85" s="119"/>
      <c r="K85" s="119"/>
      <c r="L85" s="119"/>
      <c r="M85" s="119"/>
      <c r="N85" s="119"/>
      <c r="O85" s="119"/>
      <c r="P85" s="119"/>
      <c r="Q85" s="119"/>
      <c r="R85" s="119"/>
      <c r="S85" s="895">
        <v>23253000</v>
      </c>
      <c r="T85" s="1024"/>
      <c r="U85" s="1025"/>
    </row>
    <row r="86" spans="1:21" ht="16" thickBot="1">
      <c r="A86" s="143"/>
      <c r="B86" s="148"/>
      <c r="C86" s="148"/>
      <c r="D86" s="148"/>
      <c r="E86" s="148"/>
      <c r="F86" s="148"/>
      <c r="G86" s="148"/>
      <c r="H86" s="148"/>
      <c r="I86" s="148"/>
      <c r="J86" s="148"/>
      <c r="K86" s="148"/>
      <c r="L86" s="148"/>
      <c r="M86" s="148"/>
      <c r="N86" s="148"/>
      <c r="O86" s="148"/>
      <c r="P86" s="148"/>
      <c r="Q86" s="148"/>
      <c r="R86" s="148"/>
      <c r="S86" s="144"/>
      <c r="T86" s="144"/>
      <c r="U86" s="147"/>
    </row>
    <row r="87" ht="15.5"/>
    <row r="88" spans="1:21" ht="15.5">
      <c r="A88" s="556"/>
      <c r="B88" s="556"/>
      <c r="C88" s="556"/>
      <c r="D88" s="556"/>
      <c r="E88" s="556"/>
      <c r="G88" s="556"/>
      <c r="H88" s="556"/>
      <c r="I88" s="556"/>
      <c r="J88" s="556"/>
      <c r="K88" s="556"/>
      <c r="L88" s="556"/>
      <c r="M88" s="556"/>
      <c r="N88" s="556"/>
      <c r="O88" s="556"/>
      <c r="P88" s="556"/>
      <c r="Q88" s="556"/>
      <c r="R88" s="556"/>
      <c r="S88" s="556"/>
      <c r="T88" s="556" t="s">
        <v>132</v>
      </c>
      <c r="U88" s="556"/>
    </row>
    <row r="89" spans="1:21" ht="16" thickBot="1">
      <c r="A89" s="100" t="s">
        <v>511</v>
      </c>
      <c r="B89" s="556"/>
      <c r="C89" s="556"/>
      <c r="D89" s="556"/>
      <c r="E89" s="556"/>
      <c r="G89" s="556"/>
      <c r="H89" s="556"/>
      <c r="I89" s="556"/>
      <c r="J89" s="556"/>
      <c r="K89" s="556"/>
      <c r="L89" s="556"/>
      <c r="M89" s="556"/>
      <c r="N89" s="556"/>
      <c r="O89" s="556"/>
      <c r="P89" s="556"/>
      <c r="Q89" s="556"/>
      <c r="R89" s="556"/>
      <c r="S89" s="556"/>
      <c r="T89" s="556"/>
      <c r="U89" s="556"/>
    </row>
    <row r="90" spans="1:21" ht="31.5" thickBot="1">
      <c r="A90" s="104" t="s">
        <v>448</v>
      </c>
      <c r="B90" s="105" t="s">
        <v>449</v>
      </c>
      <c r="C90" s="105"/>
      <c r="D90" s="105"/>
      <c r="E90" s="107" t="s">
        <v>450</v>
      </c>
      <c r="F90" s="1026" t="s">
        <v>451</v>
      </c>
      <c r="G90" s="106"/>
      <c r="H90" s="106"/>
      <c r="I90" s="106"/>
      <c r="J90" s="106"/>
      <c r="K90" s="106"/>
      <c r="L90" s="106"/>
      <c r="M90" s="106"/>
      <c r="N90" s="106"/>
      <c r="O90" s="106"/>
      <c r="P90" s="106"/>
      <c r="Q90" s="106"/>
      <c r="R90" s="106"/>
      <c r="S90" s="1026" t="s">
        <v>483</v>
      </c>
      <c r="T90" s="1026"/>
      <c r="U90" s="1027"/>
    </row>
    <row r="91" spans="1:21" s="89" customFormat="1" ht="15.5">
      <c r="A91" s="174"/>
      <c r="B91" s="175"/>
      <c r="C91" s="175"/>
      <c r="D91" s="175"/>
      <c r="E91" s="177"/>
      <c r="F91" s="177"/>
      <c r="G91" s="176"/>
      <c r="H91" s="176"/>
      <c r="I91" s="176"/>
      <c r="J91" s="176"/>
      <c r="K91" s="176"/>
      <c r="L91" s="176"/>
      <c r="M91" s="176"/>
      <c r="N91" s="176"/>
      <c r="O91" s="176"/>
      <c r="P91" s="176"/>
      <c r="Q91" s="176"/>
      <c r="R91" s="176"/>
      <c r="S91" s="178"/>
      <c r="T91" s="178"/>
      <c r="U91" s="179"/>
    </row>
    <row r="92" spans="1:21" ht="15.5">
      <c r="A92" s="118">
        <f>+A85+1</f>
        <v>34</v>
      </c>
      <c r="B92" s="97"/>
      <c r="C92" s="119" t="s">
        <v>512</v>
      </c>
      <c r="D92" s="123"/>
      <c r="E92" s="119" t="s">
        <v>1004</v>
      </c>
      <c r="F92" s="189">
        <v>928</v>
      </c>
      <c r="G92" s="135"/>
      <c r="H92" s="119"/>
      <c r="I92" s="119"/>
      <c r="J92" s="119"/>
      <c r="K92" s="119"/>
      <c r="L92" s="119"/>
      <c r="M92" s="119"/>
      <c r="N92" s="119"/>
      <c r="O92" s="119"/>
      <c r="P92" s="119"/>
      <c r="Q92" s="119"/>
      <c r="R92" s="119"/>
      <c r="S92" s="895">
        <v>3642214</v>
      </c>
      <c r="T92" s="583"/>
      <c r="U92" s="180"/>
    </row>
    <row r="93" spans="1:21" ht="15.5">
      <c r="A93" s="118">
        <f>+A92+1</f>
        <v>35</v>
      </c>
      <c r="B93" s="97"/>
      <c r="C93" s="119" t="s">
        <v>513</v>
      </c>
      <c r="D93" s="206"/>
      <c r="E93" s="119" t="s">
        <v>514</v>
      </c>
      <c r="F93" s="189">
        <v>928</v>
      </c>
      <c r="G93" s="135"/>
      <c r="H93" s="119"/>
      <c r="I93" s="119"/>
      <c r="J93" s="119"/>
      <c r="K93" s="119"/>
      <c r="L93" s="119"/>
      <c r="M93" s="119"/>
      <c r="N93" s="119"/>
      <c r="O93" s="119"/>
      <c r="P93" s="119"/>
      <c r="Q93" s="119"/>
      <c r="R93" s="119"/>
      <c r="S93" s="895">
        <v>150000</v>
      </c>
      <c r="T93" s="26"/>
      <c r="U93" s="182"/>
    </row>
    <row r="94" spans="1:21" ht="16" thickBot="1">
      <c r="A94" s="183"/>
      <c r="B94" s="144"/>
      <c r="C94" s="144"/>
      <c r="D94" s="144"/>
      <c r="E94" s="144"/>
      <c r="F94" s="144"/>
      <c r="G94" s="144"/>
      <c r="H94" s="144"/>
      <c r="I94" s="144"/>
      <c r="J94" s="144"/>
      <c r="K94" s="144"/>
      <c r="L94" s="144"/>
      <c r="M94" s="144"/>
      <c r="N94" s="144"/>
      <c r="O94" s="144"/>
      <c r="P94" s="144"/>
      <c r="Q94" s="144"/>
      <c r="R94" s="144"/>
      <c r="S94" s="144"/>
      <c r="T94" s="144"/>
      <c r="U94" s="147"/>
    </row>
    <row r="95" spans="1:21" ht="15.5">
      <c r="A95" s="91"/>
      <c r="B95" s="91"/>
      <c r="C95" s="91"/>
      <c r="D95" s="91"/>
      <c r="E95" s="91"/>
      <c r="F95" s="91"/>
      <c r="G95" s="91"/>
      <c r="H95" s="91"/>
      <c r="I95" s="91"/>
      <c r="J95" s="91"/>
      <c r="K95" s="91"/>
      <c r="L95" s="91"/>
      <c r="M95" s="91"/>
      <c r="N95" s="91"/>
      <c r="O95" s="91"/>
      <c r="P95" s="91"/>
      <c r="Q95" s="91"/>
      <c r="R95" s="91"/>
      <c r="S95" s="91"/>
      <c r="T95" s="91"/>
      <c r="U95" s="91"/>
    </row>
    <row r="96" spans="1:21" ht="15.5">
      <c r="A96" s="91"/>
      <c r="B96" s="91"/>
      <c r="C96" s="91"/>
      <c r="D96" s="91"/>
      <c r="E96" s="91"/>
      <c r="F96" s="91"/>
      <c r="G96" s="91"/>
      <c r="H96" s="91"/>
      <c r="I96" s="91"/>
      <c r="J96" s="91"/>
      <c r="K96" s="91"/>
      <c r="L96" s="91"/>
      <c r="M96" s="91"/>
      <c r="N96" s="91"/>
      <c r="O96" s="91"/>
      <c r="P96" s="91"/>
      <c r="Q96" s="91"/>
      <c r="R96" s="91"/>
      <c r="S96" s="91"/>
      <c r="T96" s="91"/>
      <c r="U96" s="91"/>
    </row>
    <row r="97" spans="1:6" s="91" customFormat="1" ht="16" thickBot="1">
      <c r="A97" s="184" t="s">
        <v>853</v>
      </c>
      <c r="E97" s="119"/>
      <c r="F97" s="119"/>
    </row>
    <row r="98" spans="1:21" ht="31.5" thickBot="1">
      <c r="A98" s="104" t="s">
        <v>448</v>
      </c>
      <c r="B98" s="105" t="s">
        <v>449</v>
      </c>
      <c r="C98" s="105"/>
      <c r="D98" s="105"/>
      <c r="E98" s="107" t="s">
        <v>450</v>
      </c>
      <c r="F98" s="1026" t="s">
        <v>451</v>
      </c>
      <c r="G98" s="106"/>
      <c r="H98" s="106"/>
      <c r="I98" s="106"/>
      <c r="J98" s="106"/>
      <c r="K98" s="106"/>
      <c r="L98" s="106"/>
      <c r="M98" s="106"/>
      <c r="N98" s="106"/>
      <c r="O98" s="106"/>
      <c r="P98" s="106"/>
      <c r="Q98" s="106"/>
      <c r="R98" s="106"/>
      <c r="S98" s="1026" t="s">
        <v>483</v>
      </c>
      <c r="T98" s="1026"/>
      <c r="U98" s="1027"/>
    </row>
    <row r="99" spans="1:21" s="89" customFormat="1" ht="15.5">
      <c r="A99" s="140"/>
      <c r="B99" s="92"/>
      <c r="C99" s="92"/>
      <c r="D99" s="92"/>
      <c r="E99" s="141"/>
      <c r="F99" s="141"/>
      <c r="G99" s="209"/>
      <c r="H99" s="209"/>
      <c r="I99" s="209"/>
      <c r="J99" s="209"/>
      <c r="K99" s="209"/>
      <c r="L99" s="209"/>
      <c r="M99" s="209"/>
      <c r="N99" s="209"/>
      <c r="O99" s="209"/>
      <c r="P99" s="209"/>
      <c r="Q99" s="209"/>
      <c r="R99" s="209"/>
      <c r="S99" s="1024"/>
      <c r="T99" s="1024"/>
      <c r="U99" s="1025"/>
    </row>
    <row r="100" spans="1:21" ht="15.5">
      <c r="A100" s="118">
        <f>+A93+1</f>
        <v>36</v>
      </c>
      <c r="B100" s="97"/>
      <c r="C100" s="119" t="s">
        <v>515</v>
      </c>
      <c r="D100" s="91"/>
      <c r="E100" s="136" t="s">
        <v>516</v>
      </c>
      <c r="F100" s="136" t="s">
        <v>855</v>
      </c>
      <c r="G100" s="135"/>
      <c r="H100" s="119"/>
      <c r="I100" s="119"/>
      <c r="J100" s="119"/>
      <c r="K100" s="119"/>
      <c r="L100" s="119"/>
      <c r="M100" s="119"/>
      <c r="N100" s="119"/>
      <c r="O100" s="119"/>
      <c r="P100" s="119"/>
      <c r="Q100" s="119"/>
      <c r="R100" s="119"/>
      <c r="S100" s="561">
        <v>0</v>
      </c>
      <c r="T100" s="583"/>
      <c r="U100" s="185"/>
    </row>
    <row r="101" spans="1:21" s="556" customFormat="1" ht="15.5">
      <c r="A101" s="118">
        <f>+A100+1</f>
        <v>37</v>
      </c>
      <c r="B101" s="97"/>
      <c r="C101" s="119" t="s">
        <v>854</v>
      </c>
      <c r="D101" s="91"/>
      <c r="E101" s="136" t="s">
        <v>856</v>
      </c>
      <c r="F101" s="136" t="s">
        <v>855</v>
      </c>
      <c r="G101" s="135"/>
      <c r="H101" s="119"/>
      <c r="I101" s="119"/>
      <c r="J101" s="119"/>
      <c r="K101" s="119"/>
      <c r="L101" s="119"/>
      <c r="M101" s="119"/>
      <c r="N101" s="119"/>
      <c r="O101" s="119"/>
      <c r="P101" s="119"/>
      <c r="Q101" s="119"/>
      <c r="R101" s="119"/>
      <c r="S101" s="561">
        <v>0</v>
      </c>
      <c r="T101" s="583"/>
      <c r="U101" s="185"/>
    </row>
    <row r="102" spans="1:21" ht="16" thickBot="1">
      <c r="A102" s="143"/>
      <c r="B102" s="148"/>
      <c r="C102" s="128"/>
      <c r="D102" s="144"/>
      <c r="E102" s="146"/>
      <c r="F102" s="146"/>
      <c r="G102" s="128"/>
      <c r="H102" s="128"/>
      <c r="I102" s="128"/>
      <c r="J102" s="128"/>
      <c r="K102" s="128"/>
      <c r="L102" s="128"/>
      <c r="M102" s="128"/>
      <c r="N102" s="128"/>
      <c r="O102" s="128"/>
      <c r="P102" s="128"/>
      <c r="Q102" s="128"/>
      <c r="R102" s="128"/>
      <c r="S102" s="31"/>
      <c r="T102" s="186"/>
      <c r="U102" s="187"/>
    </row>
    <row r="103" spans="1:21" ht="15.5">
      <c r="A103" s="556"/>
      <c r="B103" s="556"/>
      <c r="C103" s="556"/>
      <c r="D103" s="556"/>
      <c r="E103" s="91"/>
      <c r="F103" s="91"/>
      <c r="G103" s="91"/>
      <c r="H103" s="91"/>
      <c r="I103" s="91"/>
      <c r="J103" s="91"/>
      <c r="K103" s="91"/>
      <c r="L103" s="91"/>
      <c r="M103" s="91"/>
      <c r="N103" s="91"/>
      <c r="O103" s="91"/>
      <c r="P103" s="91"/>
      <c r="Q103" s="91"/>
      <c r="R103" s="91"/>
      <c r="S103" s="91"/>
      <c r="T103" s="91"/>
      <c r="U103" s="122"/>
    </row>
    <row r="104" spans="1:21" ht="17.5">
      <c r="A104" s="556"/>
      <c r="B104" s="556"/>
      <c r="C104" s="556"/>
      <c r="D104" s="556"/>
      <c r="E104" s="91"/>
      <c r="F104" s="91"/>
      <c r="G104" s="91"/>
      <c r="H104" s="91"/>
      <c r="I104" s="91"/>
      <c r="J104" s="91"/>
      <c r="K104" s="91"/>
      <c r="L104" s="91"/>
      <c r="M104" s="91"/>
      <c r="N104" s="91"/>
      <c r="O104" s="91"/>
      <c r="P104" s="91"/>
      <c r="Q104" s="91"/>
      <c r="R104" s="91"/>
      <c r="S104" s="91"/>
      <c r="T104" s="91"/>
      <c r="U104" s="925"/>
    </row>
    <row r="105" spans="1:21" s="91" customFormat="1" ht="16" thickBot="1">
      <c r="A105" s="100" t="s">
        <v>517</v>
      </c>
      <c r="G105" s="137"/>
      <c r="H105" s="556"/>
      <c r="I105" s="556"/>
      <c r="J105" s="556"/>
      <c r="K105" s="556"/>
      <c r="L105" s="556"/>
      <c r="M105" s="556"/>
      <c r="N105" s="556"/>
      <c r="O105" s="556"/>
      <c r="P105" s="556"/>
      <c r="Q105" s="556"/>
      <c r="R105" s="556"/>
      <c r="S105" s="556"/>
      <c r="T105" s="556"/>
      <c r="U105" s="556"/>
    </row>
    <row r="106" spans="1:21" s="91" customFormat="1" ht="31.5" thickBot="1">
      <c r="A106" s="104" t="s">
        <v>448</v>
      </c>
      <c r="B106" s="105" t="s">
        <v>449</v>
      </c>
      <c r="C106" s="105"/>
      <c r="D106" s="105"/>
      <c r="E106" s="107" t="s">
        <v>450</v>
      </c>
      <c r="F106" s="1026" t="s">
        <v>451</v>
      </c>
      <c r="G106" s="138"/>
      <c r="H106" s="138"/>
      <c r="I106" s="138"/>
      <c r="J106" s="138"/>
      <c r="K106" s="138"/>
      <c r="L106" s="138"/>
      <c r="M106" s="138"/>
      <c r="N106" s="138"/>
      <c r="O106" s="138"/>
      <c r="P106" s="138"/>
      <c r="Q106" s="138"/>
      <c r="R106" s="138"/>
      <c r="S106" s="106" t="s">
        <v>483</v>
      </c>
      <c r="T106" s="106"/>
      <c r="U106" s="139"/>
    </row>
    <row r="107" spans="1:21" ht="15.5">
      <c r="A107" s="108"/>
      <c r="B107" s="111"/>
      <c r="C107" s="208"/>
      <c r="D107" s="110"/>
      <c r="E107" s="110"/>
      <c r="F107" s="110"/>
      <c r="G107" s="111"/>
      <c r="H107" s="111"/>
      <c r="I107" s="111"/>
      <c r="J107" s="111"/>
      <c r="K107" s="111"/>
      <c r="L107" s="111"/>
      <c r="M107" s="111"/>
      <c r="N107" s="111"/>
      <c r="O107" s="111"/>
      <c r="P107" s="111"/>
      <c r="Q107" s="111"/>
      <c r="R107" s="111"/>
      <c r="S107" s="111"/>
      <c r="T107" s="191"/>
      <c r="U107" s="113"/>
    </row>
    <row r="108" spans="1:21" s="89" customFormat="1" ht="15.5">
      <c r="A108" s="124">
        <f>+A101+1</f>
        <v>38</v>
      </c>
      <c r="B108" s="125"/>
      <c r="C108" s="116" t="s">
        <v>518</v>
      </c>
      <c r="D108" s="133"/>
      <c r="E108" s="133" t="s">
        <v>519</v>
      </c>
      <c r="F108" s="765">
        <v>403</v>
      </c>
      <c r="G108" s="135"/>
      <c r="H108" s="93"/>
      <c r="I108" s="93"/>
      <c r="J108" s="93"/>
      <c r="K108" s="93"/>
      <c r="L108" s="93"/>
      <c r="M108" s="93"/>
      <c r="N108" s="93"/>
      <c r="O108" s="93"/>
      <c r="P108" s="93"/>
      <c r="Q108" s="93"/>
      <c r="R108" s="93"/>
      <c r="S108" s="895">
        <v>8926813.7236506306</v>
      </c>
      <c r="U108" s="142"/>
    </row>
    <row r="109" spans="1:21" s="89" customFormat="1" ht="15.5">
      <c r="A109" s="124">
        <f>+A108+1</f>
        <v>39</v>
      </c>
      <c r="B109" s="125"/>
      <c r="C109" s="116" t="s">
        <v>520</v>
      </c>
      <c r="D109" s="133"/>
      <c r="E109" s="133" t="s">
        <v>521</v>
      </c>
      <c r="F109" s="765">
        <v>403</v>
      </c>
      <c r="G109" s="93"/>
      <c r="H109" s="93"/>
      <c r="I109" s="93"/>
      <c r="J109" s="93"/>
      <c r="K109" s="93"/>
      <c r="L109" s="93"/>
      <c r="M109" s="93"/>
      <c r="N109" s="93"/>
      <c r="O109" s="93"/>
      <c r="P109" s="93"/>
      <c r="Q109" s="93"/>
      <c r="R109" s="93"/>
      <c r="S109" s="895">
        <v>1147220.7944876435</v>
      </c>
      <c r="U109" s="532"/>
    </row>
    <row r="110" spans="1:21" ht="15.5">
      <c r="A110" s="124">
        <f>+A109+1</f>
        <v>40</v>
      </c>
      <c r="B110" s="192"/>
      <c r="C110" s="134" t="s">
        <v>522</v>
      </c>
      <c r="D110" s="133"/>
      <c r="E110" s="133" t="s">
        <v>523</v>
      </c>
      <c r="F110" s="765">
        <v>404</v>
      </c>
      <c r="G110" s="91"/>
      <c r="H110" s="91"/>
      <c r="I110" s="91"/>
      <c r="J110" s="91"/>
      <c r="K110" s="91"/>
      <c r="L110" s="91"/>
      <c r="M110" s="91"/>
      <c r="N110" s="91"/>
      <c r="O110" s="91"/>
      <c r="P110" s="91"/>
      <c r="Q110" s="91"/>
      <c r="R110" s="91"/>
      <c r="S110" s="895">
        <v>4244912.512913283</v>
      </c>
      <c r="T110" s="556"/>
      <c r="U110" s="122"/>
    </row>
    <row r="111" spans="1:21" ht="16" thickBot="1">
      <c r="A111" s="143"/>
      <c r="B111" s="190"/>
      <c r="C111" s="128"/>
      <c r="D111" s="131"/>
      <c r="E111" s="172"/>
      <c r="F111" s="172"/>
      <c r="G111" s="172"/>
      <c r="H111" s="144"/>
      <c r="I111" s="144"/>
      <c r="J111" s="144"/>
      <c r="K111" s="144"/>
      <c r="L111" s="144"/>
      <c r="M111" s="144"/>
      <c r="N111" s="144"/>
      <c r="O111" s="144"/>
      <c r="P111" s="144"/>
      <c r="Q111" s="144"/>
      <c r="R111" s="144"/>
      <c r="S111" s="144"/>
      <c r="T111" s="144"/>
      <c r="U111" s="147"/>
    </row>
    <row r="112" spans="1:21" ht="15.5">
      <c r="A112" s="97"/>
      <c r="B112" s="189"/>
      <c r="C112" s="119"/>
      <c r="D112" s="133"/>
      <c r="E112" s="96"/>
      <c r="F112" s="96"/>
      <c r="G112" s="96"/>
      <c r="H112" s="96"/>
      <c r="I112" s="96"/>
      <c r="J112" s="96"/>
      <c r="K112" s="96"/>
      <c r="L112" s="96"/>
      <c r="M112" s="96"/>
      <c r="N112" s="96"/>
      <c r="O112" s="96"/>
      <c r="P112" s="96"/>
      <c r="Q112" s="96"/>
      <c r="R112" s="96"/>
      <c r="S112" s="162"/>
      <c r="T112" s="120"/>
      <c r="U112" s="162"/>
    </row>
    <row r="113" spans="1:21" ht="15.5">
      <c r="A113" s="97"/>
      <c r="B113" s="189"/>
      <c r="C113" s="119"/>
      <c r="D113" s="133"/>
      <c r="E113" s="96"/>
      <c r="F113" s="96"/>
      <c r="G113" s="96"/>
      <c r="H113" s="96"/>
      <c r="I113" s="96"/>
      <c r="J113" s="96"/>
      <c r="K113" s="96"/>
      <c r="L113" s="96"/>
      <c r="M113" s="96"/>
      <c r="N113" s="96"/>
      <c r="O113" s="96"/>
      <c r="P113" s="96"/>
      <c r="Q113" s="96"/>
      <c r="R113" s="96"/>
      <c r="S113" s="162"/>
      <c r="T113" s="120"/>
      <c r="U113" s="162"/>
    </row>
    <row r="114" spans="1:21" ht="16" thickBot="1">
      <c r="A114" s="100" t="s">
        <v>524</v>
      </c>
      <c r="B114" s="556"/>
      <c r="C114" s="556"/>
      <c r="D114" s="556"/>
      <c r="E114" s="556"/>
      <c r="G114" s="556"/>
      <c r="H114" s="556"/>
      <c r="I114" s="556"/>
      <c r="J114" s="556"/>
      <c r="K114" s="556"/>
      <c r="L114" s="556"/>
      <c r="M114" s="556"/>
      <c r="N114" s="556"/>
      <c r="O114" s="556"/>
      <c r="P114" s="556"/>
      <c r="Q114" s="556"/>
      <c r="R114" s="556"/>
      <c r="S114" s="556"/>
      <c r="T114" s="556"/>
      <c r="U114" s="556"/>
    </row>
    <row r="115" spans="1:21" ht="31.5" thickBot="1">
      <c r="A115" s="104" t="s">
        <v>448</v>
      </c>
      <c r="B115" s="105" t="s">
        <v>449</v>
      </c>
      <c r="C115" s="105"/>
      <c r="D115" s="105"/>
      <c r="E115" s="107" t="s">
        <v>450</v>
      </c>
      <c r="F115" s="1026" t="s">
        <v>451</v>
      </c>
      <c r="G115" s="106"/>
      <c r="H115" s="106"/>
      <c r="I115" s="106"/>
      <c r="J115" s="106"/>
      <c r="K115" s="106"/>
      <c r="L115" s="106"/>
      <c r="M115" s="106"/>
      <c r="N115" s="106"/>
      <c r="O115" s="106"/>
      <c r="P115" s="106"/>
      <c r="Q115" s="106"/>
      <c r="R115" s="106"/>
      <c r="S115" s="1026" t="s">
        <v>483</v>
      </c>
      <c r="T115" s="1026" t="s">
        <v>525</v>
      </c>
      <c r="U115" s="1027" t="s">
        <v>526</v>
      </c>
    </row>
    <row r="116" spans="1:21" s="556" customFormat="1" ht="15.5">
      <c r="A116" s="140"/>
      <c r="B116" s="92"/>
      <c r="C116" s="92"/>
      <c r="D116" s="92"/>
      <c r="E116" s="141"/>
      <c r="F116" s="141"/>
      <c r="G116" s="209"/>
      <c r="H116" s="209"/>
      <c r="I116" s="209"/>
      <c r="J116" s="209"/>
      <c r="K116" s="209"/>
      <c r="L116" s="209"/>
      <c r="M116" s="209"/>
      <c r="N116" s="209"/>
      <c r="O116" s="209"/>
      <c r="P116" s="209"/>
      <c r="Q116" s="209"/>
      <c r="R116" s="209"/>
      <c r="S116" s="1024"/>
      <c r="T116" s="1024"/>
      <c r="U116" s="1025"/>
    </row>
    <row r="117" spans="1:21" ht="15.5">
      <c r="A117" s="118">
        <f>+A110+1</f>
        <v>41</v>
      </c>
      <c r="B117" s="97"/>
      <c r="C117" s="119" t="s">
        <v>527</v>
      </c>
      <c r="D117" s="97"/>
      <c r="E117" s="119" t="s">
        <v>528</v>
      </c>
      <c r="F117" s="189">
        <v>408.10</v>
      </c>
      <c r="G117" s="135"/>
      <c r="H117" s="119"/>
      <c r="I117" s="119"/>
      <c r="J117" s="119"/>
      <c r="K117" s="119"/>
      <c r="L117" s="119"/>
      <c r="M117" s="119"/>
      <c r="N117" s="119"/>
      <c r="O117" s="91"/>
      <c r="P117" s="119"/>
      <c r="Q117" s="193"/>
      <c r="R117" s="26"/>
      <c r="S117" s="895">
        <v>12456028.020141896</v>
      </c>
      <c r="T117" s="1105">
        <f>+S117</f>
        <v>12456028.020141896</v>
      </c>
      <c r="U117" s="996">
        <f>S117-T117</f>
        <v>0</v>
      </c>
    </row>
    <row r="118" spans="1:21" s="556" customFormat="1" ht="15.5">
      <c r="A118" s="118">
        <f>+A117+1</f>
        <v>42</v>
      </c>
      <c r="B118" s="97"/>
      <c r="C118" s="119" t="s">
        <v>529</v>
      </c>
      <c r="D118" s="97"/>
      <c r="E118" s="119" t="s">
        <v>1002</v>
      </c>
      <c r="F118" s="189">
        <v>408.10</v>
      </c>
      <c r="G118" s="119"/>
      <c r="H118" s="119"/>
      <c r="I118" s="119"/>
      <c r="J118" s="119"/>
      <c r="K118" s="119"/>
      <c r="L118" s="119"/>
      <c r="M118" s="119"/>
      <c r="N118" s="119"/>
      <c r="O118" s="91"/>
      <c r="P118" s="119"/>
      <c r="Q118" s="193"/>
      <c r="R118" s="26"/>
      <c r="S118" s="895">
        <v>3239444</v>
      </c>
      <c r="T118" s="1095"/>
      <c r="U118" s="996"/>
    </row>
    <row r="119" spans="1:21" s="556" customFormat="1" ht="15.5">
      <c r="A119" s="118">
        <f>+A118+1</f>
        <v>43</v>
      </c>
      <c r="B119" s="97"/>
      <c r="C119" s="119" t="s">
        <v>408</v>
      </c>
      <c r="D119" s="97"/>
      <c r="E119" s="119" t="s">
        <v>1003</v>
      </c>
      <c r="F119" s="189">
        <v>408.10</v>
      </c>
      <c r="G119" s="119"/>
      <c r="H119" s="119"/>
      <c r="I119" s="119"/>
      <c r="J119" s="119"/>
      <c r="K119" s="119"/>
      <c r="L119" s="119"/>
      <c r="M119" s="119"/>
      <c r="N119" s="119"/>
      <c r="O119" s="91"/>
      <c r="P119" s="119"/>
      <c r="Q119" s="193"/>
      <c r="R119" s="26"/>
      <c r="S119" s="895">
        <v>0</v>
      </c>
      <c r="T119" s="997"/>
      <c r="U119" s="996"/>
    </row>
    <row r="120" spans="1:21" ht="16" thickBot="1">
      <c r="A120" s="183"/>
      <c r="B120" s="144"/>
      <c r="C120" s="144"/>
      <c r="D120" s="144"/>
      <c r="E120" s="144"/>
      <c r="F120" s="144"/>
      <c r="G120" s="144"/>
      <c r="H120" s="144"/>
      <c r="I120" s="144"/>
      <c r="J120" s="144"/>
      <c r="K120" s="144"/>
      <c r="L120" s="144"/>
      <c r="M120" s="144"/>
      <c r="N120" s="144"/>
      <c r="O120" s="144"/>
      <c r="P120" s="144"/>
      <c r="Q120" s="144"/>
      <c r="R120" s="144"/>
      <c r="S120" s="144"/>
      <c r="T120" s="144"/>
      <c r="U120" s="147"/>
    </row>
    <row r="121" ht="15.5"/>
    <row r="122" ht="15.5"/>
    <row r="123" spans="1:21" ht="16" thickBot="1">
      <c r="A123" s="194" t="s">
        <v>530</v>
      </c>
      <c r="B123" s="556"/>
      <c r="C123" s="556"/>
      <c r="D123" s="556"/>
      <c r="E123" s="556"/>
      <c r="G123" s="556"/>
      <c r="H123" s="556"/>
      <c r="I123" s="556"/>
      <c r="J123" s="556"/>
      <c r="K123" s="556"/>
      <c r="L123" s="556"/>
      <c r="M123" s="556"/>
      <c r="N123" s="556"/>
      <c r="O123" s="556"/>
      <c r="P123" s="556"/>
      <c r="Q123" s="556"/>
      <c r="R123" s="556"/>
      <c r="S123" s="556"/>
      <c r="T123" s="556"/>
      <c r="U123" s="556"/>
    </row>
    <row r="124" spans="1:21" ht="31.5" thickBot="1">
      <c r="A124" s="104" t="s">
        <v>448</v>
      </c>
      <c r="B124" s="105" t="s">
        <v>449</v>
      </c>
      <c r="C124" s="105"/>
      <c r="D124" s="105"/>
      <c r="E124" s="107" t="s">
        <v>450</v>
      </c>
      <c r="F124" s="1026" t="s">
        <v>451</v>
      </c>
      <c r="G124" s="138"/>
      <c r="H124" s="138"/>
      <c r="I124" s="138"/>
      <c r="J124" s="106"/>
      <c r="K124" s="106"/>
      <c r="L124" s="106"/>
      <c r="M124" s="106"/>
      <c r="N124" s="106"/>
      <c r="O124" s="106"/>
      <c r="P124" s="106"/>
      <c r="Q124" s="106"/>
      <c r="R124" s="1026" t="s">
        <v>531</v>
      </c>
      <c r="S124" s="149" t="s">
        <v>483</v>
      </c>
      <c r="T124" s="1026" t="s">
        <v>464</v>
      </c>
      <c r="U124" s="1027"/>
    </row>
    <row r="125" spans="1:21" ht="15.5">
      <c r="A125" s="210"/>
      <c r="B125" s="151"/>
      <c r="C125" s="111"/>
      <c r="D125" s="111"/>
      <c r="E125" s="154"/>
      <c r="F125" s="154"/>
      <c r="G125" s="111"/>
      <c r="H125" s="111"/>
      <c r="I125" s="111"/>
      <c r="J125" s="163"/>
      <c r="K125" s="211"/>
      <c r="L125" s="111"/>
      <c r="M125" s="211"/>
      <c r="N125" s="211"/>
      <c r="O125" s="211"/>
      <c r="P125" s="212"/>
      <c r="Q125" s="212"/>
      <c r="R125" s="153"/>
      <c r="S125" s="153"/>
      <c r="T125" s="111"/>
      <c r="U125" s="113"/>
    </row>
    <row r="126" spans="1:21" s="556" customFormat="1" ht="15.5">
      <c r="A126" s="114">
        <f>+A119+1</f>
        <v>44</v>
      </c>
      <c r="B126" s="125"/>
      <c r="C126" s="91" t="s">
        <v>532</v>
      </c>
      <c r="D126" s="89"/>
      <c r="E126" s="119" t="s">
        <v>533</v>
      </c>
      <c r="F126" s="189">
        <v>427</v>
      </c>
      <c r="G126" s="135"/>
      <c r="H126" s="91"/>
      <c r="I126" s="91"/>
      <c r="J126" s="162"/>
      <c r="K126" s="584"/>
      <c r="L126" s="91"/>
      <c r="M126" s="584"/>
      <c r="N126" s="584"/>
      <c r="O126" s="584"/>
      <c r="P126" s="579"/>
      <c r="Q126" s="579"/>
      <c r="R126" s="1096"/>
      <c r="S126" s="267">
        <v>20898129</v>
      </c>
      <c r="T126" s="1097"/>
      <c r="U126" s="122"/>
    </row>
    <row r="127" spans="1:21" s="556" customFormat="1" ht="15.5">
      <c r="A127" s="114">
        <f t="shared" si="7" ref="A127:A134">+A126+1</f>
        <v>45</v>
      </c>
      <c r="B127" s="125"/>
      <c r="C127" s="91" t="s">
        <v>534</v>
      </c>
      <c r="D127" s="91"/>
      <c r="E127" s="119" t="s">
        <v>535</v>
      </c>
      <c r="F127" s="189">
        <v>428</v>
      </c>
      <c r="G127" s="91"/>
      <c r="H127" s="91"/>
      <c r="I127" s="91"/>
      <c r="J127" s="162"/>
      <c r="K127" s="584"/>
      <c r="L127" s="91"/>
      <c r="M127" s="584"/>
      <c r="N127" s="584"/>
      <c r="O127" s="584"/>
      <c r="P127" s="579"/>
      <c r="Q127" s="579"/>
      <c r="R127" s="1096"/>
      <c r="S127" s="267">
        <f>307101+610000</f>
        <v>917101</v>
      </c>
      <c r="T127" s="1097"/>
      <c r="U127" s="122"/>
    </row>
    <row r="128" spans="1:21" s="556" customFormat="1" ht="15.5">
      <c r="A128" s="114">
        <f>+A127+1</f>
        <v>46</v>
      </c>
      <c r="B128" s="125"/>
      <c r="C128" s="91" t="s">
        <v>536</v>
      </c>
      <c r="D128" s="91"/>
      <c r="E128" s="119" t="s">
        <v>537</v>
      </c>
      <c r="F128" s="189">
        <v>428.10</v>
      </c>
      <c r="G128" s="91"/>
      <c r="H128" s="91"/>
      <c r="I128" s="91"/>
      <c r="J128" s="162"/>
      <c r="K128" s="584"/>
      <c r="L128" s="91"/>
      <c r="M128" s="584"/>
      <c r="N128" s="584"/>
      <c r="O128" s="584"/>
      <c r="P128" s="579"/>
      <c r="Q128" s="579"/>
      <c r="R128" s="1096"/>
      <c r="S128" s="267">
        <v>987079</v>
      </c>
      <c r="T128" s="1097"/>
      <c r="U128" s="122"/>
    </row>
    <row r="129" spans="1:21" s="556" customFormat="1" ht="15.5">
      <c r="A129" s="114">
        <f>+A128+1</f>
        <v>47</v>
      </c>
      <c r="B129" s="125"/>
      <c r="C129" s="91" t="s">
        <v>538</v>
      </c>
      <c r="D129" s="91"/>
      <c r="E129" s="119" t="s">
        <v>539</v>
      </c>
      <c r="F129" s="189">
        <v>429</v>
      </c>
      <c r="G129" s="91"/>
      <c r="H129" s="91"/>
      <c r="I129" s="91"/>
      <c r="J129" s="162"/>
      <c r="K129" s="584"/>
      <c r="L129" s="91"/>
      <c r="M129" s="584"/>
      <c r="N129" s="584"/>
      <c r="O129" s="584"/>
      <c r="P129" s="579"/>
      <c r="Q129" s="579"/>
      <c r="R129" s="1096"/>
      <c r="S129" s="267">
        <v>0</v>
      </c>
      <c r="T129" s="1097"/>
      <c r="U129" s="122"/>
    </row>
    <row r="130" spans="1:21" s="556" customFormat="1" ht="15.5">
      <c r="A130" s="114">
        <f>+A129+1</f>
        <v>48</v>
      </c>
      <c r="B130" s="125"/>
      <c r="C130" s="91" t="s">
        <v>540</v>
      </c>
      <c r="D130" s="91"/>
      <c r="E130" s="119" t="s">
        <v>541</v>
      </c>
      <c r="F130" s="189">
        <v>429.10</v>
      </c>
      <c r="G130" s="91"/>
      <c r="H130" s="91"/>
      <c r="I130" s="91"/>
      <c r="J130" s="162"/>
      <c r="K130" s="584"/>
      <c r="L130" s="91"/>
      <c r="M130" s="584"/>
      <c r="N130" s="584"/>
      <c r="O130" s="584"/>
      <c r="P130" s="579"/>
      <c r="Q130" s="579"/>
      <c r="R130" s="1096"/>
      <c r="S130" s="267">
        <v>0</v>
      </c>
      <c r="T130" s="1097"/>
      <c r="U130" s="122"/>
    </row>
    <row r="131" spans="1:21" s="556" customFormat="1" ht="15.5">
      <c r="A131" s="114">
        <f>+A130+1</f>
        <v>49</v>
      </c>
      <c r="B131" s="125"/>
      <c r="C131" s="91" t="s">
        <v>542</v>
      </c>
      <c r="D131" s="91"/>
      <c r="E131" s="119" t="s">
        <v>543</v>
      </c>
      <c r="F131" s="189">
        <v>430</v>
      </c>
      <c r="G131" s="91"/>
      <c r="H131" s="91"/>
      <c r="I131" s="91"/>
      <c r="J131" s="162"/>
      <c r="K131" s="584"/>
      <c r="L131" s="91"/>
      <c r="M131" s="584"/>
      <c r="N131" s="584"/>
      <c r="O131" s="584"/>
      <c r="P131" s="579"/>
      <c r="Q131" s="579"/>
      <c r="R131" s="1096"/>
      <c r="S131" s="267">
        <v>0</v>
      </c>
      <c r="T131" s="1097"/>
      <c r="U131" s="122"/>
    </row>
    <row r="132" spans="1:21" s="556" customFormat="1" ht="15.5">
      <c r="A132" s="114">
        <f>+A131+1</f>
        <v>50</v>
      </c>
      <c r="B132" s="125"/>
      <c r="C132" s="91" t="s">
        <v>544</v>
      </c>
      <c r="D132" s="91"/>
      <c r="E132" s="119"/>
      <c r="F132" s="189"/>
      <c r="G132" s="91"/>
      <c r="H132" s="91"/>
      <c r="I132" s="91"/>
      <c r="J132" s="162"/>
      <c r="K132" s="584"/>
      <c r="L132" s="91"/>
      <c r="M132" s="584"/>
      <c r="N132" s="584"/>
      <c r="O132" s="584"/>
      <c r="P132" s="579"/>
      <c r="Q132" s="579"/>
      <c r="R132" s="1096"/>
      <c r="S132" s="1106">
        <f>+SUM(S126:S131)</f>
        <v>22802309</v>
      </c>
      <c r="T132" s="1097"/>
      <c r="U132" s="122"/>
    </row>
    <row r="133" spans="1:21" s="556" customFormat="1" ht="15.5">
      <c r="A133" s="114">
        <f>+A132+1</f>
        <v>51</v>
      </c>
      <c r="B133" s="125"/>
      <c r="C133" s="91" t="s">
        <v>102</v>
      </c>
      <c r="D133" s="91"/>
      <c r="E133" s="585" t="s">
        <v>545</v>
      </c>
      <c r="F133" s="768" t="s">
        <v>546</v>
      </c>
      <c r="G133" s="91"/>
      <c r="H133" s="91"/>
      <c r="I133" s="91"/>
      <c r="J133" s="162"/>
      <c r="K133" s="584"/>
      <c r="L133" s="91"/>
      <c r="M133" s="584"/>
      <c r="N133" s="584"/>
      <c r="O133" s="584"/>
      <c r="P133" s="579"/>
      <c r="Q133" s="579"/>
      <c r="R133" s="1096"/>
      <c r="S133" s="1094">
        <v>0</v>
      </c>
      <c r="T133" s="1097"/>
      <c r="U133" s="122"/>
    </row>
    <row r="134" spans="1:21" s="89" customFormat="1" ht="15.5">
      <c r="A134" s="118">
        <f>+A133+1</f>
        <v>52</v>
      </c>
      <c r="B134" s="97"/>
      <c r="C134" s="117" t="s">
        <v>105</v>
      </c>
      <c r="D134" s="93"/>
      <c r="E134" s="121" t="s">
        <v>547</v>
      </c>
      <c r="F134" s="762" t="s">
        <v>548</v>
      </c>
      <c r="G134" s="93"/>
      <c r="H134" s="93"/>
      <c r="I134" s="93"/>
      <c r="J134" s="93"/>
      <c r="K134" s="164"/>
      <c r="L134" s="119"/>
      <c r="M134" s="51"/>
      <c r="N134" s="51"/>
      <c r="O134" s="51"/>
      <c r="P134" s="93"/>
      <c r="Q134" s="51"/>
      <c r="R134" s="895">
        <v>-473303181</v>
      </c>
      <c r="S134" s="895">
        <v>-527982015</v>
      </c>
      <c r="T134" s="579">
        <f>+(S134+R134)/2</f>
        <v>-500642598</v>
      </c>
      <c r="U134" s="159"/>
    </row>
    <row r="135" spans="1:21" s="89" customFormat="1" ht="15.5">
      <c r="A135" s="118">
        <f t="shared" si="8" ref="A135:A143">+A134+1</f>
        <v>53</v>
      </c>
      <c r="B135" s="97"/>
      <c r="C135" s="117" t="s">
        <v>549</v>
      </c>
      <c r="D135" s="93"/>
      <c r="E135" s="121" t="s">
        <v>550</v>
      </c>
      <c r="F135" s="762">
        <v>219</v>
      </c>
      <c r="G135" s="93"/>
      <c r="H135" s="93"/>
      <c r="I135" s="93"/>
      <c r="J135" s="93"/>
      <c r="K135" s="55"/>
      <c r="L135" s="51"/>
      <c r="M135" s="195"/>
      <c r="N135" s="195"/>
      <c r="O135" s="195"/>
      <c r="P135" s="195"/>
      <c r="Q135" s="26"/>
      <c r="R135" s="895">
        <v>36940167</v>
      </c>
      <c r="S135" s="895">
        <v>36940167</v>
      </c>
      <c r="T135" s="579">
        <f>+(S135+R135)/2</f>
        <v>36940167</v>
      </c>
      <c r="U135" s="159"/>
    </row>
    <row r="136" spans="1:21" ht="15.5">
      <c r="A136" s="118">
        <f>+A135+1</f>
        <v>54</v>
      </c>
      <c r="B136" s="97"/>
      <c r="C136" s="117" t="s">
        <v>551</v>
      </c>
      <c r="D136" s="93"/>
      <c r="E136" s="121" t="s">
        <v>988</v>
      </c>
      <c r="F136" s="189">
        <v>216.10</v>
      </c>
      <c r="G136" s="91"/>
      <c r="H136" s="91"/>
      <c r="I136" s="91"/>
      <c r="J136" s="91"/>
      <c r="K136" s="160"/>
      <c r="L136" s="51"/>
      <c r="M136" s="91"/>
      <c r="N136" s="91"/>
      <c r="O136" s="91"/>
      <c r="P136" s="91"/>
      <c r="Q136" s="91"/>
      <c r="R136" s="895">
        <v>0</v>
      </c>
      <c r="S136" s="895">
        <v>0</v>
      </c>
      <c r="T136" s="579">
        <f>+(R136+S136)/2</f>
        <v>0</v>
      </c>
      <c r="U136" s="122"/>
    </row>
    <row r="137" spans="1:21" ht="15.5">
      <c r="A137" s="118">
        <f>+A136+1</f>
        <v>55</v>
      </c>
      <c r="B137" s="97"/>
      <c r="C137" s="117" t="s">
        <v>109</v>
      </c>
      <c r="D137" s="93"/>
      <c r="E137" s="121" t="s">
        <v>1015</v>
      </c>
      <c r="F137" s="762" t="s">
        <v>552</v>
      </c>
      <c r="G137" s="91"/>
      <c r="H137" s="91"/>
      <c r="I137" s="91"/>
      <c r="J137" s="91"/>
      <c r="K137" s="91"/>
      <c r="L137" s="91"/>
      <c r="M137" s="91"/>
      <c r="N137" s="91"/>
      <c r="O137" s="91"/>
      <c r="P137" s="91"/>
      <c r="Q137" s="91"/>
      <c r="R137" s="895">
        <v>-582516980</v>
      </c>
      <c r="S137" s="895">
        <v>-582354564</v>
      </c>
      <c r="T137" s="579">
        <f>+(R137+S137)/2</f>
        <v>-582435772</v>
      </c>
      <c r="U137" s="122"/>
    </row>
    <row r="138" spans="1:21" s="556" customFormat="1" ht="15.5">
      <c r="A138" s="118">
        <f>+A137+1</f>
        <v>56</v>
      </c>
      <c r="B138" s="97"/>
      <c r="C138" s="117" t="s">
        <v>849</v>
      </c>
      <c r="D138" s="93"/>
      <c r="E138" s="121" t="s">
        <v>850</v>
      </c>
      <c r="F138" s="762">
        <v>181</v>
      </c>
      <c r="G138" s="91"/>
      <c r="H138" s="91"/>
      <c r="I138" s="91"/>
      <c r="J138" s="91"/>
      <c r="K138" s="91"/>
      <c r="L138" s="91"/>
      <c r="M138" s="91"/>
      <c r="N138" s="91"/>
      <c r="O138" s="91"/>
      <c r="P138" s="91"/>
      <c r="Q138" s="91"/>
      <c r="R138" s="895">
        <v>5101427</v>
      </c>
      <c r="S138" s="895">
        <v>5891427</v>
      </c>
      <c r="T138" s="579">
        <f>+(R138+S138)/2</f>
        <v>5496427</v>
      </c>
      <c r="U138" s="122"/>
    </row>
    <row r="139" spans="1:21" ht="15.5">
      <c r="A139" s="118">
        <f>+A138+1</f>
        <v>57</v>
      </c>
      <c r="B139" s="97"/>
      <c r="C139" s="117" t="s">
        <v>553</v>
      </c>
      <c r="D139" s="93"/>
      <c r="E139" s="121" t="s">
        <v>554</v>
      </c>
      <c r="F139" s="762">
        <v>189</v>
      </c>
      <c r="G139" s="91"/>
      <c r="H139" s="91"/>
      <c r="I139" s="91"/>
      <c r="J139" s="91"/>
      <c r="K139" s="91"/>
      <c r="L139" s="91"/>
      <c r="M139" s="91"/>
      <c r="N139" s="91"/>
      <c r="O139" s="91"/>
      <c r="P139" s="91"/>
      <c r="Q139" s="91"/>
      <c r="R139" s="895">
        <f>9955161</f>
        <v>9955161</v>
      </c>
      <c r="S139" s="895">
        <f>8968081</f>
        <v>8968081</v>
      </c>
      <c r="T139" s="579">
        <f>+(S139+R139)/2</f>
        <v>9461621</v>
      </c>
      <c r="U139" s="122"/>
    </row>
    <row r="140" spans="1:21" s="556" customFormat="1" ht="15.5">
      <c r="A140" s="118">
        <f>+A139+1</f>
        <v>58</v>
      </c>
      <c r="B140" s="97"/>
      <c r="C140" s="117" t="s">
        <v>555</v>
      </c>
      <c r="D140" s="93"/>
      <c r="E140" s="121" t="s">
        <v>556</v>
      </c>
      <c r="F140" s="762">
        <v>225</v>
      </c>
      <c r="G140" s="91"/>
      <c r="H140" s="91"/>
      <c r="I140" s="91"/>
      <c r="J140" s="91"/>
      <c r="K140" s="91"/>
      <c r="L140" s="91"/>
      <c r="M140" s="91"/>
      <c r="N140" s="91"/>
      <c r="O140" s="91"/>
      <c r="P140" s="91"/>
      <c r="Q140" s="91"/>
      <c r="R140" s="895">
        <v>2687948</v>
      </c>
      <c r="S140" s="895">
        <v>2380847</v>
      </c>
      <c r="T140" s="579">
        <f t="shared" si="9" ref="T140:T141">+(S140+R140)/2</f>
        <v>2534397.50</v>
      </c>
      <c r="U140" s="122"/>
    </row>
    <row r="141" spans="1:21" s="556" customFormat="1" ht="15.5">
      <c r="A141" s="118">
        <f>+A140+1</f>
        <v>59</v>
      </c>
      <c r="B141" s="97"/>
      <c r="C141" s="117" t="s">
        <v>557</v>
      </c>
      <c r="D141" s="93"/>
      <c r="E141" s="121" t="s">
        <v>558</v>
      </c>
      <c r="F141" s="762">
        <v>226</v>
      </c>
      <c r="G141" s="91"/>
      <c r="H141" s="91"/>
      <c r="I141" s="91"/>
      <c r="J141" s="91"/>
      <c r="K141" s="91"/>
      <c r="L141" s="91"/>
      <c r="M141" s="91"/>
      <c r="N141" s="91"/>
      <c r="O141" s="91"/>
      <c r="P141" s="91"/>
      <c r="Q141" s="91"/>
      <c r="R141" s="895">
        <v>0</v>
      </c>
      <c r="S141" s="895">
        <v>0</v>
      </c>
      <c r="T141" s="579">
        <f>+(S141+R141)/2</f>
        <v>0</v>
      </c>
      <c r="U141" s="122"/>
    </row>
    <row r="142" spans="1:21" ht="15.5">
      <c r="A142" s="118">
        <f>+A141+1</f>
        <v>60</v>
      </c>
      <c r="B142" s="97"/>
      <c r="C142" s="117" t="s">
        <v>559</v>
      </c>
      <c r="D142" s="93"/>
      <c r="E142" s="121" t="s">
        <v>560</v>
      </c>
      <c r="F142" s="762">
        <v>257</v>
      </c>
      <c r="G142" s="91"/>
      <c r="H142" s="91"/>
      <c r="I142" s="91"/>
      <c r="J142" s="91"/>
      <c r="K142" s="91"/>
      <c r="L142" s="91"/>
      <c r="M142" s="91"/>
      <c r="N142" s="91"/>
      <c r="O142" s="91"/>
      <c r="P142" s="91"/>
      <c r="Q142" s="91"/>
      <c r="R142" s="1094">
        <v>0</v>
      </c>
      <c r="S142" s="1094">
        <v>0</v>
      </c>
      <c r="T142" s="579">
        <f>+(R142+S142)/2</f>
        <v>0</v>
      </c>
      <c r="U142" s="122"/>
    </row>
    <row r="143" spans="1:21" ht="15.5">
      <c r="A143" s="118">
        <f>+A142+1</f>
        <v>61</v>
      </c>
      <c r="B143" s="97"/>
      <c r="C143" s="117" t="s">
        <v>848</v>
      </c>
      <c r="D143" s="93"/>
      <c r="E143" s="702" t="s">
        <v>561</v>
      </c>
      <c r="F143" s="762" t="s">
        <v>562</v>
      </c>
      <c r="G143" s="91"/>
      <c r="H143" s="91"/>
      <c r="I143" s="91"/>
      <c r="J143" s="91"/>
      <c r="K143" s="91"/>
      <c r="L143" s="91"/>
      <c r="M143" s="91"/>
      <c r="N143" s="91"/>
      <c r="O143" s="91"/>
      <c r="P143" s="91"/>
      <c r="Q143" s="91"/>
      <c r="R143" s="579">
        <f>+'1C - ADIT Prior Year'!F78</f>
        <v>-2442970</v>
      </c>
      <c r="S143" s="579">
        <f>+'1A - ADIT'!F83</f>
        <v>-2045670</v>
      </c>
      <c r="T143" s="579">
        <f>+(R143+S143)/2</f>
        <v>-2244320</v>
      </c>
      <c r="U143" s="122"/>
    </row>
    <row r="144" spans="1:21" s="556" customFormat="1" ht="15.5">
      <c r="A144" s="118">
        <f>+A143+1</f>
        <v>62</v>
      </c>
      <c r="B144" s="97"/>
      <c r="C144" s="117" t="s">
        <v>563</v>
      </c>
      <c r="D144" s="93"/>
      <c r="E144" s="702" t="s">
        <v>1001</v>
      </c>
      <c r="F144" s="762">
        <v>176</v>
      </c>
      <c r="G144" s="91"/>
      <c r="H144" s="91"/>
      <c r="I144" s="91"/>
      <c r="J144" s="91"/>
      <c r="K144" s="91"/>
      <c r="L144" s="91"/>
      <c r="M144" s="91"/>
      <c r="N144" s="91"/>
      <c r="O144" s="91"/>
      <c r="P144" s="91"/>
      <c r="Q144" s="91"/>
      <c r="R144" s="1094">
        <v>0</v>
      </c>
      <c r="S144" s="1094">
        <v>0</v>
      </c>
      <c r="T144" s="579">
        <f t="shared" si="10" ref="T144:T145">+(R144+S144)/2</f>
        <v>0</v>
      </c>
      <c r="U144" s="122"/>
    </row>
    <row r="145" spans="1:21" s="556" customFormat="1" ht="15.5">
      <c r="A145" s="118">
        <f>+A144+1</f>
        <v>63</v>
      </c>
      <c r="B145" s="97"/>
      <c r="C145" s="117" t="s">
        <v>564</v>
      </c>
      <c r="D145" s="93"/>
      <c r="E145" s="702" t="s">
        <v>1000</v>
      </c>
      <c r="F145" s="762">
        <v>245</v>
      </c>
      <c r="G145" s="91"/>
      <c r="H145" s="91"/>
      <c r="I145" s="91"/>
      <c r="J145" s="91"/>
      <c r="K145" s="91"/>
      <c r="L145" s="91"/>
      <c r="M145" s="91"/>
      <c r="N145" s="91"/>
      <c r="O145" s="91"/>
      <c r="P145" s="91"/>
      <c r="Q145" s="91"/>
      <c r="R145" s="1094">
        <v>0</v>
      </c>
      <c r="S145" s="1094">
        <v>0</v>
      </c>
      <c r="T145" s="579">
        <f>+(R145+S145)/2</f>
        <v>0</v>
      </c>
      <c r="U145" s="122"/>
    </row>
    <row r="146" spans="1:21" ht="16" thickBot="1">
      <c r="A146" s="118">
        <f>+A145+1</f>
        <v>64</v>
      </c>
      <c r="B146" s="148"/>
      <c r="C146" s="196" t="s">
        <v>115</v>
      </c>
      <c r="D146" s="129"/>
      <c r="E146" s="197" t="s">
        <v>565</v>
      </c>
      <c r="F146" s="769">
        <v>204</v>
      </c>
      <c r="G146" s="144"/>
      <c r="H146" s="144"/>
      <c r="I146" s="144"/>
      <c r="J146" s="144"/>
      <c r="K146" s="144"/>
      <c r="L146" s="144"/>
      <c r="M146" s="144"/>
      <c r="N146" s="144"/>
      <c r="O146" s="144"/>
      <c r="P146" s="144"/>
      <c r="Q146" s="144"/>
      <c r="R146" s="1098">
        <v>0</v>
      </c>
      <c r="S146" s="1098">
        <v>0</v>
      </c>
      <c r="T146" s="1107">
        <v>0</v>
      </c>
      <c r="U146" s="147"/>
    </row>
    <row r="147" spans="1:21" ht="15.5">
      <c r="A147" s="556"/>
      <c r="B147" s="556"/>
      <c r="C147" s="556"/>
      <c r="D147" s="556"/>
      <c r="E147" s="556"/>
      <c r="G147" s="556"/>
      <c r="H147" s="556"/>
      <c r="I147" s="556"/>
      <c r="J147" s="556"/>
      <c r="K147" s="556"/>
      <c r="L147" s="556"/>
      <c r="M147" s="556"/>
      <c r="N147" s="556"/>
      <c r="O147" s="556"/>
      <c r="P147" s="556"/>
      <c r="Q147" s="556"/>
      <c r="R147" s="556"/>
      <c r="S147" s="89"/>
      <c r="T147" s="89"/>
      <c r="U147" s="89"/>
    </row>
    <row r="148" spans="1:21" ht="15.5">
      <c r="A148" s="115"/>
      <c r="B148" s="556"/>
      <c r="C148" s="556"/>
      <c r="D148" s="556"/>
      <c r="E148" s="556"/>
      <c r="G148" s="556"/>
      <c r="H148" s="556"/>
      <c r="I148" s="556"/>
      <c r="J148" s="556"/>
      <c r="K148" s="556"/>
      <c r="L148" s="556"/>
      <c r="M148" s="556"/>
      <c r="N148" s="556"/>
      <c r="O148" s="556"/>
      <c r="P148" s="556"/>
      <c r="Q148" s="556"/>
      <c r="R148" s="556"/>
      <c r="S148" s="89"/>
      <c r="T148" s="89"/>
      <c r="U148" s="89"/>
    </row>
    <row r="149" spans="1:21" ht="16" thickBot="1">
      <c r="A149" s="100" t="s">
        <v>566</v>
      </c>
      <c r="B149" s="556"/>
      <c r="C149" s="556"/>
      <c r="D149" s="556"/>
      <c r="E149" s="556"/>
      <c r="G149" s="556"/>
      <c r="H149" s="556"/>
      <c r="I149" s="556"/>
      <c r="J149" s="556"/>
      <c r="K149" s="556"/>
      <c r="L149" s="556"/>
      <c r="M149" s="556"/>
      <c r="N149" s="556"/>
      <c r="O149" s="556"/>
      <c r="P149" s="556"/>
      <c r="Q149" s="556"/>
      <c r="R149" s="556"/>
      <c r="S149" s="556"/>
      <c r="T149" s="556"/>
      <c r="U149" s="556"/>
    </row>
    <row r="150" spans="1:21" ht="31.5" thickBot="1">
      <c r="A150" s="104" t="s">
        <v>448</v>
      </c>
      <c r="B150" s="105" t="s">
        <v>449</v>
      </c>
      <c r="C150" s="105"/>
      <c r="D150" s="105"/>
      <c r="E150" s="107" t="s">
        <v>450</v>
      </c>
      <c r="F150" s="1026" t="s">
        <v>451</v>
      </c>
      <c r="G150" s="106"/>
      <c r="H150" s="106"/>
      <c r="I150" s="106"/>
      <c r="J150" s="106"/>
      <c r="K150" s="106"/>
      <c r="L150" s="106"/>
      <c r="M150" s="106"/>
      <c r="N150" s="106"/>
      <c r="O150" s="106"/>
      <c r="P150" s="106"/>
      <c r="Q150" s="106"/>
      <c r="R150" s="106"/>
      <c r="S150" s="1026" t="s">
        <v>567</v>
      </c>
      <c r="T150" s="1026" t="s">
        <v>568</v>
      </c>
      <c r="U150" s="1027" t="s">
        <v>569</v>
      </c>
    </row>
    <row r="151" spans="1:21" ht="15.5">
      <c r="A151" s="188" t="s">
        <v>132</v>
      </c>
      <c r="B151" s="198" t="s">
        <v>133</v>
      </c>
      <c r="C151" s="102"/>
      <c r="D151" s="102"/>
      <c r="E151" s="199"/>
      <c r="F151" s="199"/>
      <c r="G151" s="91"/>
      <c r="H151" s="91"/>
      <c r="I151" s="91"/>
      <c r="J151" s="91"/>
      <c r="K151" s="91"/>
      <c r="L151" s="91"/>
      <c r="M151" s="91"/>
      <c r="N151" s="91"/>
      <c r="O151" s="91"/>
      <c r="P151" s="91"/>
      <c r="Q151" s="91"/>
      <c r="R151" s="91"/>
      <c r="S151" s="91"/>
      <c r="T151" s="91"/>
      <c r="U151" s="122"/>
    </row>
    <row r="152" spans="1:21" ht="15.5">
      <c r="A152" s="188"/>
      <c r="B152" s="198"/>
      <c r="C152" s="102"/>
      <c r="D152" s="102"/>
      <c r="E152" s="199"/>
      <c r="F152" s="199"/>
      <c r="G152" s="162"/>
      <c r="H152" s="199"/>
      <c r="I152" s="199"/>
      <c r="J152" s="199"/>
      <c r="K152" s="199"/>
      <c r="L152" s="199"/>
      <c r="M152" s="199"/>
      <c r="N152" s="199"/>
      <c r="O152" s="199"/>
      <c r="P152" s="199"/>
      <c r="Q152" s="199"/>
      <c r="R152" s="199"/>
      <c r="S152" s="103" t="s">
        <v>570</v>
      </c>
      <c r="T152" s="103"/>
      <c r="U152" s="181"/>
    </row>
    <row r="153" spans="1:21" ht="15.5">
      <c r="A153" s="188">
        <f>+A146+1</f>
        <v>65</v>
      </c>
      <c r="B153" s="101"/>
      <c r="C153" s="134" t="str">
        <f>+'Appendix A'!C211</f>
        <v>SIT=State Income Tax Rate or Composite</v>
      </c>
      <c r="D153" s="200"/>
      <c r="E153" s="134"/>
      <c r="F153" s="134"/>
      <c r="G153" s="134"/>
      <c r="H153" s="134"/>
      <c r="I153" s="134"/>
      <c r="J153" s="134"/>
      <c r="K153" s="134"/>
      <c r="L153" s="134"/>
      <c r="M153" s="134"/>
      <c r="N153" s="134"/>
      <c r="O153" s="134"/>
      <c r="P153" s="134"/>
      <c r="Q153" s="134"/>
      <c r="R153" s="134"/>
      <c r="S153" s="1011">
        <v>0</v>
      </c>
      <c r="T153" s="201"/>
      <c r="U153" s="202"/>
    </row>
    <row r="154" spans="1:21" ht="16" thickBot="1">
      <c r="A154" s="705">
        <f>+A153+1</f>
        <v>66</v>
      </c>
      <c r="B154" s="144"/>
      <c r="C154" s="144" t="s">
        <v>571</v>
      </c>
      <c r="D154" s="144"/>
      <c r="E154" s="144"/>
      <c r="F154" s="144"/>
      <c r="G154" s="144"/>
      <c r="H154" s="144"/>
      <c r="I154" s="144"/>
      <c r="J154" s="144"/>
      <c r="K154" s="144"/>
      <c r="L154" s="144"/>
      <c r="M154" s="144"/>
      <c r="N154" s="144"/>
      <c r="O154" s="144"/>
      <c r="P154" s="144"/>
      <c r="Q154" s="144"/>
      <c r="R154" s="144"/>
      <c r="S154" s="1012">
        <v>0.016899999999999998</v>
      </c>
      <c r="T154" s="144"/>
      <c r="U154" s="147"/>
    </row>
    <row r="155" ht="15.5"/>
    <row r="156" ht="15.5"/>
    <row r="157" spans="1:1" s="89" customFormat="1" ht="16" thickBot="1">
      <c r="A157" s="100" t="s">
        <v>572</v>
      </c>
    </row>
    <row r="158" spans="1:21" s="89" customFormat="1" ht="31.5" thickBot="1">
      <c r="A158" s="104" t="s">
        <v>448</v>
      </c>
      <c r="B158" s="105" t="s">
        <v>449</v>
      </c>
      <c r="C158" s="105"/>
      <c r="D158" s="105"/>
      <c r="E158" s="107" t="s">
        <v>450</v>
      </c>
      <c r="F158" s="1026" t="s">
        <v>451</v>
      </c>
      <c r="G158" s="138"/>
      <c r="H158" s="106"/>
      <c r="I158" s="106"/>
      <c r="J158" s="106"/>
      <c r="K158" s="106"/>
      <c r="L158" s="106"/>
      <c r="M158" s="106"/>
      <c r="N158" s="106"/>
      <c r="O158" s="106"/>
      <c r="P158" s="106"/>
      <c r="Q158" s="106"/>
      <c r="R158" s="106"/>
      <c r="S158" s="149" t="s">
        <v>483</v>
      </c>
      <c r="T158" s="1173"/>
      <c r="U158" s="1174"/>
    </row>
    <row r="159" spans="1:21" s="89" customFormat="1" ht="15.5">
      <c r="A159" s="118"/>
      <c r="B159" s="125"/>
      <c r="C159" s="97"/>
      <c r="D159" s="97"/>
      <c r="E159" s="97"/>
      <c r="F159" s="97"/>
      <c r="G159" s="93"/>
      <c r="H159" s="97"/>
      <c r="I159" s="97"/>
      <c r="J159" s="97"/>
      <c r="K159" s="97"/>
      <c r="L159" s="97"/>
      <c r="M159" s="97"/>
      <c r="N159" s="97"/>
      <c r="O159" s="97"/>
      <c r="P159" s="97"/>
      <c r="Q159" s="97"/>
      <c r="R159" s="97"/>
      <c r="S159" s="97"/>
      <c r="T159" s="93"/>
      <c r="U159" s="142"/>
    </row>
    <row r="160" spans="1:21" s="89" customFormat="1" ht="15.5">
      <c r="A160" s="118">
        <f>+A154+1</f>
        <v>67</v>
      </c>
      <c r="B160" s="97"/>
      <c r="C160" s="119" t="s">
        <v>573</v>
      </c>
      <c r="D160" s="97"/>
      <c r="E160" s="119" t="s">
        <v>574</v>
      </c>
      <c r="F160" s="189">
        <v>411.40</v>
      </c>
      <c r="G160" s="135"/>
      <c r="H160" s="119"/>
      <c r="I160" s="119"/>
      <c r="J160" s="119"/>
      <c r="K160" s="119"/>
      <c r="L160" s="119"/>
      <c r="M160" s="119"/>
      <c r="N160" s="119"/>
      <c r="O160" s="119"/>
      <c r="P160" s="119"/>
      <c r="Q160" s="119"/>
      <c r="R160" s="119"/>
      <c r="S160" s="895">
        <v>-102595</v>
      </c>
      <c r="T160" s="1171"/>
      <c r="U160" s="1172"/>
    </row>
    <row r="161" spans="1:21" s="89" customFormat="1" ht="15.5">
      <c r="A161" s="118">
        <f>+A160+1</f>
        <v>68</v>
      </c>
      <c r="B161" s="97"/>
      <c r="C161" s="119" t="s">
        <v>575</v>
      </c>
      <c r="D161" s="97"/>
      <c r="E161" s="119" t="s">
        <v>574</v>
      </c>
      <c r="F161" s="189">
        <v>411.40</v>
      </c>
      <c r="G161" s="135"/>
      <c r="H161" s="119"/>
      <c r="I161" s="119"/>
      <c r="J161" s="119"/>
      <c r="K161" s="119"/>
      <c r="L161" s="119"/>
      <c r="M161" s="119"/>
      <c r="N161" s="119"/>
      <c r="O161" s="119"/>
      <c r="P161" s="119"/>
      <c r="Q161" s="119"/>
      <c r="R161" s="119"/>
      <c r="S161" s="895">
        <v>-80311</v>
      </c>
      <c r="T161" s="1024"/>
      <c r="U161" s="1025"/>
    </row>
    <row r="162" spans="1:21" s="89" customFormat="1" ht="15.5" thickBot="1">
      <c r="A162" s="143">
        <f>+A161+1</f>
        <v>69</v>
      </c>
      <c r="B162" s="148"/>
      <c r="C162" s="128" t="s">
        <v>576</v>
      </c>
      <c r="D162" s="148"/>
      <c r="E162" s="128" t="s">
        <v>577</v>
      </c>
      <c r="F162" s="190"/>
      <c r="G162" s="148"/>
      <c r="H162" s="148"/>
      <c r="I162" s="148"/>
      <c r="J162" s="148"/>
      <c r="K162" s="148"/>
      <c r="L162" s="148"/>
      <c r="M162" s="148"/>
      <c r="N162" s="148"/>
      <c r="O162" s="148"/>
      <c r="P162" s="148"/>
      <c r="Q162" s="148"/>
      <c r="R162" s="148"/>
      <c r="S162" s="1108">
        <v>274000</v>
      </c>
      <c r="T162" s="1022"/>
      <c r="U162" s="1023"/>
    </row>
    <row r="163" spans="1:21" s="89" customFormat="1" ht="15.5">
      <c r="A163" s="97"/>
      <c r="B163" s="97"/>
      <c r="C163" s="119"/>
      <c r="D163" s="97"/>
      <c r="E163" s="119"/>
      <c r="F163" s="189"/>
      <c r="G163" s="119"/>
      <c r="H163" s="97"/>
      <c r="I163" s="97"/>
      <c r="J163" s="97"/>
      <c r="K163" s="97"/>
      <c r="L163" s="97"/>
      <c r="M163" s="97"/>
      <c r="N163" s="97"/>
      <c r="O163" s="97"/>
      <c r="P163" s="97"/>
      <c r="Q163" s="97"/>
      <c r="R163" s="97"/>
      <c r="S163" s="973"/>
      <c r="T163" s="1024"/>
      <c r="U163" s="1024"/>
    </row>
    <row r="164" spans="1:21" ht="15.5">
      <c r="A164" s="97"/>
      <c r="B164" s="97"/>
      <c r="C164" s="700"/>
      <c r="D164" s="97"/>
      <c r="E164" s="97"/>
      <c r="F164" s="97"/>
      <c r="G164" s="97"/>
      <c r="H164" s="97"/>
      <c r="I164" s="97"/>
      <c r="J164" s="97"/>
      <c r="K164" s="97"/>
      <c r="L164" s="97"/>
      <c r="M164" s="97"/>
      <c r="N164" s="97"/>
      <c r="O164" s="97"/>
      <c r="P164" s="97"/>
      <c r="Q164" s="97"/>
      <c r="R164" s="97"/>
      <c r="S164" s="91"/>
      <c r="T164" s="91"/>
      <c r="U164" s="91"/>
    </row>
    <row r="165" spans="1:21" ht="16" thickBot="1">
      <c r="A165" s="171" t="s">
        <v>578</v>
      </c>
      <c r="B165" s="556"/>
      <c r="C165" s="556"/>
      <c r="D165" s="556"/>
      <c r="E165" s="556"/>
      <c r="G165" s="556"/>
      <c r="H165" s="556"/>
      <c r="I165" s="556"/>
      <c r="J165" s="556"/>
      <c r="K165" s="556"/>
      <c r="L165" s="556"/>
      <c r="M165" s="556"/>
      <c r="N165" s="556"/>
      <c r="O165" s="556"/>
      <c r="P165" s="556"/>
      <c r="Q165" s="556"/>
      <c r="R165" s="556"/>
      <c r="S165" s="556"/>
      <c r="T165" s="556"/>
      <c r="U165" s="556"/>
    </row>
    <row r="166" spans="1:21" ht="31.5" thickBot="1">
      <c r="A166" s="166" t="s">
        <v>448</v>
      </c>
      <c r="B166" s="167" t="s">
        <v>449</v>
      </c>
      <c r="C166" s="167"/>
      <c r="D166" s="167"/>
      <c r="E166" s="107" t="s">
        <v>450</v>
      </c>
      <c r="F166" s="1026" t="s">
        <v>451</v>
      </c>
      <c r="G166" s="106" t="s">
        <v>452</v>
      </c>
      <c r="H166" s="106" t="s">
        <v>453</v>
      </c>
      <c r="I166" s="106" t="s">
        <v>454</v>
      </c>
      <c r="J166" s="106" t="s">
        <v>455</v>
      </c>
      <c r="K166" s="106" t="s">
        <v>456</v>
      </c>
      <c r="L166" s="106" t="s">
        <v>336</v>
      </c>
      <c r="M166" s="106" t="s">
        <v>457</v>
      </c>
      <c r="N166" s="106" t="s">
        <v>458</v>
      </c>
      <c r="O166" s="106" t="s">
        <v>459</v>
      </c>
      <c r="P166" s="106" t="s">
        <v>460</v>
      </c>
      <c r="Q166" s="106" t="s">
        <v>461</v>
      </c>
      <c r="R166" s="106" t="s">
        <v>462</v>
      </c>
      <c r="S166" s="106" t="s">
        <v>463</v>
      </c>
      <c r="T166" s="1069" t="s">
        <v>464</v>
      </c>
      <c r="U166" s="1070"/>
    </row>
    <row r="167" spans="1:21" s="89" customFormat="1" ht="15.5">
      <c r="A167" s="174"/>
      <c r="B167" s="175"/>
      <c r="C167" s="175"/>
      <c r="D167" s="175"/>
      <c r="E167" s="933"/>
      <c r="F167" s="177"/>
      <c r="G167" s="176"/>
      <c r="H167" s="176"/>
      <c r="I167" s="176"/>
      <c r="J167" s="176"/>
      <c r="K167" s="176"/>
      <c r="L167" s="176"/>
      <c r="M167" s="176"/>
      <c r="N167" s="176"/>
      <c r="O167" s="176"/>
      <c r="P167" s="176"/>
      <c r="Q167" s="176"/>
      <c r="R167" s="176"/>
      <c r="S167" s="178"/>
      <c r="T167" s="178"/>
      <c r="U167" s="204"/>
    </row>
    <row r="168" spans="1:21" s="91" customFormat="1" ht="15.5">
      <c r="A168" s="114">
        <f>+A162+1</f>
        <v>70</v>
      </c>
      <c r="C168" s="91" t="str">
        <f>+'Appendix A'!C257</f>
        <v>Excluded Transmission Facilities</v>
      </c>
      <c r="E168" s="116">
        <v>206</v>
      </c>
      <c r="F168" s="767" t="s">
        <v>473</v>
      </c>
      <c r="G168" s="895">
        <v>2469683.44</v>
      </c>
      <c r="H168" s="895">
        <v>2469683.44</v>
      </c>
      <c r="I168" s="895">
        <v>2469683.44</v>
      </c>
      <c r="J168" s="895">
        <v>2469683.44</v>
      </c>
      <c r="K168" s="895">
        <v>2469683.44</v>
      </c>
      <c r="L168" s="895">
        <v>2469683.44</v>
      </c>
      <c r="M168" s="895">
        <v>2469683.44</v>
      </c>
      <c r="N168" s="895">
        <v>2469683.44</v>
      </c>
      <c r="O168" s="895">
        <v>2469683.44</v>
      </c>
      <c r="P168" s="895">
        <v>2469683.44</v>
      </c>
      <c r="Q168" s="895">
        <v>2469683.44</v>
      </c>
      <c r="R168" s="895">
        <v>2469683.44</v>
      </c>
      <c r="S168" s="895">
        <v>2469683.44</v>
      </c>
      <c r="T168" s="54">
        <f>+(R168+S168)/2</f>
        <v>2469683.44</v>
      </c>
      <c r="U168" s="122"/>
    </row>
    <row r="169" spans="1:21" s="91" customFormat="1" ht="16" thickBot="1">
      <c r="A169" s="183"/>
      <c r="B169" s="144"/>
      <c r="C169" s="144"/>
      <c r="D169" s="144"/>
      <c r="E169" s="144"/>
      <c r="F169" s="144"/>
      <c r="G169" s="144"/>
      <c r="H169" s="144"/>
      <c r="I169" s="144"/>
      <c r="J169" s="144"/>
      <c r="K169" s="144"/>
      <c r="L169" s="144"/>
      <c r="M169" s="144"/>
      <c r="N169" s="144"/>
      <c r="O169" s="144"/>
      <c r="P169" s="144"/>
      <c r="Q169" s="144"/>
      <c r="R169" s="144"/>
      <c r="S169" s="144"/>
      <c r="T169" s="144"/>
      <c r="U169" s="147"/>
    </row>
    <row r="170" s="91" customFormat="1" ht="15.5"/>
    <row r="171" spans="1:21" ht="15.5">
      <c r="A171" s="97"/>
      <c r="B171" s="97"/>
      <c r="C171" s="97"/>
      <c r="D171" s="97"/>
      <c r="E171" s="97"/>
      <c r="F171" s="97"/>
      <c r="G171" s="97"/>
      <c r="H171" s="97"/>
      <c r="I171" s="97"/>
      <c r="J171" s="97"/>
      <c r="K171" s="97"/>
      <c r="L171" s="97"/>
      <c r="M171" s="97"/>
      <c r="N171" s="97"/>
      <c r="O171" s="97"/>
      <c r="P171" s="97"/>
      <c r="Q171" s="97"/>
      <c r="R171" s="97"/>
      <c r="S171" s="91"/>
      <c r="T171" s="91"/>
      <c r="U171" s="91"/>
    </row>
    <row r="172" spans="1:21" ht="16" thickBot="1">
      <c r="A172" s="100" t="s">
        <v>185</v>
      </c>
      <c r="B172" s="556"/>
      <c r="C172" s="556"/>
      <c r="D172" s="556"/>
      <c r="E172" s="556"/>
      <c r="G172" s="556"/>
      <c r="H172" s="556"/>
      <c r="I172" s="556"/>
      <c r="J172" s="556"/>
      <c r="K172" s="556"/>
      <c r="L172" s="556"/>
      <c r="M172" s="556"/>
      <c r="N172" s="556"/>
      <c r="O172" s="556"/>
      <c r="P172" s="556"/>
      <c r="Q172" s="556"/>
      <c r="R172" s="556"/>
      <c r="S172" s="556"/>
      <c r="T172" s="556"/>
      <c r="U172" s="556"/>
    </row>
    <row r="173" spans="1:21" ht="31.5" thickBot="1">
      <c r="A173" s="166" t="s">
        <v>448</v>
      </c>
      <c r="B173" s="167" t="s">
        <v>449</v>
      </c>
      <c r="C173" s="167"/>
      <c r="D173" s="167"/>
      <c r="E173" s="107" t="s">
        <v>450</v>
      </c>
      <c r="F173" s="1026" t="s">
        <v>451</v>
      </c>
      <c r="G173" s="168"/>
      <c r="H173" s="168"/>
      <c r="I173" s="168"/>
      <c r="J173" s="168"/>
      <c r="K173" s="168"/>
      <c r="L173" s="168"/>
      <c r="M173" s="168"/>
      <c r="N173" s="168"/>
      <c r="O173" s="168"/>
      <c r="P173" s="168"/>
      <c r="Q173" s="168"/>
      <c r="R173" s="168"/>
      <c r="S173" s="1028" t="s">
        <v>483</v>
      </c>
      <c r="T173" s="1176"/>
      <c r="U173" s="1177"/>
    </row>
    <row r="174" spans="1:21" s="89" customFormat="1" ht="15.5">
      <c r="A174" s="174"/>
      <c r="B174" s="175"/>
      <c r="C174" s="175"/>
      <c r="D174" s="175"/>
      <c r="E174" s="177"/>
      <c r="F174" s="177"/>
      <c r="G174" s="176"/>
      <c r="H174" s="176"/>
      <c r="I174" s="176"/>
      <c r="J174" s="176"/>
      <c r="K174" s="176"/>
      <c r="L174" s="176"/>
      <c r="M174" s="176"/>
      <c r="N174" s="176"/>
      <c r="O174" s="176"/>
      <c r="P174" s="176"/>
      <c r="Q174" s="176"/>
      <c r="R174" s="176"/>
      <c r="S174" s="178"/>
      <c r="T174" s="178"/>
      <c r="U174" s="179"/>
    </row>
    <row r="175" spans="1:21" ht="15.5">
      <c r="A175" s="118">
        <f>+A168+1</f>
        <v>71</v>
      </c>
      <c r="B175" s="101"/>
      <c r="C175" s="119" t="str">
        <f>+'Appendix A'!C282</f>
        <v>Facility Credits under Section 30.9 of the PJM OATT</v>
      </c>
      <c r="D175" s="133"/>
      <c r="E175" s="97"/>
      <c r="F175" s="929" t="str">
        <f>"(Appendix A, Note "&amp;'Appendix A'!B314&amp;")"</f>
        <v>(Appendix A, Note S)</v>
      </c>
      <c r="G175" s="189"/>
      <c r="H175" s="97"/>
      <c r="I175" s="97"/>
      <c r="J175" s="97"/>
      <c r="K175" s="97"/>
      <c r="L175" s="97"/>
      <c r="M175" s="97"/>
      <c r="N175" s="97"/>
      <c r="O175" s="97"/>
      <c r="P175" s="97"/>
      <c r="Q175" s="97"/>
      <c r="R175" s="97"/>
      <c r="S175" s="561">
        <v>0</v>
      </c>
      <c r="T175" s="1171"/>
      <c r="U175" s="1172"/>
    </row>
    <row r="176" spans="1:21" ht="16" thickBot="1">
      <c r="A176" s="143"/>
      <c r="B176" s="148"/>
      <c r="C176" s="148"/>
      <c r="D176" s="148"/>
      <c r="E176" s="148"/>
      <c r="F176" s="148"/>
      <c r="G176" s="148"/>
      <c r="H176" s="148"/>
      <c r="I176" s="148"/>
      <c r="J176" s="148"/>
      <c r="K176" s="148"/>
      <c r="L176" s="148"/>
      <c r="M176" s="148"/>
      <c r="N176" s="148"/>
      <c r="O176" s="148"/>
      <c r="P176" s="148"/>
      <c r="Q176" s="148"/>
      <c r="R176" s="148"/>
      <c r="S176" s="144"/>
      <c r="T176" s="144"/>
      <c r="U176" s="147"/>
    </row>
    <row r="177" ht="15.5"/>
    <row r="178" ht="15.5"/>
    <row r="179" spans="1:21" ht="16" thickBot="1">
      <c r="A179" s="100" t="s">
        <v>580</v>
      </c>
      <c r="B179" s="556"/>
      <c r="C179" s="556"/>
      <c r="D179" s="556"/>
      <c r="E179" s="556"/>
      <c r="G179" s="556"/>
      <c r="H179" s="556"/>
      <c r="I179" s="556"/>
      <c r="J179" s="556"/>
      <c r="K179" s="556"/>
      <c r="L179" s="556"/>
      <c r="M179" s="556"/>
      <c r="N179" s="556"/>
      <c r="O179" s="556"/>
      <c r="P179" s="556"/>
      <c r="Q179" s="556"/>
      <c r="R179" s="556"/>
      <c r="S179" s="556"/>
      <c r="T179" s="556"/>
      <c r="U179" s="556"/>
    </row>
    <row r="180" spans="1:21" ht="31.5" thickBot="1">
      <c r="A180" s="166" t="s">
        <v>448</v>
      </c>
      <c r="B180" s="167" t="s">
        <v>449</v>
      </c>
      <c r="C180" s="167"/>
      <c r="D180" s="167"/>
      <c r="E180" s="107" t="s">
        <v>450</v>
      </c>
      <c r="F180" s="1026" t="s">
        <v>451</v>
      </c>
      <c r="G180" s="168"/>
      <c r="H180" s="168"/>
      <c r="I180" s="168"/>
      <c r="J180" s="168"/>
      <c r="K180" s="168"/>
      <c r="L180" s="168"/>
      <c r="M180" s="168"/>
      <c r="N180" s="168"/>
      <c r="O180" s="168"/>
      <c r="P180" s="168"/>
      <c r="Q180" s="168"/>
      <c r="R180" s="168"/>
      <c r="S180" s="1028" t="s">
        <v>581</v>
      </c>
      <c r="T180" s="1173"/>
      <c r="U180" s="1174"/>
    </row>
    <row r="181" spans="1:21" s="89" customFormat="1" ht="15.5">
      <c r="A181" s="174"/>
      <c r="B181" s="175"/>
      <c r="C181" s="175"/>
      <c r="D181" s="175"/>
      <c r="E181" s="177"/>
      <c r="F181" s="177"/>
      <c r="G181" s="176"/>
      <c r="H181" s="176"/>
      <c r="I181" s="176"/>
      <c r="J181" s="176"/>
      <c r="K181" s="176"/>
      <c r="L181" s="176"/>
      <c r="M181" s="176"/>
      <c r="N181" s="176"/>
      <c r="O181" s="176"/>
      <c r="P181" s="176"/>
      <c r="Q181" s="176"/>
      <c r="R181" s="176"/>
      <c r="S181" s="178"/>
      <c r="T181" s="178"/>
      <c r="U181" s="179"/>
    </row>
    <row r="182" spans="1:21" ht="15.5">
      <c r="A182" s="118"/>
      <c r="B182" s="171" t="s">
        <v>582</v>
      </c>
      <c r="C182" s="93"/>
      <c r="D182" s="93"/>
      <c r="E182" s="102"/>
      <c r="F182" s="102"/>
      <c r="G182" s="135"/>
      <c r="H182" s="102"/>
      <c r="I182" s="102"/>
      <c r="J182" s="102"/>
      <c r="K182" s="102"/>
      <c r="L182" s="102"/>
      <c r="M182" s="102"/>
      <c r="N182" s="102"/>
      <c r="O182" s="102"/>
      <c r="P182" s="102"/>
      <c r="Q182" s="102"/>
      <c r="R182" s="102"/>
      <c r="S182" s="91"/>
      <c r="T182" s="91"/>
      <c r="U182" s="122"/>
    </row>
    <row r="183" spans="1:21" ht="15.5">
      <c r="A183" s="118">
        <f>+A175+1</f>
        <v>72</v>
      </c>
      <c r="B183" s="101"/>
      <c r="C183" s="119" t="s">
        <v>583</v>
      </c>
      <c r="D183" s="119"/>
      <c r="E183" s="119" t="s">
        <v>584</v>
      </c>
      <c r="F183" s="189" t="s">
        <v>546</v>
      </c>
      <c r="G183" s="556"/>
      <c r="H183" s="119"/>
      <c r="I183" s="119"/>
      <c r="J183" s="119"/>
      <c r="K183" s="119"/>
      <c r="L183" s="119"/>
      <c r="M183" s="119"/>
      <c r="N183" s="119"/>
      <c r="O183" s="119"/>
      <c r="P183" s="119"/>
      <c r="Q183" s="119"/>
      <c r="R183" s="119"/>
      <c r="S183" s="1109">
        <v>3258.60</v>
      </c>
      <c r="T183" s="1171"/>
      <c r="U183" s="1172"/>
    </row>
    <row r="184" spans="1:21" ht="16" thickBot="1">
      <c r="A184" s="183"/>
      <c r="B184" s="144"/>
      <c r="C184" s="144"/>
      <c r="D184" s="144"/>
      <c r="E184" s="144"/>
      <c r="F184" s="144"/>
      <c r="G184" s="144"/>
      <c r="H184" s="144"/>
      <c r="I184" s="144"/>
      <c r="J184" s="144"/>
      <c r="K184" s="144"/>
      <c r="L184" s="144"/>
      <c r="M184" s="144"/>
      <c r="N184" s="144"/>
      <c r="O184" s="144"/>
      <c r="P184" s="144"/>
      <c r="Q184" s="144"/>
      <c r="R184" s="144"/>
      <c r="S184" s="144"/>
      <c r="T184" s="144"/>
      <c r="U184" s="147"/>
    </row>
    <row r="185" spans="1:21" ht="15.5">
      <c r="A185" s="91"/>
      <c r="B185" s="91"/>
      <c r="C185" s="91"/>
      <c r="D185" s="205"/>
      <c r="E185" s="91"/>
      <c r="F185" s="91"/>
      <c r="G185" s="91"/>
      <c r="H185" s="91"/>
      <c r="I185" s="91"/>
      <c r="J185" s="91"/>
      <c r="K185" s="91"/>
      <c r="L185" s="91"/>
      <c r="M185" s="91"/>
      <c r="N185" s="91"/>
      <c r="O185" s="91"/>
      <c r="P185" s="91"/>
      <c r="Q185" s="91"/>
      <c r="R185" s="91"/>
      <c r="S185" s="91"/>
      <c r="T185" s="91"/>
      <c r="U185" s="91"/>
    </row>
    <row r="186" spans="1:21" ht="15.5">
      <c r="A186" s="100"/>
      <c r="B186" s="556"/>
      <c r="C186" s="556"/>
      <c r="D186" s="556"/>
      <c r="E186" s="556"/>
      <c r="G186" s="556"/>
      <c r="H186" s="556"/>
      <c r="I186" s="556"/>
      <c r="J186" s="556"/>
      <c r="K186" s="556"/>
      <c r="L186" s="556"/>
      <c r="M186" s="556"/>
      <c r="N186" s="556"/>
      <c r="O186" s="556"/>
      <c r="P186" s="556"/>
      <c r="Q186" s="556"/>
      <c r="R186" s="556"/>
      <c r="S186" s="556"/>
      <c r="T186" s="556"/>
      <c r="U186" s="817"/>
    </row>
    <row r="187" spans="1:21" s="89" customFormat="1" ht="16" thickBot="1">
      <c r="A187" s="72" t="s">
        <v>47</v>
      </c>
      <c r="B187" s="70"/>
      <c r="C187" s="70"/>
      <c r="D187" s="70"/>
      <c r="E187" s="70"/>
      <c r="F187" s="70"/>
      <c r="G187" s="70"/>
      <c r="H187" s="70"/>
      <c r="I187" s="70"/>
      <c r="J187" s="70"/>
      <c r="K187" s="84"/>
      <c r="L187" s="84"/>
      <c r="M187" s="84"/>
      <c r="N187" s="84"/>
      <c r="O187" s="84"/>
      <c r="P187" s="84"/>
      <c r="Q187" s="84"/>
      <c r="R187" s="84"/>
      <c r="S187" s="58"/>
      <c r="T187" s="58"/>
      <c r="U187" s="58"/>
    </row>
    <row r="188" spans="1:21" ht="31.5" thickBot="1">
      <c r="A188" s="104" t="s">
        <v>448</v>
      </c>
      <c r="B188" s="105" t="s">
        <v>449</v>
      </c>
      <c r="C188" s="105"/>
      <c r="D188" s="105"/>
      <c r="E188" s="107" t="s">
        <v>450</v>
      </c>
      <c r="F188" s="1026" t="s">
        <v>451</v>
      </c>
      <c r="G188" s="106"/>
      <c r="H188" s="106" t="s">
        <v>585</v>
      </c>
      <c r="I188" s="106" t="s">
        <v>586</v>
      </c>
      <c r="J188" s="106" t="s">
        <v>587</v>
      </c>
      <c r="K188" s="106" t="s">
        <v>65</v>
      </c>
      <c r="L188" s="106"/>
      <c r="M188" s="106"/>
      <c r="N188" s="106"/>
      <c r="O188" s="106"/>
      <c r="P188" s="106"/>
      <c r="Q188" s="106"/>
      <c r="R188" s="106"/>
      <c r="S188" s="1026"/>
      <c r="T188" s="1173"/>
      <c r="U188" s="1174"/>
    </row>
    <row r="189" spans="1:21" ht="15.5">
      <c r="A189" s="67"/>
      <c r="B189" s="65"/>
      <c r="C189" s="65"/>
      <c r="D189" s="65"/>
      <c r="E189" s="71"/>
      <c r="F189" s="71"/>
      <c r="G189" s="65"/>
      <c r="H189" s="66"/>
      <c r="I189" s="66"/>
      <c r="J189" s="66"/>
      <c r="K189" s="62"/>
      <c r="L189" s="62"/>
      <c r="M189" s="62"/>
      <c r="N189" s="62"/>
      <c r="O189" s="62"/>
      <c r="P189" s="62"/>
      <c r="Q189" s="62"/>
      <c r="R189" s="62"/>
      <c r="S189" s="57"/>
      <c r="T189" s="63"/>
      <c r="U189" s="64"/>
    </row>
    <row r="190" spans="1:21" ht="15.5">
      <c r="A190" s="582">
        <f>+A183+1</f>
        <v>73</v>
      </c>
      <c r="B190" s="70"/>
      <c r="C190" s="70" t="s">
        <v>588</v>
      </c>
      <c r="D190" s="65"/>
      <c r="E190" s="70" t="s">
        <v>589</v>
      </c>
      <c r="F190" s="70">
        <v>182.10</v>
      </c>
      <c r="G190" s="65"/>
      <c r="H190" s="896">
        <v>0</v>
      </c>
      <c r="I190" s="896">
        <v>0</v>
      </c>
      <c r="J190" s="896">
        <v>0</v>
      </c>
      <c r="K190" s="897">
        <f>+H190+I190+J190</f>
        <v>0</v>
      </c>
      <c r="L190" s="74"/>
      <c r="M190" s="74"/>
      <c r="N190" s="74"/>
      <c r="O190" s="74"/>
      <c r="P190" s="74"/>
      <c r="Q190" s="74"/>
      <c r="R190" s="74"/>
      <c r="S190" s="1017"/>
      <c r="T190" s="75"/>
      <c r="U190" s="77"/>
    </row>
    <row r="191" spans="1:21" ht="15.5">
      <c r="A191" s="582">
        <f>+A190+1</f>
        <v>74</v>
      </c>
      <c r="B191" s="70"/>
      <c r="C191" s="70" t="s">
        <v>590</v>
      </c>
      <c r="D191" s="66"/>
      <c r="E191" s="70" t="str">
        <f>+E190</f>
        <v>Per FERC Order</v>
      </c>
      <c r="F191" s="70"/>
      <c r="G191" s="65"/>
      <c r="H191" s="896">
        <v>0</v>
      </c>
      <c r="I191" s="896">
        <v>0</v>
      </c>
      <c r="J191" s="896">
        <v>0</v>
      </c>
      <c r="K191" s="897"/>
      <c r="L191" s="74"/>
      <c r="M191" s="74"/>
      <c r="N191" s="74"/>
      <c r="O191" s="74"/>
      <c r="P191" s="74"/>
      <c r="Q191" s="74"/>
      <c r="R191" s="74"/>
      <c r="S191" s="1017"/>
      <c r="T191" s="75"/>
      <c r="U191" s="77"/>
    </row>
    <row r="192" spans="1:21" ht="15.5">
      <c r="A192" s="582">
        <f>+A191+1</f>
        <v>75</v>
      </c>
      <c r="B192" s="70"/>
      <c r="C192" s="70" t="s">
        <v>591</v>
      </c>
      <c r="D192" s="66"/>
      <c r="E192" s="70" t="str">
        <f>"(Line "&amp;A190&amp;") / (Line "&amp;A191&amp;")"</f>
        <v>(Line 73) / (Line 74)</v>
      </c>
      <c r="F192" s="70">
        <v>407</v>
      </c>
      <c r="G192" s="65"/>
      <c r="H192" s="898">
        <v>0</v>
      </c>
      <c r="I192" s="899">
        <v>0</v>
      </c>
      <c r="J192" s="898">
        <v>0</v>
      </c>
      <c r="K192" s="897">
        <f>+H192+I192+J192</f>
        <v>0</v>
      </c>
      <c r="L192" s="74"/>
      <c r="M192" s="74"/>
      <c r="N192" s="74"/>
      <c r="O192" s="74"/>
      <c r="P192" s="74"/>
      <c r="Q192" s="74"/>
      <c r="R192" s="74"/>
      <c r="S192" s="1017"/>
      <c r="T192" s="75"/>
      <c r="U192" s="77"/>
    </row>
    <row r="193" spans="1:21" ht="15.5">
      <c r="A193" s="582"/>
      <c r="B193" s="70"/>
      <c r="C193" s="70"/>
      <c r="D193" s="66"/>
      <c r="E193" s="70"/>
      <c r="F193" s="70"/>
      <c r="G193" s="65"/>
      <c r="H193" s="899"/>
      <c r="I193" s="899"/>
      <c r="J193" s="899"/>
      <c r="K193" s="897"/>
      <c r="L193" s="74"/>
      <c r="M193" s="74"/>
      <c r="N193" s="74"/>
      <c r="O193" s="74"/>
      <c r="P193" s="74"/>
      <c r="Q193" s="74"/>
      <c r="R193" s="74"/>
      <c r="S193" s="1017"/>
      <c r="T193" s="75"/>
      <c r="U193" s="77"/>
    </row>
    <row r="194" spans="1:21" ht="15.5">
      <c r="A194" s="582">
        <f>+A192+1</f>
        <v>76</v>
      </c>
      <c r="B194" s="70"/>
      <c r="C194" s="70" t="s">
        <v>592</v>
      </c>
      <c r="D194" s="66"/>
      <c r="E194" s="70" t="str">
        <f>"(Line "&amp;A190&amp;") - (Line "&amp;A192&amp;")"</f>
        <v>(Line 73) - (Line 75)</v>
      </c>
      <c r="F194" s="70">
        <v>182.10</v>
      </c>
      <c r="G194" s="68"/>
      <c r="H194" s="900">
        <f>+H190-H192</f>
        <v>0</v>
      </c>
      <c r="I194" s="900">
        <f>+I190-I192</f>
        <v>0</v>
      </c>
      <c r="J194" s="900">
        <f>+J190-J192</f>
        <v>0</v>
      </c>
      <c r="K194" s="897">
        <f>+H194+I194+J194</f>
        <v>0</v>
      </c>
      <c r="L194" s="74"/>
      <c r="M194" s="74"/>
      <c r="N194" s="74"/>
      <c r="O194" s="74"/>
      <c r="P194" s="74"/>
      <c r="Q194" s="74"/>
      <c r="R194" s="74"/>
      <c r="S194" s="1017"/>
      <c r="T194" s="75"/>
      <c r="U194" s="77"/>
    </row>
    <row r="195" spans="1:21" ht="15.5">
      <c r="A195" s="582">
        <f>+A194+1</f>
        <v>77</v>
      </c>
      <c r="B195" s="70"/>
      <c r="C195" s="70" t="s">
        <v>593</v>
      </c>
      <c r="D195" s="66"/>
      <c r="E195" s="70" t="str">
        <f>"((Line "&amp;A190&amp;") + (Line "&amp;A194&amp;")) / 2"</f>
        <v>((Line 73) + (Line 76)) / 2</v>
      </c>
      <c r="F195" s="70"/>
      <c r="G195" s="65"/>
      <c r="H195" s="901">
        <f>+H190/2+H194/2</f>
        <v>0</v>
      </c>
      <c r="I195" s="900">
        <f>+I190/2+I194/2</f>
        <v>0</v>
      </c>
      <c r="J195" s="901">
        <f>+J190/2+J194/2</f>
        <v>0</v>
      </c>
      <c r="K195" s="897">
        <f>+H195+I195+J195</f>
        <v>0</v>
      </c>
      <c r="L195" s="74"/>
      <c r="M195" s="74"/>
      <c r="N195" s="74"/>
      <c r="O195" s="74"/>
      <c r="P195" s="74"/>
      <c r="Q195" s="74"/>
      <c r="R195" s="74"/>
      <c r="S195" s="1017"/>
      <c r="T195" s="75"/>
      <c r="U195" s="77"/>
    </row>
    <row r="196" spans="1:21" ht="15.5">
      <c r="A196" s="580"/>
      <c r="B196" s="70"/>
      <c r="C196" s="65"/>
      <c r="D196" s="66"/>
      <c r="E196" s="70"/>
      <c r="F196" s="70"/>
      <c r="G196" s="65"/>
      <c r="H196" s="65"/>
      <c r="I196" s="65"/>
      <c r="J196" s="65"/>
      <c r="K196" s="65"/>
      <c r="L196" s="76"/>
      <c r="M196" s="76"/>
      <c r="N196" s="76"/>
      <c r="O196" s="76"/>
      <c r="P196" s="76"/>
      <c r="Q196" s="76"/>
      <c r="R196" s="76"/>
      <c r="S196" s="70"/>
      <c r="T196" s="58"/>
      <c r="U196" s="78"/>
    </row>
    <row r="197" spans="1:21" ht="16" thickBot="1">
      <c r="A197" s="581"/>
      <c r="B197" s="79"/>
      <c r="C197" s="79" t="s">
        <v>594</v>
      </c>
      <c r="D197" s="80"/>
      <c r="E197" s="79"/>
      <c r="F197" s="79"/>
      <c r="G197" s="69"/>
      <c r="H197" s="80" t="s">
        <v>595</v>
      </c>
      <c r="I197" s="80" t="s">
        <v>596</v>
      </c>
      <c r="J197" s="80" t="s">
        <v>595</v>
      </c>
      <c r="K197" s="80"/>
      <c r="L197" s="81"/>
      <c r="M197" s="82"/>
      <c r="N197" s="82"/>
      <c r="O197" s="82"/>
      <c r="P197" s="82"/>
      <c r="Q197" s="82"/>
      <c r="R197" s="82"/>
      <c r="S197" s="69"/>
      <c r="T197" s="69"/>
      <c r="U197" s="83"/>
    </row>
    <row r="198" spans="1:21" ht="15.5">
      <c r="A198" s="556"/>
      <c r="B198" s="556"/>
      <c r="C198" s="556"/>
      <c r="D198" s="556"/>
      <c r="E198" s="556"/>
      <c r="G198" s="556"/>
      <c r="H198" s="556"/>
      <c r="I198" s="556"/>
      <c r="J198" s="556"/>
      <c r="K198" s="93"/>
      <c r="L198" s="93"/>
      <c r="M198" s="93"/>
      <c r="N198" s="93"/>
      <c r="O198" s="93"/>
      <c r="P198" s="93"/>
      <c r="Q198" s="93"/>
      <c r="R198" s="93"/>
      <c r="S198" s="93"/>
      <c r="T198" s="93"/>
      <c r="U198" s="93"/>
    </row>
    <row r="199" spans="1:21" ht="15.5">
      <c r="A199" s="556"/>
      <c r="B199" s="556"/>
      <c r="C199" s="556"/>
      <c r="D199" s="556"/>
      <c r="E199" s="556"/>
      <c r="G199" s="556"/>
      <c r="H199" s="556"/>
      <c r="I199" s="556"/>
      <c r="J199" s="556"/>
      <c r="K199" s="93"/>
      <c r="L199" s="93"/>
      <c r="M199" s="93"/>
      <c r="N199" s="93"/>
      <c r="O199" s="93"/>
      <c r="P199" s="93"/>
      <c r="Q199" s="93"/>
      <c r="R199" s="93"/>
      <c r="S199" s="93"/>
      <c r="T199" s="93"/>
      <c r="U199" s="93"/>
    </row>
    <row r="200" spans="1:21" ht="16" thickBot="1">
      <c r="A200" s="100" t="s">
        <v>597</v>
      </c>
      <c r="B200" s="91"/>
      <c r="C200" s="91"/>
      <c r="D200" s="91"/>
      <c r="E200" s="91"/>
      <c r="F200" s="91"/>
      <c r="G200" s="137"/>
      <c r="H200" s="1180"/>
      <c r="I200" s="1180"/>
      <c r="J200" s="1180"/>
      <c r="K200" s="1180"/>
      <c r="L200" s="1180"/>
      <c r="M200" s="1180"/>
      <c r="N200" s="1180"/>
      <c r="O200" s="1180"/>
      <c r="P200" s="1180"/>
      <c r="Q200" s="1180"/>
      <c r="R200" s="1180"/>
      <c r="S200" s="1180"/>
      <c r="T200" s="91"/>
      <c r="U200" s="91"/>
    </row>
    <row r="201" spans="1:21" ht="31.5" thickBot="1">
      <c r="A201" s="104" t="s">
        <v>448</v>
      </c>
      <c r="B201" s="105" t="s">
        <v>449</v>
      </c>
      <c r="C201" s="105"/>
      <c r="D201" s="105"/>
      <c r="E201" s="107" t="s">
        <v>450</v>
      </c>
      <c r="F201" s="1026" t="s">
        <v>451</v>
      </c>
      <c r="G201" s="138"/>
      <c r="H201" s="138"/>
      <c r="I201" s="138"/>
      <c r="J201" s="138"/>
      <c r="K201" s="138"/>
      <c r="L201" s="138"/>
      <c r="M201" s="138"/>
      <c r="N201" s="138"/>
      <c r="O201" s="138"/>
      <c r="P201" s="138"/>
      <c r="Q201" s="1026" t="s">
        <v>488</v>
      </c>
      <c r="R201" s="1026" t="s">
        <v>598</v>
      </c>
      <c r="S201" s="1026" t="s">
        <v>490</v>
      </c>
      <c r="T201" s="1026" t="s">
        <v>464</v>
      </c>
      <c r="U201" s="1027"/>
    </row>
    <row r="202" spans="1:21" ht="15.5">
      <c r="A202" s="118"/>
      <c r="B202" s="93"/>
      <c r="C202" s="116"/>
      <c r="D202" s="93"/>
      <c r="E202" s="123"/>
      <c r="F202" s="123"/>
      <c r="G202" s="93"/>
      <c r="H202" s="93"/>
      <c r="I202" s="93"/>
      <c r="J202" s="93"/>
      <c r="K202" s="93"/>
      <c r="L202" s="93"/>
      <c r="M202" s="93"/>
      <c r="N202" s="93"/>
      <c r="O202" s="93"/>
      <c r="P202" s="93"/>
      <c r="Q202" s="26"/>
      <c r="R202" s="26"/>
      <c r="S202" s="20"/>
      <c r="T202" s="20"/>
      <c r="U202" s="142"/>
    </row>
    <row r="203" spans="1:21" ht="15.5">
      <c r="A203" s="124">
        <f>+A195+1</f>
        <v>78</v>
      </c>
      <c r="B203" s="93"/>
      <c r="C203" s="116" t="s">
        <v>44</v>
      </c>
      <c r="D203" s="133"/>
      <c r="E203" s="133" t="s">
        <v>801</v>
      </c>
      <c r="F203" s="762" t="s">
        <v>989</v>
      </c>
      <c r="G203" s="91"/>
      <c r="H203" s="91"/>
      <c r="I203" s="91"/>
      <c r="J203" s="26"/>
      <c r="K203" s="91"/>
      <c r="L203" s="91"/>
      <c r="M203" s="91"/>
      <c r="N203" s="91"/>
      <c r="O203" s="91"/>
      <c r="P203" s="91"/>
      <c r="Q203" s="1067">
        <f>+'9 - Excess ADIT'!L38+'9 - Excess ADIT'!L64</f>
        <v>-34065805.186439775</v>
      </c>
      <c r="R203" s="1067">
        <f>+'9 - Excess ADIT'!M70</f>
        <v>-2893498.0321720005</v>
      </c>
      <c r="S203" s="1067">
        <f>+'9 - Excess ADIT'!N38+'9 - Excess ADIT'!N64</f>
        <v>-31172307.154267777</v>
      </c>
      <c r="T203" s="54">
        <f>+(S203+Q203)/2</f>
        <v>-32619056.170353778</v>
      </c>
      <c r="U203" s="122"/>
    </row>
    <row r="204" spans="1:21" ht="16" thickBot="1">
      <c r="A204" s="143"/>
      <c r="B204" s="148"/>
      <c r="C204" s="127"/>
      <c r="D204" s="148"/>
      <c r="E204" s="128"/>
      <c r="F204" s="128"/>
      <c r="G204" s="144"/>
      <c r="H204" s="144"/>
      <c r="I204" s="165"/>
      <c r="J204" s="128"/>
      <c r="K204" s="128"/>
      <c r="L204" s="128"/>
      <c r="M204" s="128"/>
      <c r="N204" s="128"/>
      <c r="O204" s="128"/>
      <c r="P204" s="128"/>
      <c r="Q204" s="128"/>
      <c r="R204" s="128"/>
      <c r="S204" s="144"/>
      <c r="T204" s="1169"/>
      <c r="U204" s="1170"/>
    </row>
    <row r="205" ht="15.5"/>
    <row r="206" spans="1:21" ht="17.5">
      <c r="A206" s="556"/>
      <c r="B206" s="556"/>
      <c r="C206" s="556"/>
      <c r="D206" s="556"/>
      <c r="E206" s="556"/>
      <c r="G206" s="556"/>
      <c r="H206" s="556"/>
      <c r="I206" s="556"/>
      <c r="J206" s="556"/>
      <c r="K206" s="556"/>
      <c r="L206" s="556"/>
      <c r="M206" s="556"/>
      <c r="N206" s="556"/>
      <c r="O206" s="556"/>
      <c r="P206" s="556"/>
      <c r="Q206" s="556"/>
      <c r="R206" s="556"/>
      <c r="S206" s="556"/>
      <c r="T206" s="556"/>
      <c r="U206" s="925"/>
    </row>
    <row r="207" spans="1:21" ht="16" thickBot="1">
      <c r="A207" s="100" t="s">
        <v>61</v>
      </c>
      <c r="B207" s="91"/>
      <c r="C207" s="91"/>
      <c r="D207" s="91"/>
      <c r="E207" s="91"/>
      <c r="F207" s="91"/>
      <c r="G207" s="137"/>
      <c r="H207" s="1180"/>
      <c r="I207" s="1180"/>
      <c r="J207" s="1180"/>
      <c r="K207" s="1180"/>
      <c r="L207" s="1180"/>
      <c r="M207" s="1180"/>
      <c r="N207" s="1180"/>
      <c r="O207" s="1180"/>
      <c r="P207" s="1180"/>
      <c r="Q207" s="1180"/>
      <c r="R207" s="1180"/>
      <c r="S207" s="1180"/>
      <c r="T207" s="91"/>
      <c r="U207" s="817"/>
    </row>
    <row r="208" spans="1:21" ht="31.5" thickBot="1">
      <c r="A208" s="104" t="s">
        <v>448</v>
      </c>
      <c r="B208" s="105" t="s">
        <v>449</v>
      </c>
      <c r="C208" s="105"/>
      <c r="D208" s="105"/>
      <c r="E208" s="107" t="s">
        <v>450</v>
      </c>
      <c r="F208" s="1026" t="s">
        <v>451</v>
      </c>
      <c r="G208" s="106" t="s">
        <v>452</v>
      </c>
      <c r="H208" s="106" t="s">
        <v>453</v>
      </c>
      <c r="I208" s="106" t="s">
        <v>454</v>
      </c>
      <c r="J208" s="106" t="s">
        <v>455</v>
      </c>
      <c r="K208" s="106" t="s">
        <v>456</v>
      </c>
      <c r="L208" s="106" t="s">
        <v>336</v>
      </c>
      <c r="M208" s="106" t="s">
        <v>457</v>
      </c>
      <c r="N208" s="106" t="s">
        <v>458</v>
      </c>
      <c r="O208" s="106" t="s">
        <v>459</v>
      </c>
      <c r="P208" s="106" t="s">
        <v>460</v>
      </c>
      <c r="Q208" s="106" t="s">
        <v>461</v>
      </c>
      <c r="R208" s="106" t="s">
        <v>462</v>
      </c>
      <c r="S208" s="106" t="s">
        <v>463</v>
      </c>
      <c r="T208" s="1069" t="s">
        <v>464</v>
      </c>
      <c r="U208" s="1070"/>
    </row>
    <row r="209" spans="1:21" ht="15.5">
      <c r="A209" s="118"/>
      <c r="B209" s="93"/>
      <c r="C209" s="116"/>
      <c r="D209" s="93"/>
      <c r="E209" s="123"/>
      <c r="F209" s="123"/>
      <c r="G209" s="93"/>
      <c r="H209" s="93"/>
      <c r="I209" s="93"/>
      <c r="J209" s="93"/>
      <c r="K209" s="93"/>
      <c r="L209" s="93"/>
      <c r="M209" s="93"/>
      <c r="N209" s="93"/>
      <c r="O209" s="93"/>
      <c r="P209" s="93"/>
      <c r="Q209" s="26"/>
      <c r="R209" s="26"/>
      <c r="S209" s="20"/>
      <c r="T209" s="20"/>
      <c r="U209" s="142"/>
    </row>
    <row r="210" spans="1:21" ht="15.5">
      <c r="A210" s="118"/>
      <c r="B210" s="125" t="s">
        <v>61</v>
      </c>
      <c r="C210" s="116"/>
      <c r="D210" s="93"/>
      <c r="E210" s="123"/>
      <c r="F210" s="123"/>
      <c r="G210" s="135"/>
      <c r="H210" s="93"/>
      <c r="I210" s="93"/>
      <c r="J210" s="93"/>
      <c r="K210" s="93"/>
      <c r="L210" s="93"/>
      <c r="M210" s="93"/>
      <c r="N210" s="93"/>
      <c r="O210" s="93"/>
      <c r="P210" s="93"/>
      <c r="Q210" s="26"/>
      <c r="R210" s="26"/>
      <c r="S210" s="20"/>
      <c r="T210" s="20"/>
      <c r="U210" s="142"/>
    </row>
    <row r="211" spans="1:21" ht="15.5">
      <c r="A211" s="118"/>
      <c r="B211" s="93"/>
      <c r="C211" s="116"/>
      <c r="D211" s="93"/>
      <c r="E211" s="123"/>
      <c r="F211" s="123"/>
      <c r="G211" s="93"/>
      <c r="H211" s="93"/>
      <c r="I211" s="93"/>
      <c r="J211" s="93"/>
      <c r="K211" s="93"/>
      <c r="L211" s="93"/>
      <c r="M211" s="93"/>
      <c r="N211" s="93"/>
      <c r="O211" s="93"/>
      <c r="P211" s="93"/>
      <c r="Q211" s="26"/>
      <c r="R211" s="26"/>
      <c r="S211" s="20"/>
      <c r="T211" s="20"/>
      <c r="U211" s="142"/>
    </row>
    <row r="212" spans="1:21" ht="15.5">
      <c r="A212" s="124">
        <f>+A203+1</f>
        <v>79</v>
      </c>
      <c r="B212" s="93"/>
      <c r="C212" s="116" t="s">
        <v>62</v>
      </c>
      <c r="D212" s="133"/>
      <c r="E212" s="133" t="s">
        <v>995</v>
      </c>
      <c r="F212" s="765">
        <v>228.10</v>
      </c>
      <c r="G212" s="1005">
        <v>0</v>
      </c>
      <c r="H212" s="1005">
        <v>0</v>
      </c>
      <c r="I212" s="1005">
        <v>0</v>
      </c>
      <c r="J212" s="1005">
        <v>0</v>
      </c>
      <c r="K212" s="1005">
        <v>0</v>
      </c>
      <c r="L212" s="1005">
        <v>0</v>
      </c>
      <c r="M212" s="1005">
        <v>0</v>
      </c>
      <c r="N212" s="1005">
        <v>0</v>
      </c>
      <c r="O212" s="1005">
        <v>0</v>
      </c>
      <c r="P212" s="1005">
        <v>0</v>
      </c>
      <c r="Q212" s="1005">
        <v>0</v>
      </c>
      <c r="R212" s="1005">
        <v>0</v>
      </c>
      <c r="S212" s="1005">
        <v>0</v>
      </c>
      <c r="T212" s="54">
        <f>+(R212+S212)/2</f>
        <v>0</v>
      </c>
      <c r="U212" s="142"/>
    </row>
    <row r="213" spans="1:21" s="556" customFormat="1" ht="15.5">
      <c r="A213" s="124">
        <f>+A212+1</f>
        <v>80</v>
      </c>
      <c r="B213" s="93"/>
      <c r="C213" s="116" t="s">
        <v>64</v>
      </c>
      <c r="D213" s="133"/>
      <c r="E213" s="133" t="s">
        <v>996</v>
      </c>
      <c r="F213" s="765">
        <v>228.20</v>
      </c>
      <c r="G213" s="1005">
        <v>-1321140</v>
      </c>
      <c r="H213" s="1005">
        <v>-1321140</v>
      </c>
      <c r="I213" s="1005">
        <v>-1321140</v>
      </c>
      <c r="J213" s="1005">
        <v>-1321140</v>
      </c>
      <c r="K213" s="1005">
        <v>-1321140</v>
      </c>
      <c r="L213" s="1005">
        <v>-1321140</v>
      </c>
      <c r="M213" s="1005">
        <v>-1321140</v>
      </c>
      <c r="N213" s="1005">
        <v>-1321140</v>
      </c>
      <c r="O213" s="1005">
        <v>-1321140</v>
      </c>
      <c r="P213" s="1005">
        <v>-1321140</v>
      </c>
      <c r="Q213" s="1005">
        <v>-1321140</v>
      </c>
      <c r="R213" s="1005">
        <v>-1321140</v>
      </c>
      <c r="S213" s="1005">
        <v>-1321140</v>
      </c>
      <c r="T213" s="54">
        <f t="shared" si="11" ref="T213:T215">+(R213+S213)/2</f>
        <v>-1321140</v>
      </c>
      <c r="U213" s="142"/>
    </row>
    <row r="214" spans="1:21" s="556" customFormat="1" ht="15.5">
      <c r="A214" s="124">
        <f>+A213+1</f>
        <v>81</v>
      </c>
      <c r="B214" s="93"/>
      <c r="C214" s="116" t="s">
        <v>852</v>
      </c>
      <c r="D214" s="133"/>
      <c r="E214" s="133" t="s">
        <v>997</v>
      </c>
      <c r="F214" s="765">
        <v>228.30</v>
      </c>
      <c r="G214" s="1005">
        <v>-2200000</v>
      </c>
      <c r="H214" s="1005">
        <v>-2200000</v>
      </c>
      <c r="I214" s="1005">
        <v>-2200000</v>
      </c>
      <c r="J214" s="1005">
        <v>-2200000</v>
      </c>
      <c r="K214" s="1005">
        <v>-2200000</v>
      </c>
      <c r="L214" s="1005">
        <v>-2200000</v>
      </c>
      <c r="M214" s="1005">
        <v>-2200000</v>
      </c>
      <c r="N214" s="1005">
        <v>-2200000</v>
      </c>
      <c r="O214" s="1005">
        <v>-2200000</v>
      </c>
      <c r="P214" s="1005">
        <v>-2200000</v>
      </c>
      <c r="Q214" s="1005">
        <v>-2200000</v>
      </c>
      <c r="R214" s="1005">
        <v>-2200000</v>
      </c>
      <c r="S214" s="1005">
        <v>-2200000</v>
      </c>
      <c r="T214" s="54">
        <f>+(R214+S214)/2</f>
        <v>-2200000</v>
      </c>
      <c r="U214" s="142"/>
    </row>
    <row r="215" spans="1:21" s="556" customFormat="1" ht="15.5">
      <c r="A215" s="124">
        <f>+A214+1</f>
        <v>82</v>
      </c>
      <c r="B215" s="93"/>
      <c r="C215" s="116" t="s">
        <v>990</v>
      </c>
      <c r="D215" s="133"/>
      <c r="E215" s="133" t="s">
        <v>998</v>
      </c>
      <c r="F215" s="765">
        <v>228.40</v>
      </c>
      <c r="G215" s="1005">
        <v>0</v>
      </c>
      <c r="H215" s="1005">
        <v>0</v>
      </c>
      <c r="I215" s="1005">
        <v>0</v>
      </c>
      <c r="J215" s="1005">
        <v>0</v>
      </c>
      <c r="K215" s="1005">
        <v>0</v>
      </c>
      <c r="L215" s="1005">
        <v>0</v>
      </c>
      <c r="M215" s="1005">
        <v>0</v>
      </c>
      <c r="N215" s="1005">
        <v>0</v>
      </c>
      <c r="O215" s="1005">
        <v>0</v>
      </c>
      <c r="P215" s="1005">
        <v>0</v>
      </c>
      <c r="Q215" s="1005">
        <v>0</v>
      </c>
      <c r="R215" s="1005">
        <v>0</v>
      </c>
      <c r="S215" s="1005">
        <v>0</v>
      </c>
      <c r="T215" s="54">
        <f>+(R215+S215)/2</f>
        <v>0</v>
      </c>
      <c r="U215" s="142"/>
    </row>
    <row r="216" spans="1:21" s="556" customFormat="1" ht="15.5">
      <c r="A216" s="124"/>
      <c r="B216" s="93"/>
      <c r="C216" s="116"/>
      <c r="D216" s="133"/>
      <c r="E216" s="133"/>
      <c r="F216" s="133"/>
      <c r="G216" s="91"/>
      <c r="H216" s="91"/>
      <c r="I216" s="91"/>
      <c r="J216" s="26"/>
      <c r="K216" s="91"/>
      <c r="L216" s="91"/>
      <c r="M216" s="91"/>
      <c r="N216" s="91"/>
      <c r="O216" s="91"/>
      <c r="P216" s="91"/>
      <c r="Q216" s="50"/>
      <c r="R216" s="50"/>
      <c r="S216" s="50"/>
      <c r="T216" s="50"/>
      <c r="U216" s="122"/>
    </row>
    <row r="217" spans="1:21" ht="16" thickBot="1">
      <c r="A217" s="620" t="s">
        <v>599</v>
      </c>
      <c r="B217" s="148"/>
      <c r="C217" s="127"/>
      <c r="D217" s="148"/>
      <c r="E217" s="128"/>
      <c r="F217" s="128"/>
      <c r="G217" s="144"/>
      <c r="H217" s="144"/>
      <c r="I217" s="165"/>
      <c r="J217" s="128"/>
      <c r="K217" s="128"/>
      <c r="L217" s="128"/>
      <c r="M217" s="128"/>
      <c r="N217" s="128"/>
      <c r="O217" s="128"/>
      <c r="P217" s="128"/>
      <c r="Q217" s="128"/>
      <c r="R217" s="128"/>
      <c r="S217" s="144"/>
      <c r="T217" s="1169"/>
      <c r="U217" s="1170"/>
    </row>
    <row r="218" ht="15.5"/>
    <row r="219" spans="1:21" ht="16" thickBot="1">
      <c r="A219" s="100" t="s">
        <v>69</v>
      </c>
      <c r="B219" s="91"/>
      <c r="C219" s="91"/>
      <c r="D219" s="91"/>
      <c r="E219" s="91"/>
      <c r="F219" s="91"/>
      <c r="G219" s="137"/>
      <c r="H219" s="1180"/>
      <c r="I219" s="1180"/>
      <c r="J219" s="1180"/>
      <c r="K219" s="1180"/>
      <c r="L219" s="1180"/>
      <c r="M219" s="1180"/>
      <c r="N219" s="1180"/>
      <c r="O219" s="1180"/>
      <c r="P219" s="1180"/>
      <c r="Q219" s="1180"/>
      <c r="R219" s="1180"/>
      <c r="S219" s="1180"/>
      <c r="T219" s="91"/>
      <c r="U219" s="91"/>
    </row>
    <row r="220" spans="1:21" ht="31.5" thickBot="1">
      <c r="A220" s="104" t="s">
        <v>448</v>
      </c>
      <c r="B220" s="105" t="s">
        <v>449</v>
      </c>
      <c r="C220" s="105"/>
      <c r="D220" s="105"/>
      <c r="E220" s="107" t="s">
        <v>450</v>
      </c>
      <c r="F220" s="1026" t="s">
        <v>451</v>
      </c>
      <c r="G220" s="106" t="s">
        <v>452</v>
      </c>
      <c r="H220" s="106" t="s">
        <v>453</v>
      </c>
      <c r="I220" s="106" t="s">
        <v>454</v>
      </c>
      <c r="J220" s="106" t="s">
        <v>455</v>
      </c>
      <c r="K220" s="106" t="s">
        <v>456</v>
      </c>
      <c r="L220" s="106" t="s">
        <v>336</v>
      </c>
      <c r="M220" s="106" t="s">
        <v>457</v>
      </c>
      <c r="N220" s="106" t="s">
        <v>458</v>
      </c>
      <c r="O220" s="106" t="s">
        <v>459</v>
      </c>
      <c r="P220" s="106" t="s">
        <v>460</v>
      </c>
      <c r="Q220" s="106" t="s">
        <v>461</v>
      </c>
      <c r="R220" s="106" t="s">
        <v>462</v>
      </c>
      <c r="S220" s="106" t="s">
        <v>463</v>
      </c>
      <c r="T220" s="1069" t="s">
        <v>464</v>
      </c>
      <c r="U220" s="1070"/>
    </row>
    <row r="221" spans="1:21" ht="15.5">
      <c r="A221" s="118"/>
      <c r="B221" s="93"/>
      <c r="C221" s="116"/>
      <c r="D221" s="93"/>
      <c r="E221" s="123"/>
      <c r="F221" s="123"/>
      <c r="G221" s="93"/>
      <c r="H221" s="93"/>
      <c r="I221" s="93"/>
      <c r="J221" s="93"/>
      <c r="K221" s="93"/>
      <c r="L221" s="93"/>
      <c r="M221" s="93"/>
      <c r="N221" s="93"/>
      <c r="O221" s="93"/>
      <c r="P221" s="93"/>
      <c r="Q221" s="26"/>
      <c r="R221" s="26"/>
      <c r="S221" s="20"/>
      <c r="T221" s="20"/>
      <c r="U221" s="142"/>
    </row>
    <row r="222" spans="1:21" ht="15.5">
      <c r="A222" s="124">
        <f>+A215+1</f>
        <v>83</v>
      </c>
      <c r="B222" s="93"/>
      <c r="C222" s="116" t="s">
        <v>600</v>
      </c>
      <c r="D222" s="133"/>
      <c r="E222" s="133" t="s">
        <v>999</v>
      </c>
      <c r="F222" s="133">
        <v>253</v>
      </c>
      <c r="G222" s="1005">
        <v>0</v>
      </c>
      <c r="H222" s="1005">
        <v>0</v>
      </c>
      <c r="I222" s="1005">
        <v>0</v>
      </c>
      <c r="J222" s="1005">
        <v>0</v>
      </c>
      <c r="K222" s="1005">
        <v>0</v>
      </c>
      <c r="L222" s="1005">
        <v>0</v>
      </c>
      <c r="M222" s="1005">
        <v>0</v>
      </c>
      <c r="N222" s="1005">
        <v>0</v>
      </c>
      <c r="O222" s="1005">
        <v>0</v>
      </c>
      <c r="P222" s="1005">
        <v>0</v>
      </c>
      <c r="Q222" s="1005">
        <v>0</v>
      </c>
      <c r="R222" s="1005">
        <v>0</v>
      </c>
      <c r="S222" s="1005">
        <v>0</v>
      </c>
      <c r="T222" s="54">
        <f>+(R222+S222)/2</f>
        <v>0</v>
      </c>
      <c r="U222" s="142"/>
    </row>
    <row r="223" spans="1:21" ht="16" thickBot="1">
      <c r="A223" s="620"/>
      <c r="B223" s="148"/>
      <c r="C223" s="127"/>
      <c r="D223" s="148"/>
      <c r="E223" s="128"/>
      <c r="F223" s="128"/>
      <c r="G223" s="144"/>
      <c r="H223" s="144"/>
      <c r="I223" s="165"/>
      <c r="J223" s="128"/>
      <c r="K223" s="128"/>
      <c r="L223" s="128"/>
      <c r="M223" s="128"/>
      <c r="N223" s="128"/>
      <c r="O223" s="128"/>
      <c r="P223" s="128"/>
      <c r="Q223" s="128"/>
      <c r="R223" s="128"/>
      <c r="S223" s="144"/>
      <c r="T223" s="1169"/>
      <c r="U223" s="1170"/>
    </row>
    <row r="224" ht="15.5"/>
    <row r="225" ht="15.5"/>
    <row r="226" ht="15.5"/>
    <row r="227" spans="1:21" ht="16" thickBot="1">
      <c r="A227" s="280" t="s">
        <v>900</v>
      </c>
      <c r="B227" s="556"/>
      <c r="C227" s="556"/>
      <c r="D227" s="556"/>
      <c r="E227" s="556"/>
      <c r="G227" s="556"/>
      <c r="H227" s="556"/>
      <c r="I227" s="556"/>
      <c r="J227" s="556"/>
      <c r="K227" s="556"/>
      <c r="L227" s="556"/>
      <c r="M227" s="556"/>
      <c r="N227" s="556"/>
      <c r="O227" s="556"/>
      <c r="P227" s="556"/>
      <c r="Q227" s="556"/>
      <c r="R227" s="556"/>
      <c r="S227" s="556"/>
      <c r="T227" s="556"/>
      <c r="U227" s="556"/>
    </row>
    <row r="228" spans="1:21" ht="31.5" thickBot="1">
      <c r="A228" s="104" t="s">
        <v>448</v>
      </c>
      <c r="B228" s="105" t="s">
        <v>449</v>
      </c>
      <c r="C228" s="105"/>
      <c r="D228" s="105"/>
      <c r="E228" s="107" t="s">
        <v>450</v>
      </c>
      <c r="F228" s="1026" t="s">
        <v>451</v>
      </c>
      <c r="G228" s="106" t="s">
        <v>452</v>
      </c>
      <c r="H228" s="106" t="s">
        <v>453</v>
      </c>
      <c r="I228" s="106" t="s">
        <v>454</v>
      </c>
      <c r="J228" s="106" t="s">
        <v>455</v>
      </c>
      <c r="K228" s="106" t="s">
        <v>456</v>
      </c>
      <c r="L228" s="106" t="s">
        <v>336</v>
      </c>
      <c r="M228" s="106" t="s">
        <v>457</v>
      </c>
      <c r="N228" s="106" t="s">
        <v>458</v>
      </c>
      <c r="O228" s="106" t="s">
        <v>459</v>
      </c>
      <c r="P228" s="106" t="s">
        <v>460</v>
      </c>
      <c r="Q228" s="106" t="s">
        <v>461</v>
      </c>
      <c r="R228" s="106" t="s">
        <v>462</v>
      </c>
      <c r="S228" s="106" t="s">
        <v>463</v>
      </c>
      <c r="T228" s="1069" t="s">
        <v>464</v>
      </c>
      <c r="U228" s="1070"/>
    </row>
    <row r="229" spans="1:21" s="556" customFormat="1" ht="15.5">
      <c r="A229" s="118">
        <f>+A222+1</f>
        <v>84</v>
      </c>
      <c r="B229" s="91"/>
      <c r="C229" s="134" t="s">
        <v>601</v>
      </c>
      <c r="D229" s="91"/>
      <c r="E229" s="199" t="s">
        <v>602</v>
      </c>
      <c r="F229" s="766">
        <v>252</v>
      </c>
      <c r="G229" s="1005">
        <v>-56943</v>
      </c>
      <c r="H229" s="1005">
        <v>-56943</v>
      </c>
      <c r="I229" s="1005">
        <v>-56943</v>
      </c>
      <c r="J229" s="1005">
        <v>-56943</v>
      </c>
      <c r="K229" s="1005">
        <v>-56943</v>
      </c>
      <c r="L229" s="1005">
        <v>-56943</v>
      </c>
      <c r="M229" s="1005">
        <v>-56943</v>
      </c>
      <c r="N229" s="1005">
        <v>-56943</v>
      </c>
      <c r="O229" s="1005">
        <v>-56943</v>
      </c>
      <c r="P229" s="1005">
        <v>-56943</v>
      </c>
      <c r="Q229" s="1005">
        <v>-56943</v>
      </c>
      <c r="R229" s="1005">
        <v>-56943</v>
      </c>
      <c r="S229" s="1005">
        <v>-56943</v>
      </c>
      <c r="T229" s="54">
        <f>+(R229+S229)/2</f>
        <v>-56943</v>
      </c>
      <c r="U229" s="122"/>
    </row>
    <row r="230" spans="1:21" s="556" customFormat="1" ht="15.5">
      <c r="A230" s="118">
        <f>+A229+1</f>
        <v>85</v>
      </c>
      <c r="B230" s="91"/>
      <c r="C230" s="134" t="s">
        <v>901</v>
      </c>
      <c r="D230" s="91"/>
      <c r="E230" s="540" t="s">
        <v>902</v>
      </c>
      <c r="F230" s="929">
        <v>235</v>
      </c>
      <c r="G230" s="1005">
        <v>0</v>
      </c>
      <c r="H230" s="1005">
        <v>0</v>
      </c>
      <c r="I230" s="1005">
        <v>0</v>
      </c>
      <c r="J230" s="1005">
        <v>0</v>
      </c>
      <c r="K230" s="1005">
        <v>0</v>
      </c>
      <c r="L230" s="1005">
        <v>0</v>
      </c>
      <c r="M230" s="1005">
        <v>0</v>
      </c>
      <c r="N230" s="1005">
        <v>0</v>
      </c>
      <c r="O230" s="1005">
        <v>0</v>
      </c>
      <c r="P230" s="1005">
        <v>0</v>
      </c>
      <c r="Q230" s="1005">
        <v>0</v>
      </c>
      <c r="R230" s="1005">
        <v>0</v>
      </c>
      <c r="S230" s="1005">
        <v>0</v>
      </c>
      <c r="T230" s="1113">
        <f>+(R230+S230)/2</f>
        <v>0</v>
      </c>
      <c r="U230" s="122"/>
    </row>
    <row r="231" spans="1:21" s="556" customFormat="1" ht="15.5">
      <c r="A231" s="118">
        <f>+A230+1</f>
        <v>86</v>
      </c>
      <c r="B231" s="91"/>
      <c r="C231" s="134" t="s">
        <v>65</v>
      </c>
      <c r="D231" s="91"/>
      <c r="E231" s="199"/>
      <c r="F231" s="766"/>
      <c r="G231" s="1118"/>
      <c r="H231" s="1118"/>
      <c r="I231" s="1118"/>
      <c r="J231" s="1118"/>
      <c r="K231" s="1118"/>
      <c r="L231" s="1118"/>
      <c r="M231" s="1118"/>
      <c r="N231" s="1118"/>
      <c r="O231" s="1118"/>
      <c r="P231" s="1118"/>
      <c r="Q231" s="1118"/>
      <c r="R231" s="1118"/>
      <c r="S231" s="1118"/>
      <c r="T231" s="54">
        <f>+T229+T230</f>
        <v>-56943</v>
      </c>
      <c r="U231" s="122"/>
    </row>
    <row r="232" spans="1:21" ht="16" thickBot="1">
      <c r="A232" s="620"/>
      <c r="B232" s="144"/>
      <c r="C232" s="145"/>
      <c r="D232" s="144"/>
      <c r="E232" s="144" t="s">
        <v>821</v>
      </c>
      <c r="F232" s="146"/>
      <c r="G232" s="31"/>
      <c r="H232" s="31"/>
      <c r="I232" s="31"/>
      <c r="J232" s="31"/>
      <c r="K232" s="31"/>
      <c r="L232" s="31"/>
      <c r="M232" s="31"/>
      <c r="N232" s="31"/>
      <c r="O232" s="31"/>
      <c r="P232" s="31"/>
      <c r="Q232" s="31"/>
      <c r="R232" s="31"/>
      <c r="S232" s="31"/>
      <c r="T232" s="31"/>
      <c r="U232" s="147"/>
    </row>
    <row r="233" ht="15.5"/>
    <row r="234" ht="15.5"/>
    <row r="235" spans="1:21" ht="16" thickBot="1">
      <c r="A235" s="280" t="s">
        <v>70</v>
      </c>
      <c r="B235" s="556"/>
      <c r="C235" s="556"/>
      <c r="D235" s="556"/>
      <c r="E235" s="556"/>
      <c r="G235" s="556"/>
      <c r="H235" s="556"/>
      <c r="I235" s="556"/>
      <c r="J235" s="556"/>
      <c r="K235" s="556"/>
      <c r="L235" s="556"/>
      <c r="M235" s="556"/>
      <c r="N235" s="556"/>
      <c r="O235" s="556"/>
      <c r="P235" s="556"/>
      <c r="Q235" s="556"/>
      <c r="R235" s="556"/>
      <c r="S235" s="556"/>
      <c r="T235" s="556"/>
      <c r="U235" s="556"/>
    </row>
    <row r="236" spans="1:21" ht="31.5" thickBot="1">
      <c r="A236" s="104" t="s">
        <v>448</v>
      </c>
      <c r="B236" s="105" t="s">
        <v>449</v>
      </c>
      <c r="C236" s="105"/>
      <c r="D236" s="105"/>
      <c r="E236" s="107" t="s">
        <v>450</v>
      </c>
      <c r="F236" s="1026" t="s">
        <v>451</v>
      </c>
      <c r="G236" s="701"/>
      <c r="H236" s="138"/>
      <c r="I236" s="138"/>
      <c r="J236" s="138"/>
      <c r="K236" s="138"/>
      <c r="L236" s="138"/>
      <c r="M236" s="138"/>
      <c r="N236" s="138"/>
      <c r="O236" s="138"/>
      <c r="P236" s="138"/>
      <c r="Q236" s="138"/>
      <c r="R236" s="1026"/>
      <c r="S236" s="1026"/>
      <c r="T236" s="1026" t="s">
        <v>464</v>
      </c>
      <c r="U236" s="139"/>
    </row>
    <row r="237" spans="1:21" ht="15.5">
      <c r="A237" s="118">
        <f>+A231+1</f>
        <v>87</v>
      </c>
      <c r="B237" s="91"/>
      <c r="C237" s="134" t="s">
        <v>603</v>
      </c>
      <c r="D237" s="91"/>
      <c r="E237" s="556" t="s">
        <v>604</v>
      </c>
      <c r="F237" s="766">
        <v>242</v>
      </c>
      <c r="G237" s="135"/>
      <c r="H237" s="91"/>
      <c r="I237" s="91"/>
      <c r="J237" s="91"/>
      <c r="K237" s="91"/>
      <c r="L237" s="91"/>
      <c r="M237" s="91"/>
      <c r="N237" s="91"/>
      <c r="O237" s="91"/>
      <c r="P237" s="91"/>
      <c r="Q237" s="91"/>
      <c r="R237" s="54"/>
      <c r="S237" s="54"/>
      <c r="T237" s="54">
        <f>+'10 - Misc. Liabilities'!W22</f>
        <v>-1244235.8202752681</v>
      </c>
      <c r="U237" s="142"/>
    </row>
    <row r="238" spans="1:21" ht="16" thickBot="1">
      <c r="A238" s="183"/>
      <c r="B238" s="144"/>
      <c r="C238" s="144"/>
      <c r="D238" s="144"/>
      <c r="E238" s="144"/>
      <c r="F238" s="144"/>
      <c r="G238" s="144"/>
      <c r="H238" s="144"/>
      <c r="I238" s="144"/>
      <c r="J238" s="144"/>
      <c r="K238" s="144"/>
      <c r="L238" s="144"/>
      <c r="M238" s="144"/>
      <c r="N238" s="144"/>
      <c r="O238" s="144"/>
      <c r="P238" s="144"/>
      <c r="Q238" s="144"/>
      <c r="R238" s="144"/>
      <c r="S238" s="144"/>
      <c r="T238" s="144"/>
      <c r="U238" s="147"/>
    </row>
    <row r="239" spans="1:21" ht="16" thickBot="1">
      <c r="A239" s="556"/>
      <c r="B239" s="556"/>
      <c r="C239" s="556"/>
      <c r="D239" s="556"/>
      <c r="E239" s="556"/>
      <c r="G239" s="556"/>
      <c r="H239" s="556"/>
      <c r="I239" s="556"/>
      <c r="J239" s="556"/>
      <c r="K239" s="556"/>
      <c r="L239" s="556"/>
      <c r="M239" s="556"/>
      <c r="N239" s="556"/>
      <c r="O239" s="556"/>
      <c r="P239" s="556"/>
      <c r="Q239" s="556"/>
      <c r="R239" s="556"/>
      <c r="S239" s="556"/>
      <c r="T239" s="556"/>
      <c r="U239" s="556"/>
    </row>
    <row r="240" spans="1:21" ht="16" thickBot="1">
      <c r="A240" s="280" t="s">
        <v>605</v>
      </c>
      <c r="B240" s="556"/>
      <c r="C240" s="556"/>
      <c r="D240" s="556"/>
      <c r="E240" s="556"/>
      <c r="G240" s="274" t="s">
        <v>447</v>
      </c>
      <c r="H240" s="1181" t="s">
        <v>606</v>
      </c>
      <c r="I240" s="1182"/>
      <c r="J240" s="1182"/>
      <c r="K240" s="1182"/>
      <c r="L240" s="1182"/>
      <c r="M240" s="1182"/>
      <c r="N240" s="1182"/>
      <c r="O240" s="1182"/>
      <c r="P240" s="1182"/>
      <c r="Q240" s="1182"/>
      <c r="R240" s="1182"/>
      <c r="S240" s="1183"/>
      <c r="T240" s="91"/>
      <c r="U240" s="91"/>
    </row>
    <row r="241" spans="1:21" ht="31.5" thickBot="1">
      <c r="A241" s="104" t="s">
        <v>448</v>
      </c>
      <c r="B241" s="105" t="s">
        <v>449</v>
      </c>
      <c r="C241" s="105"/>
      <c r="D241" s="105"/>
      <c r="E241" s="107" t="s">
        <v>450</v>
      </c>
      <c r="F241" s="1026" t="s">
        <v>451</v>
      </c>
      <c r="G241" s="776" t="s">
        <v>452</v>
      </c>
      <c r="H241" s="106" t="s">
        <v>453</v>
      </c>
      <c r="I241" s="106" t="s">
        <v>454</v>
      </c>
      <c r="J241" s="106" t="s">
        <v>455</v>
      </c>
      <c r="K241" s="106" t="s">
        <v>456</v>
      </c>
      <c r="L241" s="106" t="s">
        <v>336</v>
      </c>
      <c r="M241" s="106" t="s">
        <v>457</v>
      </c>
      <c r="N241" s="106" t="s">
        <v>458</v>
      </c>
      <c r="O241" s="106" t="s">
        <v>459</v>
      </c>
      <c r="P241" s="106" t="s">
        <v>460</v>
      </c>
      <c r="Q241" s="106" t="s">
        <v>461</v>
      </c>
      <c r="R241" s="106" t="s">
        <v>462</v>
      </c>
      <c r="S241" s="106" t="s">
        <v>463</v>
      </c>
      <c r="T241" s="1027" t="s">
        <v>464</v>
      </c>
      <c r="U241" s="1024"/>
    </row>
    <row r="242" spans="1:21" ht="15.5">
      <c r="A242" s="118"/>
      <c r="B242" s="91" t="str">
        <f>+'7A - Project ROE Adder'!G8</f>
        <v>Name</v>
      </c>
      <c r="C242" s="134"/>
      <c r="D242" s="91"/>
      <c r="E242" s="556"/>
      <c r="F242" s="766"/>
      <c r="G242" s="556"/>
      <c r="H242" s="556"/>
      <c r="I242" s="556"/>
      <c r="J242" s="556"/>
      <c r="K242" s="556"/>
      <c r="L242" s="556"/>
      <c r="M242" s="556"/>
      <c r="N242" s="556"/>
      <c r="O242" s="556"/>
      <c r="P242" s="556"/>
      <c r="Q242" s="556"/>
      <c r="R242" s="556"/>
      <c r="S242" s="556"/>
      <c r="T242" s="820"/>
      <c r="U242" s="91"/>
    </row>
    <row r="243" spans="1:21" s="556" customFormat="1" ht="15.5">
      <c r="A243" s="118">
        <f>+A237+1</f>
        <v>88</v>
      </c>
      <c r="B243" s="91" t="s">
        <v>607</v>
      </c>
      <c r="C243" s="134"/>
      <c r="D243" s="91"/>
      <c r="E243" s="261">
        <v>206</v>
      </c>
      <c r="F243" s="766"/>
      <c r="G243" s="903">
        <v>0</v>
      </c>
      <c r="H243" s="904">
        <v>0</v>
      </c>
      <c r="I243" s="904">
        <v>0</v>
      </c>
      <c r="J243" s="904">
        <v>0</v>
      </c>
      <c r="K243" s="904">
        <v>0</v>
      </c>
      <c r="L243" s="904">
        <v>0</v>
      </c>
      <c r="M243" s="904">
        <v>0</v>
      </c>
      <c r="N243" s="904">
        <v>0</v>
      </c>
      <c r="O243" s="904">
        <v>0</v>
      </c>
      <c r="P243" s="904">
        <v>0</v>
      </c>
      <c r="Q243" s="904">
        <v>0</v>
      </c>
      <c r="R243" s="902">
        <v>0</v>
      </c>
      <c r="S243" s="902">
        <v>0</v>
      </c>
      <c r="T243" s="905">
        <f>+SUM(G243:S243)/13</f>
        <v>0</v>
      </c>
      <c r="U243" s="91"/>
    </row>
    <row r="244" spans="1:21" s="556" customFormat="1" ht="15.5">
      <c r="A244" s="118">
        <f>+A243+1</f>
        <v>89</v>
      </c>
      <c r="B244" s="91" t="s">
        <v>32</v>
      </c>
      <c r="C244" s="134"/>
      <c r="D244" s="91"/>
      <c r="E244" s="261">
        <v>219</v>
      </c>
      <c r="F244" s="766"/>
      <c r="G244" s="903">
        <v>0</v>
      </c>
      <c r="H244" s="904">
        <v>0</v>
      </c>
      <c r="I244" s="904">
        <v>0</v>
      </c>
      <c r="J244" s="904">
        <v>0</v>
      </c>
      <c r="K244" s="904">
        <v>0</v>
      </c>
      <c r="L244" s="904">
        <v>0</v>
      </c>
      <c r="M244" s="904">
        <v>0</v>
      </c>
      <c r="N244" s="904">
        <v>0</v>
      </c>
      <c r="O244" s="904">
        <v>0</v>
      </c>
      <c r="P244" s="904">
        <v>0</v>
      </c>
      <c r="Q244" s="904">
        <v>0</v>
      </c>
      <c r="R244" s="902">
        <v>0</v>
      </c>
      <c r="S244" s="902">
        <v>0</v>
      </c>
      <c r="T244" s="905">
        <f t="shared" si="12" ref="T244">+SUM(G244:S244)/13</f>
        <v>0</v>
      </c>
      <c r="U244" s="91"/>
    </row>
    <row r="245" spans="1:21" s="556" customFormat="1" ht="15.5">
      <c r="A245" s="118">
        <f>+A244+1</f>
        <v>90</v>
      </c>
      <c r="B245" s="91" t="s">
        <v>42</v>
      </c>
      <c r="C245" s="134"/>
      <c r="D245" s="91"/>
      <c r="E245" s="261">
        <v>274</v>
      </c>
      <c r="F245" s="766"/>
      <c r="G245" s="903">
        <v>0</v>
      </c>
      <c r="H245" s="117"/>
      <c r="I245" s="117"/>
      <c r="J245" s="117"/>
      <c r="K245" s="117"/>
      <c r="L245" s="117"/>
      <c r="M245" s="117"/>
      <c r="N245" s="117"/>
      <c r="O245" s="117"/>
      <c r="P245" s="117"/>
      <c r="Q245" s="117"/>
      <c r="R245" s="54"/>
      <c r="S245" s="902">
        <v>0</v>
      </c>
      <c r="T245" s="905">
        <f>+(G245+S245)/2</f>
        <v>0</v>
      </c>
      <c r="U245" s="91"/>
    </row>
    <row r="246" spans="1:21" s="556" customFormat="1" ht="15.5">
      <c r="A246" s="118"/>
      <c r="B246" s="91"/>
      <c r="C246" s="134"/>
      <c r="D246" s="91"/>
      <c r="E246" s="261"/>
      <c r="F246" s="766"/>
      <c r="G246" s="162"/>
      <c r="H246" s="735"/>
      <c r="I246" s="735"/>
      <c r="J246" s="735"/>
      <c r="K246" s="735"/>
      <c r="L246" s="735"/>
      <c r="M246" s="735"/>
      <c r="N246" s="735"/>
      <c r="O246" s="735"/>
      <c r="P246" s="735"/>
      <c r="Q246" s="735"/>
      <c r="R246" s="54"/>
      <c r="S246" s="54"/>
      <c r="T246" s="905"/>
      <c r="U246" s="91"/>
    </row>
    <row r="247" spans="1:21" s="556" customFormat="1" ht="15.5">
      <c r="A247" s="118"/>
      <c r="B247" s="91" t="str">
        <f>+'7A - Project ROE Adder'!I8</f>
        <v>Name</v>
      </c>
      <c r="C247" s="134"/>
      <c r="D247" s="91"/>
      <c r="E247" s="261"/>
      <c r="F247" s="766"/>
      <c r="G247" s="540"/>
      <c r="H247" s="540"/>
      <c r="I247" s="540"/>
      <c r="J247" s="540"/>
      <c r="K247" s="540"/>
      <c r="L247" s="540"/>
      <c r="M247" s="540"/>
      <c r="N247" s="540"/>
      <c r="O247" s="540"/>
      <c r="P247" s="540"/>
      <c r="Q247" s="540"/>
      <c r="R247" s="540"/>
      <c r="S247" s="540"/>
      <c r="T247" s="906"/>
      <c r="U247" s="91"/>
    </row>
    <row r="248" spans="1:21" ht="15.5">
      <c r="A248" s="118">
        <f>+A245+1</f>
        <v>91</v>
      </c>
      <c r="B248" s="91" t="s">
        <v>607</v>
      </c>
      <c r="C248" s="134"/>
      <c r="D248" s="91"/>
      <c r="E248" s="261">
        <v>206</v>
      </c>
      <c r="F248" s="766"/>
      <c r="G248" s="903">
        <v>0</v>
      </c>
      <c r="H248" s="904">
        <v>0</v>
      </c>
      <c r="I248" s="904">
        <v>0</v>
      </c>
      <c r="J248" s="904">
        <v>0</v>
      </c>
      <c r="K248" s="904">
        <v>0</v>
      </c>
      <c r="L248" s="904">
        <v>0</v>
      </c>
      <c r="M248" s="904">
        <v>0</v>
      </c>
      <c r="N248" s="904">
        <v>0</v>
      </c>
      <c r="O248" s="904">
        <v>0</v>
      </c>
      <c r="P248" s="904">
        <v>0</v>
      </c>
      <c r="Q248" s="904">
        <v>0</v>
      </c>
      <c r="R248" s="902">
        <v>0</v>
      </c>
      <c r="S248" s="902">
        <v>0</v>
      </c>
      <c r="T248" s="905">
        <f>+SUM(G248:S248)/13</f>
        <v>0</v>
      </c>
      <c r="U248" s="91"/>
    </row>
    <row r="249" spans="1:21" ht="15.5">
      <c r="A249" s="118">
        <f>+A248+1</f>
        <v>92</v>
      </c>
      <c r="B249" s="91" t="s">
        <v>32</v>
      </c>
      <c r="C249" s="134"/>
      <c r="D249" s="91"/>
      <c r="E249" s="261">
        <v>219</v>
      </c>
      <c r="F249" s="766"/>
      <c r="G249" s="903">
        <v>0</v>
      </c>
      <c r="H249" s="904">
        <v>0</v>
      </c>
      <c r="I249" s="904">
        <v>0</v>
      </c>
      <c r="J249" s="904">
        <v>0</v>
      </c>
      <c r="K249" s="904">
        <v>0</v>
      </c>
      <c r="L249" s="904">
        <v>0</v>
      </c>
      <c r="M249" s="904">
        <v>0</v>
      </c>
      <c r="N249" s="904">
        <v>0</v>
      </c>
      <c r="O249" s="904">
        <v>0</v>
      </c>
      <c r="P249" s="904">
        <v>0</v>
      </c>
      <c r="Q249" s="904">
        <v>0</v>
      </c>
      <c r="R249" s="902">
        <v>0</v>
      </c>
      <c r="S249" s="902">
        <v>0</v>
      </c>
      <c r="T249" s="905">
        <f t="shared" si="13" ref="T249">+SUM(G249:S249)/13</f>
        <v>0</v>
      </c>
      <c r="U249" s="556"/>
    </row>
    <row r="250" spans="1:21" ht="15.5">
      <c r="A250" s="118">
        <f>+A249+1</f>
        <v>93</v>
      </c>
      <c r="B250" s="91" t="s">
        <v>42</v>
      </c>
      <c r="C250" s="134"/>
      <c r="D250" s="91"/>
      <c r="E250" s="261">
        <v>274</v>
      </c>
      <c r="F250" s="766"/>
      <c r="G250" s="903">
        <v>0</v>
      </c>
      <c r="H250" s="117"/>
      <c r="I250" s="117"/>
      <c r="J250" s="117"/>
      <c r="K250" s="117"/>
      <c r="L250" s="117"/>
      <c r="M250" s="117"/>
      <c r="N250" s="117"/>
      <c r="O250" s="117"/>
      <c r="P250" s="117"/>
      <c r="Q250" s="117"/>
      <c r="R250" s="54"/>
      <c r="S250" s="902">
        <v>0</v>
      </c>
      <c r="T250" s="905">
        <f>+(G250+S250)/2</f>
        <v>0</v>
      </c>
      <c r="U250" s="556"/>
    </row>
    <row r="251" spans="1:21" ht="15.5">
      <c r="A251" s="556"/>
      <c r="B251" s="556"/>
      <c r="C251" s="556"/>
      <c r="D251" s="556"/>
      <c r="E251" s="261"/>
      <c r="G251" s="540"/>
      <c r="H251" s="540"/>
      <c r="I251" s="540"/>
      <c r="J251" s="540"/>
      <c r="K251" s="540"/>
      <c r="L251" s="540"/>
      <c r="M251" s="540"/>
      <c r="N251" s="540"/>
      <c r="O251" s="540"/>
      <c r="P251" s="540"/>
      <c r="Q251" s="540"/>
      <c r="R251" s="540"/>
      <c r="S251" s="540"/>
      <c r="T251" s="906"/>
      <c r="U251" s="556"/>
    </row>
    <row r="252" spans="1:21" ht="15.5">
      <c r="A252" s="118"/>
      <c r="B252" s="91" t="str">
        <f>+'7A - Project ROE Adder'!K8</f>
        <v>Name</v>
      </c>
      <c r="C252" s="134"/>
      <c r="D252" s="91"/>
      <c r="E252" s="261"/>
      <c r="F252" s="766"/>
      <c r="G252" s="540"/>
      <c r="H252" s="540"/>
      <c r="I252" s="540"/>
      <c r="J252" s="540"/>
      <c r="K252" s="540"/>
      <c r="L252" s="540"/>
      <c r="M252" s="540"/>
      <c r="N252" s="540"/>
      <c r="O252" s="540"/>
      <c r="P252" s="540"/>
      <c r="Q252" s="540"/>
      <c r="R252" s="540"/>
      <c r="S252" s="540"/>
      <c r="T252" s="906"/>
      <c r="U252" s="556"/>
    </row>
    <row r="253" spans="1:21" ht="15.5">
      <c r="A253" s="118">
        <f>+A250+1</f>
        <v>94</v>
      </c>
      <c r="B253" s="91" t="s">
        <v>607</v>
      </c>
      <c r="C253" s="134"/>
      <c r="D253" s="91"/>
      <c r="E253" s="261">
        <v>206</v>
      </c>
      <c r="F253" s="766"/>
      <c r="G253" s="903">
        <v>0</v>
      </c>
      <c r="H253" s="904">
        <v>0</v>
      </c>
      <c r="I253" s="904">
        <v>0</v>
      </c>
      <c r="J253" s="904">
        <v>0</v>
      </c>
      <c r="K253" s="904">
        <v>0</v>
      </c>
      <c r="L253" s="904">
        <v>0</v>
      </c>
      <c r="M253" s="904">
        <v>0</v>
      </c>
      <c r="N253" s="904">
        <v>0</v>
      </c>
      <c r="O253" s="904">
        <v>0</v>
      </c>
      <c r="P253" s="904">
        <v>0</v>
      </c>
      <c r="Q253" s="904">
        <v>0</v>
      </c>
      <c r="R253" s="902">
        <v>0</v>
      </c>
      <c r="S253" s="902">
        <v>0</v>
      </c>
      <c r="T253" s="905">
        <f>+SUM(G253:S253)/13</f>
        <v>0</v>
      </c>
      <c r="U253" s="556"/>
    </row>
    <row r="254" spans="1:21" ht="15.5">
      <c r="A254" s="118">
        <f>+A253+1</f>
        <v>95</v>
      </c>
      <c r="B254" s="91" t="s">
        <v>32</v>
      </c>
      <c r="C254" s="134"/>
      <c r="D254" s="91"/>
      <c r="E254" s="261">
        <v>219</v>
      </c>
      <c r="F254" s="766"/>
      <c r="G254" s="903">
        <v>0</v>
      </c>
      <c r="H254" s="904">
        <v>0</v>
      </c>
      <c r="I254" s="904">
        <v>0</v>
      </c>
      <c r="J254" s="904">
        <v>0</v>
      </c>
      <c r="K254" s="904">
        <v>0</v>
      </c>
      <c r="L254" s="904">
        <v>0</v>
      </c>
      <c r="M254" s="904">
        <v>0</v>
      </c>
      <c r="N254" s="904">
        <v>0</v>
      </c>
      <c r="O254" s="904">
        <v>0</v>
      </c>
      <c r="P254" s="904">
        <v>0</v>
      </c>
      <c r="Q254" s="904">
        <v>0</v>
      </c>
      <c r="R254" s="902">
        <v>0</v>
      </c>
      <c r="S254" s="902">
        <v>0</v>
      </c>
      <c r="T254" s="905">
        <f t="shared" si="14" ref="T254">+SUM(G254:S254)/13</f>
        <v>0</v>
      </c>
      <c r="U254" s="556"/>
    </row>
    <row r="255" spans="1:21" ht="15.5">
      <c r="A255" s="118">
        <f>+A254+1</f>
        <v>96</v>
      </c>
      <c r="B255" s="91" t="s">
        <v>42</v>
      </c>
      <c r="C255" s="134"/>
      <c r="D255" s="91"/>
      <c r="E255" s="261">
        <v>274</v>
      </c>
      <c r="F255" s="766"/>
      <c r="G255" s="903">
        <v>0</v>
      </c>
      <c r="H255" s="117"/>
      <c r="I255" s="117"/>
      <c r="J255" s="117"/>
      <c r="K255" s="117"/>
      <c r="L255" s="117"/>
      <c r="M255" s="117"/>
      <c r="N255" s="117"/>
      <c r="O255" s="117"/>
      <c r="P255" s="117"/>
      <c r="Q255" s="117"/>
      <c r="R255" s="54"/>
      <c r="S255" s="902">
        <v>0</v>
      </c>
      <c r="T255" s="905">
        <f>+(G255+S255)/2</f>
        <v>0</v>
      </c>
      <c r="U255" s="556"/>
    </row>
    <row r="256" spans="1:21" ht="15.5">
      <c r="A256" s="556"/>
      <c r="B256" s="556"/>
      <c r="C256" s="556"/>
      <c r="D256" s="556"/>
      <c r="E256" s="261"/>
      <c r="G256" s="540"/>
      <c r="H256" s="540"/>
      <c r="I256" s="540"/>
      <c r="J256" s="540"/>
      <c r="K256" s="540"/>
      <c r="L256" s="540"/>
      <c r="M256" s="540"/>
      <c r="N256" s="540"/>
      <c r="O256" s="540"/>
      <c r="P256" s="540"/>
      <c r="Q256" s="540"/>
      <c r="R256" s="540"/>
      <c r="S256" s="540"/>
      <c r="T256" s="906"/>
      <c r="U256" s="556"/>
    </row>
    <row r="257" spans="1:21" ht="15.5">
      <c r="A257" s="118"/>
      <c r="B257" s="91" t="str">
        <f>+'7A - Project ROE Adder'!M8</f>
        <v>Name</v>
      </c>
      <c r="C257" s="134"/>
      <c r="D257" s="91"/>
      <c r="E257" s="261"/>
      <c r="F257" s="766"/>
      <c r="G257" s="540"/>
      <c r="H257" s="540"/>
      <c r="I257" s="540"/>
      <c r="J257" s="540"/>
      <c r="K257" s="540"/>
      <c r="L257" s="540"/>
      <c r="M257" s="540"/>
      <c r="N257" s="540"/>
      <c r="O257" s="540"/>
      <c r="P257" s="540"/>
      <c r="Q257" s="540"/>
      <c r="R257" s="540"/>
      <c r="S257" s="540"/>
      <c r="T257" s="906"/>
      <c r="U257" s="556"/>
    </row>
    <row r="258" spans="1:20" ht="15.5">
      <c r="A258" s="118">
        <f>+A255+1</f>
        <v>97</v>
      </c>
      <c r="B258" s="91" t="s">
        <v>607</v>
      </c>
      <c r="C258" s="134"/>
      <c r="D258" s="91"/>
      <c r="E258" s="261">
        <v>206</v>
      </c>
      <c r="F258" s="766"/>
      <c r="G258" s="903">
        <v>0</v>
      </c>
      <c r="H258" s="904">
        <v>0</v>
      </c>
      <c r="I258" s="904">
        <v>0</v>
      </c>
      <c r="J258" s="904">
        <v>0</v>
      </c>
      <c r="K258" s="904">
        <v>0</v>
      </c>
      <c r="L258" s="904">
        <v>0</v>
      </c>
      <c r="M258" s="904">
        <v>0</v>
      </c>
      <c r="N258" s="904">
        <v>0</v>
      </c>
      <c r="O258" s="904">
        <v>0</v>
      </c>
      <c r="P258" s="904">
        <v>0</v>
      </c>
      <c r="Q258" s="904">
        <v>0</v>
      </c>
      <c r="R258" s="902">
        <v>0</v>
      </c>
      <c r="S258" s="902">
        <v>0</v>
      </c>
      <c r="T258" s="905">
        <f>+SUM(G258:S258)/13</f>
        <v>0</v>
      </c>
    </row>
    <row r="259" spans="1:20" ht="15.5">
      <c r="A259" s="118">
        <f>+A258+1</f>
        <v>98</v>
      </c>
      <c r="B259" s="91" t="s">
        <v>32</v>
      </c>
      <c r="C259" s="134"/>
      <c r="D259" s="91"/>
      <c r="E259" s="261">
        <v>219</v>
      </c>
      <c r="F259" s="766"/>
      <c r="G259" s="903">
        <v>0</v>
      </c>
      <c r="H259" s="904">
        <v>0</v>
      </c>
      <c r="I259" s="904">
        <v>0</v>
      </c>
      <c r="J259" s="904">
        <v>0</v>
      </c>
      <c r="K259" s="904">
        <v>0</v>
      </c>
      <c r="L259" s="904">
        <v>0</v>
      </c>
      <c r="M259" s="904">
        <v>0</v>
      </c>
      <c r="N259" s="904">
        <v>0</v>
      </c>
      <c r="O259" s="904">
        <v>0</v>
      </c>
      <c r="P259" s="904">
        <v>0</v>
      </c>
      <c r="Q259" s="904">
        <v>0</v>
      </c>
      <c r="R259" s="902">
        <v>0</v>
      </c>
      <c r="S259" s="902">
        <v>0</v>
      </c>
      <c r="T259" s="905">
        <f t="shared" si="15" ref="T259">+SUM(G259:S259)/13</f>
        <v>0</v>
      </c>
    </row>
    <row r="260" spans="1:20" ht="15.5">
      <c r="A260" s="118">
        <f>+A259+1</f>
        <v>99</v>
      </c>
      <c r="B260" s="91" t="s">
        <v>42</v>
      </c>
      <c r="C260" s="134"/>
      <c r="D260" s="91"/>
      <c r="E260" s="261">
        <v>274</v>
      </c>
      <c r="F260" s="766"/>
      <c r="G260" s="903">
        <v>0</v>
      </c>
      <c r="H260" s="117"/>
      <c r="I260" s="117"/>
      <c r="J260" s="117"/>
      <c r="K260" s="117"/>
      <c r="L260" s="117"/>
      <c r="M260" s="117"/>
      <c r="N260" s="117"/>
      <c r="O260" s="117"/>
      <c r="P260" s="117"/>
      <c r="Q260" s="117"/>
      <c r="R260" s="54"/>
      <c r="S260" s="902">
        <v>0</v>
      </c>
      <c r="T260" s="905">
        <f>+(G260+S260)/2</f>
        <v>0</v>
      </c>
    </row>
    <row r="261" spans="1:20" ht="15.5">
      <c r="A261" s="556"/>
      <c r="B261" s="556"/>
      <c r="C261" s="556"/>
      <c r="D261" s="556"/>
      <c r="E261" s="261"/>
      <c r="G261" s="540"/>
      <c r="H261" s="540"/>
      <c r="I261" s="540"/>
      <c r="J261" s="540"/>
      <c r="K261" s="540"/>
      <c r="L261" s="540"/>
      <c r="M261" s="540"/>
      <c r="N261" s="540"/>
      <c r="O261" s="540"/>
      <c r="P261" s="540"/>
      <c r="Q261" s="540"/>
      <c r="R261" s="540"/>
      <c r="S261" s="540"/>
      <c r="T261" s="906"/>
    </row>
    <row r="262" spans="1:20" ht="15.5">
      <c r="A262" s="118"/>
      <c r="B262" s="91" t="str">
        <f>+'7A - Project ROE Adder'!O8</f>
        <v>Name</v>
      </c>
      <c r="C262" s="134"/>
      <c r="D262" s="91"/>
      <c r="E262" s="261"/>
      <c r="F262" s="766"/>
      <c r="G262" s="540"/>
      <c r="H262" s="540"/>
      <c r="I262" s="540"/>
      <c r="J262" s="540"/>
      <c r="K262" s="540"/>
      <c r="L262" s="540"/>
      <c r="M262" s="540"/>
      <c r="N262" s="540"/>
      <c r="O262" s="540"/>
      <c r="P262" s="540"/>
      <c r="Q262" s="540"/>
      <c r="R262" s="540"/>
      <c r="S262" s="540"/>
      <c r="T262" s="906"/>
    </row>
    <row r="263" spans="1:20" ht="15.5">
      <c r="A263" s="118">
        <f>+A260+1</f>
        <v>100</v>
      </c>
      <c r="B263" s="91" t="s">
        <v>607</v>
      </c>
      <c r="C263" s="134"/>
      <c r="D263" s="91"/>
      <c r="E263" s="261">
        <v>206</v>
      </c>
      <c r="F263" s="766"/>
      <c r="G263" s="903">
        <v>0</v>
      </c>
      <c r="H263" s="904">
        <v>0</v>
      </c>
      <c r="I263" s="904">
        <v>0</v>
      </c>
      <c r="J263" s="904">
        <v>0</v>
      </c>
      <c r="K263" s="904">
        <v>0</v>
      </c>
      <c r="L263" s="904">
        <v>0</v>
      </c>
      <c r="M263" s="904">
        <v>0</v>
      </c>
      <c r="N263" s="904">
        <v>0</v>
      </c>
      <c r="O263" s="904">
        <v>0</v>
      </c>
      <c r="P263" s="904">
        <v>0</v>
      </c>
      <c r="Q263" s="904">
        <v>0</v>
      </c>
      <c r="R263" s="902">
        <v>0</v>
      </c>
      <c r="S263" s="902">
        <v>0</v>
      </c>
      <c r="T263" s="905">
        <f>+SUM(G263:S263)/13</f>
        <v>0</v>
      </c>
    </row>
    <row r="264" spans="1:20" ht="15.5">
      <c r="A264" s="118">
        <f>+A263+1</f>
        <v>101</v>
      </c>
      <c r="B264" s="91" t="s">
        <v>32</v>
      </c>
      <c r="C264" s="134"/>
      <c r="D264" s="91"/>
      <c r="E264" s="261">
        <v>219</v>
      </c>
      <c r="F264" s="766"/>
      <c r="G264" s="903">
        <v>0</v>
      </c>
      <c r="H264" s="904">
        <v>0</v>
      </c>
      <c r="I264" s="904">
        <v>0</v>
      </c>
      <c r="J264" s="904">
        <v>0</v>
      </c>
      <c r="K264" s="904">
        <v>0</v>
      </c>
      <c r="L264" s="904">
        <v>0</v>
      </c>
      <c r="M264" s="904">
        <v>0</v>
      </c>
      <c r="N264" s="904">
        <v>0</v>
      </c>
      <c r="O264" s="904">
        <v>0</v>
      </c>
      <c r="P264" s="904">
        <v>0</v>
      </c>
      <c r="Q264" s="904">
        <v>0</v>
      </c>
      <c r="R264" s="902">
        <v>0</v>
      </c>
      <c r="S264" s="902">
        <v>0</v>
      </c>
      <c r="T264" s="905">
        <f t="shared" si="16" ref="T264">+SUM(G264:S264)/13</f>
        <v>0</v>
      </c>
    </row>
    <row r="265" spans="1:20" ht="15.5">
      <c r="A265" s="118">
        <f>+A264+1</f>
        <v>102</v>
      </c>
      <c r="B265" s="91" t="s">
        <v>42</v>
      </c>
      <c r="C265" s="134"/>
      <c r="D265" s="91"/>
      <c r="E265" s="261">
        <v>274</v>
      </c>
      <c r="F265" s="766"/>
      <c r="G265" s="903">
        <v>0</v>
      </c>
      <c r="H265" s="117"/>
      <c r="I265" s="117"/>
      <c r="J265" s="117"/>
      <c r="K265" s="117"/>
      <c r="L265" s="117"/>
      <c r="M265" s="117"/>
      <c r="N265" s="117"/>
      <c r="O265" s="117"/>
      <c r="P265" s="117"/>
      <c r="Q265" s="117"/>
      <c r="R265" s="54"/>
      <c r="S265" s="902">
        <v>0</v>
      </c>
      <c r="T265" s="905">
        <f>+(G265+S265)/2</f>
        <v>0</v>
      </c>
    </row>
    <row r="266" spans="1:20" ht="15.5">
      <c r="A266" s="556"/>
      <c r="B266" s="556"/>
      <c r="C266" s="556"/>
      <c r="D266" s="556"/>
      <c r="E266" s="261"/>
      <c r="G266" s="540"/>
      <c r="H266" s="540"/>
      <c r="I266" s="540"/>
      <c r="J266" s="540"/>
      <c r="K266" s="540"/>
      <c r="L266" s="540"/>
      <c r="M266" s="540"/>
      <c r="N266" s="540"/>
      <c r="O266" s="540"/>
      <c r="P266" s="540"/>
      <c r="Q266" s="540"/>
      <c r="R266" s="540"/>
      <c r="S266" s="540"/>
      <c r="T266" s="906"/>
    </row>
    <row r="267" spans="1:20" ht="15.5">
      <c r="A267" s="118"/>
      <c r="B267" s="91" t="str">
        <f>+'7A - Project ROE Adder'!Q8</f>
        <v>Name</v>
      </c>
      <c r="C267" s="134"/>
      <c r="D267" s="91"/>
      <c r="E267" s="261"/>
      <c r="F267" s="766"/>
      <c r="G267" s="540"/>
      <c r="H267" s="540"/>
      <c r="I267" s="540"/>
      <c r="J267" s="540"/>
      <c r="K267" s="540"/>
      <c r="L267" s="540"/>
      <c r="M267" s="540"/>
      <c r="N267" s="540"/>
      <c r="O267" s="540"/>
      <c r="P267" s="540"/>
      <c r="Q267" s="540"/>
      <c r="R267" s="540"/>
      <c r="S267" s="540"/>
      <c r="T267" s="906"/>
    </row>
    <row r="268" spans="1:20" ht="15.5">
      <c r="A268" s="118">
        <f>+A265+1</f>
        <v>103</v>
      </c>
      <c r="B268" s="91" t="s">
        <v>607</v>
      </c>
      <c r="C268" s="134"/>
      <c r="D268" s="91"/>
      <c r="E268" s="261">
        <v>206</v>
      </c>
      <c r="F268" s="766"/>
      <c r="G268" s="903">
        <v>0</v>
      </c>
      <c r="H268" s="904">
        <v>0</v>
      </c>
      <c r="I268" s="904">
        <v>0</v>
      </c>
      <c r="J268" s="904">
        <v>0</v>
      </c>
      <c r="K268" s="904">
        <v>0</v>
      </c>
      <c r="L268" s="904">
        <v>0</v>
      </c>
      <c r="M268" s="904">
        <v>0</v>
      </c>
      <c r="N268" s="904">
        <v>0</v>
      </c>
      <c r="O268" s="904">
        <v>0</v>
      </c>
      <c r="P268" s="904">
        <v>0</v>
      </c>
      <c r="Q268" s="904">
        <v>0</v>
      </c>
      <c r="R268" s="902">
        <v>0</v>
      </c>
      <c r="S268" s="902">
        <v>0</v>
      </c>
      <c r="T268" s="905">
        <f>+SUM(G268:S268)/13</f>
        <v>0</v>
      </c>
    </row>
    <row r="269" spans="1:20" ht="15.5">
      <c r="A269" s="118">
        <f>+A268+1</f>
        <v>104</v>
      </c>
      <c r="B269" s="91" t="s">
        <v>32</v>
      </c>
      <c r="C269" s="134"/>
      <c r="D269" s="91"/>
      <c r="E269" s="261">
        <v>219</v>
      </c>
      <c r="F269" s="766"/>
      <c r="G269" s="903">
        <v>0</v>
      </c>
      <c r="H269" s="904">
        <v>0</v>
      </c>
      <c r="I269" s="904">
        <v>0</v>
      </c>
      <c r="J269" s="904">
        <v>0</v>
      </c>
      <c r="K269" s="904">
        <v>0</v>
      </c>
      <c r="L269" s="904">
        <v>0</v>
      </c>
      <c r="M269" s="904">
        <v>0</v>
      </c>
      <c r="N269" s="904">
        <v>0</v>
      </c>
      <c r="O269" s="904">
        <v>0</v>
      </c>
      <c r="P269" s="904">
        <v>0</v>
      </c>
      <c r="Q269" s="904">
        <v>0</v>
      </c>
      <c r="R269" s="902">
        <v>0</v>
      </c>
      <c r="S269" s="902">
        <v>0</v>
      </c>
      <c r="T269" s="905">
        <f t="shared" si="17" ref="T269">+SUM(G269:S269)/13</f>
        <v>0</v>
      </c>
    </row>
    <row r="270" spans="1:20" ht="15.5">
      <c r="A270" s="118">
        <f>+A269+1</f>
        <v>105</v>
      </c>
      <c r="B270" s="91" t="s">
        <v>42</v>
      </c>
      <c r="C270" s="134"/>
      <c r="D270" s="91"/>
      <c r="E270" s="261">
        <v>274</v>
      </c>
      <c r="F270" s="766"/>
      <c r="G270" s="903">
        <v>0</v>
      </c>
      <c r="H270" s="117"/>
      <c r="I270" s="117"/>
      <c r="J270" s="117"/>
      <c r="K270" s="117"/>
      <c r="L270" s="117"/>
      <c r="M270" s="117"/>
      <c r="N270" s="117"/>
      <c r="O270" s="117"/>
      <c r="P270" s="117"/>
      <c r="Q270" s="117"/>
      <c r="R270" s="54"/>
      <c r="S270" s="902">
        <v>0</v>
      </c>
      <c r="T270" s="905">
        <f>+(G270+S270)/2</f>
        <v>0</v>
      </c>
    </row>
    <row r="271" spans="1:20" ht="15.5">
      <c r="A271" s="556"/>
      <c r="B271" s="556"/>
      <c r="C271" s="556"/>
      <c r="D271" s="556"/>
      <c r="E271" s="261"/>
      <c r="G271" s="540"/>
      <c r="H271" s="540"/>
      <c r="I271" s="540"/>
      <c r="J271" s="540"/>
      <c r="K271" s="540"/>
      <c r="L271" s="540"/>
      <c r="M271" s="540"/>
      <c r="N271" s="540"/>
      <c r="O271" s="540"/>
      <c r="P271" s="540"/>
      <c r="Q271" s="540"/>
      <c r="R271" s="540"/>
      <c r="S271" s="540"/>
      <c r="T271" s="906"/>
    </row>
    <row r="272" spans="1:20" ht="15.5">
      <c r="A272" s="118"/>
      <c r="B272" s="91" t="str">
        <f>+'7A - Project ROE Adder'!S8</f>
        <v>Name</v>
      </c>
      <c r="C272" s="134"/>
      <c r="D272" s="91"/>
      <c r="E272" s="261"/>
      <c r="F272" s="766"/>
      <c r="G272" s="540"/>
      <c r="H272" s="540"/>
      <c r="I272" s="540"/>
      <c r="J272" s="540"/>
      <c r="K272" s="540"/>
      <c r="L272" s="540"/>
      <c r="M272" s="540"/>
      <c r="N272" s="540"/>
      <c r="O272" s="540"/>
      <c r="P272" s="540"/>
      <c r="Q272" s="540"/>
      <c r="R272" s="540"/>
      <c r="S272" s="540"/>
      <c r="T272" s="906"/>
    </row>
    <row r="273" spans="1:20" ht="15.5">
      <c r="A273" s="118">
        <f>+A270+1</f>
        <v>106</v>
      </c>
      <c r="B273" s="91" t="s">
        <v>607</v>
      </c>
      <c r="C273" s="134"/>
      <c r="D273" s="91"/>
      <c r="E273" s="261">
        <v>206</v>
      </c>
      <c r="F273" s="766"/>
      <c r="G273" s="903">
        <v>0</v>
      </c>
      <c r="H273" s="904">
        <v>0</v>
      </c>
      <c r="I273" s="904">
        <v>0</v>
      </c>
      <c r="J273" s="904">
        <v>0</v>
      </c>
      <c r="K273" s="904">
        <v>0</v>
      </c>
      <c r="L273" s="904">
        <v>0</v>
      </c>
      <c r="M273" s="904">
        <v>0</v>
      </c>
      <c r="N273" s="904">
        <v>0</v>
      </c>
      <c r="O273" s="904">
        <v>0</v>
      </c>
      <c r="P273" s="904">
        <v>0</v>
      </c>
      <c r="Q273" s="904">
        <v>0</v>
      </c>
      <c r="R273" s="902">
        <v>0</v>
      </c>
      <c r="S273" s="902">
        <v>0</v>
      </c>
      <c r="T273" s="905">
        <f>+SUM(G273:S273)/13</f>
        <v>0</v>
      </c>
    </row>
    <row r="274" spans="1:20" ht="15.5">
      <c r="A274" s="118">
        <f>+A273+1</f>
        <v>107</v>
      </c>
      <c r="B274" s="91" t="s">
        <v>32</v>
      </c>
      <c r="C274" s="134"/>
      <c r="D274" s="91"/>
      <c r="E274" s="261">
        <v>219</v>
      </c>
      <c r="F274" s="766"/>
      <c r="G274" s="903">
        <v>0</v>
      </c>
      <c r="H274" s="904">
        <v>0</v>
      </c>
      <c r="I274" s="904">
        <v>0</v>
      </c>
      <c r="J274" s="904">
        <v>0</v>
      </c>
      <c r="K274" s="904">
        <v>0</v>
      </c>
      <c r="L274" s="904">
        <v>0</v>
      </c>
      <c r="M274" s="904">
        <v>0</v>
      </c>
      <c r="N274" s="904">
        <v>0</v>
      </c>
      <c r="O274" s="904">
        <v>0</v>
      </c>
      <c r="P274" s="904">
        <v>0</v>
      </c>
      <c r="Q274" s="904">
        <v>0</v>
      </c>
      <c r="R274" s="902">
        <v>0</v>
      </c>
      <c r="S274" s="902">
        <v>0</v>
      </c>
      <c r="T274" s="905">
        <f t="shared" si="18" ref="T274">+SUM(G274:S274)/13</f>
        <v>0</v>
      </c>
    </row>
    <row r="275" spans="1:20" ht="15.5">
      <c r="A275" s="118">
        <f>+A274+1</f>
        <v>108</v>
      </c>
      <c r="B275" s="91" t="s">
        <v>42</v>
      </c>
      <c r="C275" s="134"/>
      <c r="D275" s="91"/>
      <c r="E275" s="261">
        <v>274</v>
      </c>
      <c r="F275" s="766"/>
      <c r="G275" s="903">
        <v>0</v>
      </c>
      <c r="H275" s="117"/>
      <c r="I275" s="117"/>
      <c r="J275" s="117"/>
      <c r="K275" s="117"/>
      <c r="L275" s="117"/>
      <c r="M275" s="117"/>
      <c r="N275" s="117"/>
      <c r="O275" s="117"/>
      <c r="P275" s="117"/>
      <c r="Q275" s="117"/>
      <c r="R275" s="54"/>
      <c r="S275" s="902">
        <v>0</v>
      </c>
      <c r="T275" s="905">
        <f>+(G275+S275)/2</f>
        <v>0</v>
      </c>
    </row>
    <row r="276" spans="1:20" ht="15.5">
      <c r="A276" s="556"/>
      <c r="B276" s="556"/>
      <c r="C276" s="556"/>
      <c r="D276" s="556"/>
      <c r="E276" s="261"/>
      <c r="G276" s="540"/>
      <c r="H276" s="540"/>
      <c r="I276" s="540"/>
      <c r="J276" s="540"/>
      <c r="K276" s="540"/>
      <c r="L276" s="540"/>
      <c r="M276" s="540"/>
      <c r="N276" s="540"/>
      <c r="O276" s="540"/>
      <c r="P276" s="540"/>
      <c r="Q276" s="540"/>
      <c r="R276" s="540"/>
      <c r="S276" s="540"/>
      <c r="T276" s="906"/>
    </row>
    <row r="277" spans="1:20" ht="15.5">
      <c r="A277" s="118"/>
      <c r="B277" s="91" t="str">
        <f>+'7A - Project ROE Adder'!U8</f>
        <v>Name</v>
      </c>
      <c r="C277" s="134"/>
      <c r="D277" s="91"/>
      <c r="E277" s="261"/>
      <c r="F277" s="766"/>
      <c r="G277" s="540"/>
      <c r="H277" s="540"/>
      <c r="I277" s="540"/>
      <c r="J277" s="540"/>
      <c r="K277" s="540"/>
      <c r="L277" s="540"/>
      <c r="M277" s="540"/>
      <c r="N277" s="540"/>
      <c r="O277" s="540"/>
      <c r="P277" s="540"/>
      <c r="Q277" s="540"/>
      <c r="R277" s="540"/>
      <c r="S277" s="540"/>
      <c r="T277" s="906"/>
    </row>
    <row r="278" spans="1:20" ht="15.5">
      <c r="A278" s="118">
        <f>+A275+1</f>
        <v>109</v>
      </c>
      <c r="B278" s="91" t="s">
        <v>607</v>
      </c>
      <c r="C278" s="134"/>
      <c r="D278" s="91"/>
      <c r="E278" s="261">
        <v>206</v>
      </c>
      <c r="F278" s="766"/>
      <c r="G278" s="903">
        <v>0</v>
      </c>
      <c r="H278" s="904">
        <v>0</v>
      </c>
      <c r="I278" s="904">
        <v>0</v>
      </c>
      <c r="J278" s="904">
        <v>0</v>
      </c>
      <c r="K278" s="904">
        <v>0</v>
      </c>
      <c r="L278" s="904">
        <v>0</v>
      </c>
      <c r="M278" s="904">
        <v>0</v>
      </c>
      <c r="N278" s="904">
        <v>0</v>
      </c>
      <c r="O278" s="904">
        <v>0</v>
      </c>
      <c r="P278" s="904">
        <v>0</v>
      </c>
      <c r="Q278" s="904">
        <v>0</v>
      </c>
      <c r="R278" s="902">
        <v>0</v>
      </c>
      <c r="S278" s="902">
        <v>0</v>
      </c>
      <c r="T278" s="905">
        <f>+SUM(G278:S278)/13</f>
        <v>0</v>
      </c>
    </row>
    <row r="279" spans="1:20" ht="15.5">
      <c r="A279" s="118">
        <f>+A278+1</f>
        <v>110</v>
      </c>
      <c r="B279" s="91" t="s">
        <v>32</v>
      </c>
      <c r="C279" s="134"/>
      <c r="D279" s="91"/>
      <c r="E279" s="261">
        <v>219</v>
      </c>
      <c r="F279" s="766"/>
      <c r="G279" s="903">
        <v>0</v>
      </c>
      <c r="H279" s="904">
        <v>0</v>
      </c>
      <c r="I279" s="904">
        <v>0</v>
      </c>
      <c r="J279" s="904">
        <v>0</v>
      </c>
      <c r="K279" s="904">
        <v>0</v>
      </c>
      <c r="L279" s="904">
        <v>0</v>
      </c>
      <c r="M279" s="904">
        <v>0</v>
      </c>
      <c r="N279" s="904">
        <v>0</v>
      </c>
      <c r="O279" s="904">
        <v>0</v>
      </c>
      <c r="P279" s="904">
        <v>0</v>
      </c>
      <c r="Q279" s="904">
        <v>0</v>
      </c>
      <c r="R279" s="902">
        <v>0</v>
      </c>
      <c r="S279" s="902">
        <v>0</v>
      </c>
      <c r="T279" s="905">
        <f t="shared" si="19" ref="T279">+SUM(G279:S279)/13</f>
        <v>0</v>
      </c>
    </row>
    <row r="280" spans="1:20" ht="15.5">
      <c r="A280" s="118">
        <f>+A279+1</f>
        <v>111</v>
      </c>
      <c r="B280" s="91" t="s">
        <v>42</v>
      </c>
      <c r="C280" s="134"/>
      <c r="D280" s="91"/>
      <c r="E280" s="261">
        <v>274</v>
      </c>
      <c r="F280" s="766"/>
      <c r="G280" s="903">
        <v>0</v>
      </c>
      <c r="H280" s="117"/>
      <c r="I280" s="117"/>
      <c r="J280" s="117"/>
      <c r="K280" s="117"/>
      <c r="L280" s="117"/>
      <c r="M280" s="117"/>
      <c r="N280" s="117"/>
      <c r="O280" s="117"/>
      <c r="P280" s="117"/>
      <c r="Q280" s="117"/>
      <c r="R280" s="54"/>
      <c r="S280" s="902">
        <v>0</v>
      </c>
      <c r="T280" s="905">
        <f>+(G280+S280)/2</f>
        <v>0</v>
      </c>
    </row>
    <row r="281" spans="1:20" ht="15.5">
      <c r="A281" s="556"/>
      <c r="B281" s="556"/>
      <c r="C281" s="556"/>
      <c r="D281" s="556"/>
      <c r="E281" s="261"/>
      <c r="G281" s="540"/>
      <c r="H281" s="540"/>
      <c r="I281" s="540"/>
      <c r="J281" s="540"/>
      <c r="K281" s="540"/>
      <c r="L281" s="540"/>
      <c r="M281" s="540"/>
      <c r="N281" s="540"/>
      <c r="O281" s="540"/>
      <c r="P281" s="540"/>
      <c r="Q281" s="540"/>
      <c r="R281" s="540"/>
      <c r="S281" s="540"/>
      <c r="T281" s="906"/>
    </row>
    <row r="282" spans="1:20" ht="15.5">
      <c r="A282" s="118"/>
      <c r="B282" s="91" t="str">
        <f>+'7A - Project ROE Adder'!W8</f>
        <v>Name</v>
      </c>
      <c r="C282" s="134"/>
      <c r="D282" s="91"/>
      <c r="E282" s="261"/>
      <c r="F282" s="766"/>
      <c r="G282" s="540"/>
      <c r="H282" s="540"/>
      <c r="I282" s="540"/>
      <c r="J282" s="540"/>
      <c r="K282" s="540"/>
      <c r="L282" s="540"/>
      <c r="M282" s="540"/>
      <c r="N282" s="540"/>
      <c r="O282" s="540"/>
      <c r="P282" s="540"/>
      <c r="Q282" s="540"/>
      <c r="R282" s="540"/>
      <c r="S282" s="540"/>
      <c r="T282" s="906"/>
    </row>
    <row r="283" spans="1:20" ht="15.5">
      <c r="A283" s="118">
        <f>+A280+1</f>
        <v>112</v>
      </c>
      <c r="B283" s="91" t="s">
        <v>607</v>
      </c>
      <c r="C283" s="134"/>
      <c r="D283" s="91"/>
      <c r="E283" s="261">
        <v>206</v>
      </c>
      <c r="F283" s="766"/>
      <c r="G283" s="903">
        <v>0</v>
      </c>
      <c r="H283" s="904">
        <v>0</v>
      </c>
      <c r="I283" s="904">
        <v>0</v>
      </c>
      <c r="J283" s="904">
        <v>0</v>
      </c>
      <c r="K283" s="904">
        <v>0</v>
      </c>
      <c r="L283" s="904">
        <v>0</v>
      </c>
      <c r="M283" s="904">
        <v>0</v>
      </c>
      <c r="N283" s="904">
        <v>0</v>
      </c>
      <c r="O283" s="904">
        <v>0</v>
      </c>
      <c r="P283" s="904">
        <v>0</v>
      </c>
      <c r="Q283" s="904">
        <v>0</v>
      </c>
      <c r="R283" s="902">
        <v>0</v>
      </c>
      <c r="S283" s="902">
        <v>0</v>
      </c>
      <c r="T283" s="905">
        <f>+SUM(G283:S283)/13</f>
        <v>0</v>
      </c>
    </row>
    <row r="284" spans="1:20" ht="15.5">
      <c r="A284" s="118">
        <f>+A283+1</f>
        <v>113</v>
      </c>
      <c r="B284" s="91" t="s">
        <v>32</v>
      </c>
      <c r="C284" s="134"/>
      <c r="D284" s="91"/>
      <c r="E284" s="261">
        <v>219</v>
      </c>
      <c r="F284" s="766"/>
      <c r="G284" s="903">
        <v>0</v>
      </c>
      <c r="H284" s="904">
        <v>0</v>
      </c>
      <c r="I284" s="904">
        <v>0</v>
      </c>
      <c r="J284" s="904">
        <v>0</v>
      </c>
      <c r="K284" s="904">
        <v>0</v>
      </c>
      <c r="L284" s="904">
        <v>0</v>
      </c>
      <c r="M284" s="904">
        <v>0</v>
      </c>
      <c r="N284" s="904">
        <v>0</v>
      </c>
      <c r="O284" s="904">
        <v>0</v>
      </c>
      <c r="P284" s="904">
        <v>0</v>
      </c>
      <c r="Q284" s="904">
        <v>0</v>
      </c>
      <c r="R284" s="902">
        <v>0</v>
      </c>
      <c r="S284" s="902">
        <v>0</v>
      </c>
      <c r="T284" s="905">
        <f t="shared" si="20" ref="T284">+SUM(G284:S284)/13</f>
        <v>0</v>
      </c>
    </row>
    <row r="285" spans="1:20" ht="15.5">
      <c r="A285" s="118">
        <f>+A284+1</f>
        <v>114</v>
      </c>
      <c r="B285" s="91" t="s">
        <v>42</v>
      </c>
      <c r="C285" s="134"/>
      <c r="D285" s="91"/>
      <c r="E285" s="261">
        <v>274</v>
      </c>
      <c r="F285" s="766"/>
      <c r="G285" s="903">
        <v>0</v>
      </c>
      <c r="H285" s="117"/>
      <c r="I285" s="117"/>
      <c r="J285" s="117"/>
      <c r="K285" s="117"/>
      <c r="L285" s="117"/>
      <c r="M285" s="117"/>
      <c r="N285" s="117"/>
      <c r="O285" s="117"/>
      <c r="P285" s="117"/>
      <c r="Q285" s="117"/>
      <c r="R285" s="54"/>
      <c r="S285" s="902">
        <v>0</v>
      </c>
      <c r="T285" s="905">
        <f>+(G285+S285)/2</f>
        <v>0</v>
      </c>
    </row>
    <row r="286" spans="1:20" ht="15.5">
      <c r="A286" s="556"/>
      <c r="B286" s="556"/>
      <c r="C286" s="556"/>
      <c r="D286" s="556"/>
      <c r="E286" s="261"/>
      <c r="G286" s="540"/>
      <c r="H286" s="540"/>
      <c r="I286" s="540"/>
      <c r="J286" s="540"/>
      <c r="K286" s="540"/>
      <c r="L286" s="540"/>
      <c r="M286" s="540"/>
      <c r="N286" s="540"/>
      <c r="O286" s="540"/>
      <c r="P286" s="540"/>
      <c r="Q286" s="540"/>
      <c r="R286" s="540"/>
      <c r="S286" s="540"/>
      <c r="T286" s="906"/>
    </row>
    <row r="287" spans="1:20" ht="15.5">
      <c r="A287" s="118"/>
      <c r="B287" s="91" t="str">
        <f>+'7A - Project ROE Adder'!Y8</f>
        <v>Name</v>
      </c>
      <c r="C287" s="134"/>
      <c r="D287" s="91"/>
      <c r="E287" s="261"/>
      <c r="F287" s="766"/>
      <c r="G287" s="540"/>
      <c r="H287" s="540"/>
      <c r="I287" s="540"/>
      <c r="J287" s="540"/>
      <c r="K287" s="540"/>
      <c r="L287" s="540"/>
      <c r="M287" s="540"/>
      <c r="N287" s="540"/>
      <c r="O287" s="540"/>
      <c r="P287" s="540"/>
      <c r="Q287" s="540"/>
      <c r="R287" s="540"/>
      <c r="S287" s="540"/>
      <c r="T287" s="906"/>
    </row>
    <row r="288" spans="1:20" ht="15.5">
      <c r="A288" s="118">
        <f>+A285+1</f>
        <v>115</v>
      </c>
      <c r="B288" s="91" t="s">
        <v>607</v>
      </c>
      <c r="C288" s="134"/>
      <c r="D288" s="91"/>
      <c r="E288" s="261">
        <v>206</v>
      </c>
      <c r="F288" s="766"/>
      <c r="G288" s="903">
        <v>0</v>
      </c>
      <c r="H288" s="904">
        <v>0</v>
      </c>
      <c r="I288" s="904">
        <v>0</v>
      </c>
      <c r="J288" s="904">
        <v>0</v>
      </c>
      <c r="K288" s="904">
        <v>0</v>
      </c>
      <c r="L288" s="904">
        <v>0</v>
      </c>
      <c r="M288" s="904">
        <v>0</v>
      </c>
      <c r="N288" s="904">
        <v>0</v>
      </c>
      <c r="O288" s="904">
        <v>0</v>
      </c>
      <c r="P288" s="904">
        <v>0</v>
      </c>
      <c r="Q288" s="904">
        <v>0</v>
      </c>
      <c r="R288" s="902">
        <v>0</v>
      </c>
      <c r="S288" s="902">
        <v>0</v>
      </c>
      <c r="T288" s="905">
        <f>+SUM(G288:S288)/13</f>
        <v>0</v>
      </c>
    </row>
    <row r="289" spans="1:20" ht="15.5">
      <c r="A289" s="118">
        <f>+A288+1</f>
        <v>116</v>
      </c>
      <c r="B289" s="91" t="s">
        <v>32</v>
      </c>
      <c r="C289" s="134"/>
      <c r="D289" s="91"/>
      <c r="E289" s="261">
        <v>219</v>
      </c>
      <c r="F289" s="766"/>
      <c r="G289" s="903">
        <v>0</v>
      </c>
      <c r="H289" s="904">
        <v>0</v>
      </c>
      <c r="I289" s="904">
        <v>0</v>
      </c>
      <c r="J289" s="904">
        <v>0</v>
      </c>
      <c r="K289" s="904">
        <v>0</v>
      </c>
      <c r="L289" s="904">
        <v>0</v>
      </c>
      <c r="M289" s="904">
        <v>0</v>
      </c>
      <c r="N289" s="904">
        <v>0</v>
      </c>
      <c r="O289" s="904">
        <v>0</v>
      </c>
      <c r="P289" s="904">
        <v>0</v>
      </c>
      <c r="Q289" s="904">
        <v>0</v>
      </c>
      <c r="R289" s="902">
        <v>0</v>
      </c>
      <c r="S289" s="902">
        <v>0</v>
      </c>
      <c r="T289" s="905">
        <f t="shared" si="21" ref="T289">+SUM(G289:S289)/13</f>
        <v>0</v>
      </c>
    </row>
    <row r="290" spans="1:21" ht="15.5">
      <c r="A290" s="118">
        <f>+A289+1</f>
        <v>117</v>
      </c>
      <c r="B290" s="91" t="s">
        <v>42</v>
      </c>
      <c r="C290" s="134"/>
      <c r="D290" s="91"/>
      <c r="E290" s="261">
        <v>274</v>
      </c>
      <c r="F290" s="766"/>
      <c r="G290" s="903">
        <v>0</v>
      </c>
      <c r="H290" s="117"/>
      <c r="I290" s="117"/>
      <c r="J290" s="117"/>
      <c r="K290" s="117"/>
      <c r="L290" s="117"/>
      <c r="M290" s="117"/>
      <c r="N290" s="117"/>
      <c r="O290" s="117"/>
      <c r="P290" s="117"/>
      <c r="Q290" s="117"/>
      <c r="R290" s="54"/>
      <c r="S290" s="902">
        <v>0</v>
      </c>
      <c r="T290" s="905">
        <f>+(G290+S290)/2</f>
        <v>0</v>
      </c>
      <c r="U290" s="556"/>
    </row>
    <row r="291" spans="1:21" ht="16" thickBot="1">
      <c r="A291" s="144"/>
      <c r="B291" s="144"/>
      <c r="C291" s="144"/>
      <c r="D291" s="144"/>
      <c r="E291" s="144"/>
      <c r="F291" s="144"/>
      <c r="G291" s="144"/>
      <c r="H291" s="144"/>
      <c r="I291" s="144"/>
      <c r="J291" s="144"/>
      <c r="K291" s="144"/>
      <c r="L291" s="144"/>
      <c r="M291" s="144"/>
      <c r="N291" s="144"/>
      <c r="O291" s="144"/>
      <c r="P291" s="144"/>
      <c r="Q291" s="144"/>
      <c r="R291" s="144"/>
      <c r="S291" s="144"/>
      <c r="T291" s="1044"/>
      <c r="U291" s="556"/>
    </row>
    <row r="292" spans="1:21" ht="18" thickBot="1">
      <c r="A292" s="556"/>
      <c r="B292" s="556"/>
      <c r="C292" s="556"/>
      <c r="D292" s="556"/>
      <c r="E292" s="556"/>
      <c r="G292" s="556"/>
      <c r="H292" s="556"/>
      <c r="I292" s="556"/>
      <c r="J292" s="556"/>
      <c r="K292" s="556"/>
      <c r="L292" s="556"/>
      <c r="M292" s="556"/>
      <c r="N292" s="556"/>
      <c r="O292" s="556"/>
      <c r="P292" s="556"/>
      <c r="Q292" s="556"/>
      <c r="R292" s="556"/>
      <c r="S292" s="556"/>
      <c r="T292" s="556"/>
      <c r="U292" s="925"/>
    </row>
    <row r="293" spans="1:21" ht="16" thickBot="1">
      <c r="A293" s="280" t="s">
        <v>608</v>
      </c>
      <c r="B293" s="556"/>
      <c r="C293" s="556"/>
      <c r="D293" s="556"/>
      <c r="E293" s="556"/>
      <c r="G293" s="274" t="s">
        <v>447</v>
      </c>
      <c r="H293" s="1181" t="s">
        <v>606</v>
      </c>
      <c r="I293" s="1182"/>
      <c r="J293" s="1182"/>
      <c r="K293" s="1182"/>
      <c r="L293" s="1182"/>
      <c r="M293" s="1182"/>
      <c r="N293" s="1182"/>
      <c r="O293" s="1182"/>
      <c r="P293" s="1182"/>
      <c r="Q293" s="1182"/>
      <c r="R293" s="1182"/>
      <c r="S293" s="1183"/>
      <c r="T293" s="91"/>
      <c r="U293" s="556"/>
    </row>
    <row r="294" spans="1:21" ht="31.5" thickBot="1">
      <c r="A294" s="104" t="s">
        <v>448</v>
      </c>
      <c r="B294" s="105" t="s">
        <v>449</v>
      </c>
      <c r="C294" s="105"/>
      <c r="D294" s="105"/>
      <c r="E294" s="107" t="s">
        <v>450</v>
      </c>
      <c r="F294" s="1026" t="s">
        <v>451</v>
      </c>
      <c r="G294" s="776" t="s">
        <v>452</v>
      </c>
      <c r="H294" s="106" t="s">
        <v>453</v>
      </c>
      <c r="I294" s="106" t="s">
        <v>454</v>
      </c>
      <c r="J294" s="106" t="s">
        <v>455</v>
      </c>
      <c r="K294" s="106" t="s">
        <v>456</v>
      </c>
      <c r="L294" s="106" t="s">
        <v>336</v>
      </c>
      <c r="M294" s="106" t="s">
        <v>457</v>
      </c>
      <c r="N294" s="106" t="s">
        <v>458</v>
      </c>
      <c r="O294" s="106" t="s">
        <v>459</v>
      </c>
      <c r="P294" s="106" t="s">
        <v>460</v>
      </c>
      <c r="Q294" s="106" t="s">
        <v>461</v>
      </c>
      <c r="R294" s="106" t="s">
        <v>462</v>
      </c>
      <c r="S294" s="106" t="s">
        <v>463</v>
      </c>
      <c r="T294" s="1027" t="s">
        <v>609</v>
      </c>
      <c r="U294" s="556"/>
    </row>
    <row r="295" spans="1:21" ht="15.5">
      <c r="A295" s="118"/>
      <c r="B295" s="956" t="s">
        <v>610</v>
      </c>
      <c r="C295" s="615"/>
      <c r="D295" s="91"/>
      <c r="E295" s="556"/>
      <c r="F295" s="766"/>
      <c r="G295" s="556"/>
      <c r="H295" s="556"/>
      <c r="I295" s="556"/>
      <c r="J295" s="556"/>
      <c r="K295" s="556"/>
      <c r="L295" s="556"/>
      <c r="M295" s="556"/>
      <c r="N295" s="556"/>
      <c r="O295" s="556"/>
      <c r="P295" s="556"/>
      <c r="Q295" s="556"/>
      <c r="R295" s="556"/>
      <c r="S295" s="556"/>
      <c r="T295" s="820"/>
      <c r="U295" s="556"/>
    </row>
    <row r="296" spans="1:21" ht="15.5">
      <c r="A296" s="118">
        <f>+A290+1</f>
        <v>118</v>
      </c>
      <c r="B296" s="91" t="s">
        <v>611</v>
      </c>
      <c r="C296" s="134"/>
      <c r="D296" s="91"/>
      <c r="E296" s="261" t="s">
        <v>612</v>
      </c>
      <c r="F296" s="766"/>
      <c r="G296" s="1110">
        <v>3320854</v>
      </c>
      <c r="H296" s="1110">
        <v>3928381.8880000003</v>
      </c>
      <c r="I296" s="1110">
        <v>4575345.7968000006</v>
      </c>
      <c r="J296" s="1110">
        <v>5432279.8704000004</v>
      </c>
      <c r="K296" s="1110">
        <v>6238053.7007999998</v>
      </c>
      <c r="L296" s="1110">
        <v>7066210.1376</v>
      </c>
      <c r="M296" s="1110">
        <v>8054242.3344000001</v>
      </c>
      <c r="N296" s="1110">
        <v>8957007.4592000004</v>
      </c>
      <c r="O296" s="1110">
        <v>9797953.9567999989</v>
      </c>
      <c r="P296" s="1110">
        <v>10842475.5888</v>
      </c>
      <c r="Q296" s="1110">
        <v>11793203.441600001</v>
      </c>
      <c r="R296" s="1110">
        <v>12657598.384</v>
      </c>
      <c r="S296" s="1110">
        <v>13979238</v>
      </c>
      <c r="T296" s="905">
        <f>+SUM(G296:S296)/13</f>
        <v>8203295.735261539</v>
      </c>
      <c r="U296" s="556"/>
    </row>
    <row r="297" spans="1:21" ht="15.5">
      <c r="A297" s="118">
        <f>+A296+1</f>
        <v>119</v>
      </c>
      <c r="B297" s="91" t="s">
        <v>32</v>
      </c>
      <c r="C297" s="134"/>
      <c r="D297" s="91"/>
      <c r="E297" s="261">
        <v>219</v>
      </c>
      <c r="F297" s="766"/>
      <c r="G297" s="1136">
        <v>0</v>
      </c>
      <c r="H297" s="1136">
        <v>0</v>
      </c>
      <c r="I297" s="1136">
        <v>0</v>
      </c>
      <c r="J297" s="1136">
        <v>0</v>
      </c>
      <c r="K297" s="1136">
        <v>0</v>
      </c>
      <c r="L297" s="1136">
        <v>0</v>
      </c>
      <c r="M297" s="1136">
        <f>M298</f>
        <v>0</v>
      </c>
      <c r="N297" s="1136">
        <f>M297+N298</f>
        <v>0</v>
      </c>
      <c r="O297" s="1136">
        <f t="shared" si="22" ref="O297:S297">N297+O298</f>
        <v>0</v>
      </c>
      <c r="P297" s="1136">
        <f>O297+P298</f>
        <v>0</v>
      </c>
      <c r="Q297" s="1136">
        <f>P297+Q298</f>
        <v>0</v>
      </c>
      <c r="R297" s="1136">
        <f>Q297+R298</f>
        <v>0</v>
      </c>
      <c r="S297" s="1136">
        <f>R297+S298</f>
        <v>0</v>
      </c>
      <c r="T297" s="905">
        <f t="shared" si="23" ref="T297">+SUM(G297:S297)/13</f>
        <v>0</v>
      </c>
      <c r="U297" s="556"/>
    </row>
    <row r="298" spans="1:20" s="556" customFormat="1" ht="15.5">
      <c r="A298" s="118">
        <f>+A297+1</f>
        <v>120</v>
      </c>
      <c r="B298" s="91" t="s">
        <v>613</v>
      </c>
      <c r="C298" s="134"/>
      <c r="D298" s="91"/>
      <c r="E298" s="261">
        <v>336</v>
      </c>
      <c r="F298" s="766"/>
      <c r="G298" s="120"/>
      <c r="H298" s="117"/>
      <c r="I298" s="117"/>
      <c r="J298" s="117"/>
      <c r="K298" s="117"/>
      <c r="L298" s="117"/>
      <c r="M298" s="117"/>
      <c r="N298" s="117"/>
      <c r="O298" s="117"/>
      <c r="P298" s="117"/>
      <c r="Q298" s="117"/>
      <c r="R298" s="117"/>
      <c r="S298" s="117"/>
      <c r="T298" s="907">
        <f>SUM(H298:S298)</f>
        <v>0</v>
      </c>
    </row>
    <row r="299" spans="1:21" ht="15.5">
      <c r="A299" s="118"/>
      <c r="B299" s="91"/>
      <c r="C299" s="134"/>
      <c r="D299" s="91"/>
      <c r="E299" s="261"/>
      <c r="F299" s="766"/>
      <c r="G299" s="162"/>
      <c r="H299" s="735"/>
      <c r="I299" s="735"/>
      <c r="J299" s="735"/>
      <c r="K299" s="735"/>
      <c r="L299" s="735"/>
      <c r="M299" s="735"/>
      <c r="N299" s="735"/>
      <c r="O299" s="735"/>
      <c r="P299" s="735"/>
      <c r="Q299" s="735"/>
      <c r="R299" s="54"/>
      <c r="S299" s="54"/>
      <c r="T299" s="905"/>
      <c r="U299" s="556"/>
    </row>
    <row r="300" spans="1:21" ht="15.5">
      <c r="A300" s="118"/>
      <c r="B300" s="956" t="str">
        <f>+'7B - Schedule 12 Projects'!I8</f>
        <v>Name</v>
      </c>
      <c r="C300" s="134"/>
      <c r="D300" s="91"/>
      <c r="E300" s="261"/>
      <c r="F300" s="766"/>
      <c r="G300" s="540"/>
      <c r="H300" s="540"/>
      <c r="I300" s="540"/>
      <c r="J300" s="540"/>
      <c r="K300" s="540"/>
      <c r="L300" s="540"/>
      <c r="M300" s="540"/>
      <c r="N300" s="540"/>
      <c r="O300" s="540"/>
      <c r="P300" s="540"/>
      <c r="Q300" s="540"/>
      <c r="R300" s="540"/>
      <c r="S300" s="540"/>
      <c r="T300" s="906"/>
      <c r="U300" s="556"/>
    </row>
    <row r="301" spans="1:21" ht="15.5">
      <c r="A301" s="118">
        <f>+A298+1</f>
        <v>121</v>
      </c>
      <c r="B301" s="91" t="s">
        <v>611</v>
      </c>
      <c r="C301" s="134"/>
      <c r="D301" s="91"/>
      <c r="E301" s="261" t="s">
        <v>612</v>
      </c>
      <c r="F301" s="766"/>
      <c r="G301" s="1136">
        <v>0</v>
      </c>
      <c r="H301" s="904">
        <v>0</v>
      </c>
      <c r="I301" s="904">
        <v>0</v>
      </c>
      <c r="J301" s="904">
        <v>0</v>
      </c>
      <c r="K301" s="904">
        <v>0</v>
      </c>
      <c r="L301" s="904">
        <v>0</v>
      </c>
      <c r="M301" s="904">
        <v>0</v>
      </c>
      <c r="N301" s="904">
        <v>0</v>
      </c>
      <c r="O301" s="904">
        <v>0</v>
      </c>
      <c r="P301" s="904">
        <v>0</v>
      </c>
      <c r="Q301" s="904">
        <v>0</v>
      </c>
      <c r="R301" s="902">
        <v>0</v>
      </c>
      <c r="S301" s="902">
        <v>0</v>
      </c>
      <c r="T301" s="905">
        <f>+SUM(G301:S301)/13</f>
        <v>0</v>
      </c>
      <c r="U301" s="556"/>
    </row>
    <row r="302" spans="1:21" ht="15.5">
      <c r="A302" s="118">
        <f>+A301+1</f>
        <v>122</v>
      </c>
      <c r="B302" s="91" t="s">
        <v>32</v>
      </c>
      <c r="C302" s="134"/>
      <c r="D302" s="91"/>
      <c r="E302" s="261">
        <v>219</v>
      </c>
      <c r="F302" s="766"/>
      <c r="G302" s="1136">
        <v>0</v>
      </c>
      <c r="H302" s="904">
        <v>0</v>
      </c>
      <c r="I302" s="904">
        <v>0</v>
      </c>
      <c r="J302" s="904">
        <v>0</v>
      </c>
      <c r="K302" s="904">
        <v>0</v>
      </c>
      <c r="L302" s="904">
        <v>0</v>
      </c>
      <c r="M302" s="904">
        <v>0</v>
      </c>
      <c r="N302" s="904">
        <v>0</v>
      </c>
      <c r="O302" s="904">
        <v>0</v>
      </c>
      <c r="P302" s="904">
        <v>0</v>
      </c>
      <c r="Q302" s="904">
        <v>0</v>
      </c>
      <c r="R302" s="902">
        <v>0</v>
      </c>
      <c r="S302" s="902">
        <v>0</v>
      </c>
      <c r="T302" s="905">
        <f t="shared" si="24" ref="T302">+SUM(G302:S302)/13</f>
        <v>0</v>
      </c>
      <c r="U302" s="556"/>
    </row>
    <row r="303" spans="1:20" s="556" customFormat="1" ht="15.5">
      <c r="A303" s="97">
        <f>+A302+1</f>
        <v>123</v>
      </c>
      <c r="B303" s="91" t="s">
        <v>613</v>
      </c>
      <c r="C303" s="134"/>
      <c r="D303" s="91"/>
      <c r="E303" s="261">
        <v>336</v>
      </c>
      <c r="F303" s="766"/>
      <c r="G303" s="762"/>
      <c r="H303" s="117"/>
      <c r="I303" s="117"/>
      <c r="J303" s="117"/>
      <c r="K303" s="117"/>
      <c r="L303" s="117"/>
      <c r="M303" s="117"/>
      <c r="N303" s="117"/>
      <c r="O303" s="117"/>
      <c r="P303" s="117"/>
      <c r="Q303" s="117"/>
      <c r="R303" s="54"/>
      <c r="S303" s="54"/>
      <c r="T303" s="907">
        <v>0</v>
      </c>
    </row>
    <row r="304" spans="1:21" ht="15.5">
      <c r="A304" s="556"/>
      <c r="B304" s="556"/>
      <c r="C304" s="556"/>
      <c r="D304" s="556"/>
      <c r="E304" s="261"/>
      <c r="G304" s="929"/>
      <c r="H304" s="540"/>
      <c r="I304" s="540"/>
      <c r="J304" s="540"/>
      <c r="K304" s="540"/>
      <c r="L304" s="540"/>
      <c r="M304" s="540"/>
      <c r="N304" s="540"/>
      <c r="O304" s="540"/>
      <c r="P304" s="540"/>
      <c r="Q304" s="540"/>
      <c r="R304" s="540"/>
      <c r="S304" s="540"/>
      <c r="T304" s="906"/>
      <c r="U304" s="556"/>
    </row>
    <row r="305" spans="1:21" ht="15.5">
      <c r="A305" s="118"/>
      <c r="B305" s="956" t="str">
        <f>+'7B - Schedule 12 Projects'!K8</f>
        <v>Name</v>
      </c>
      <c r="C305" s="134"/>
      <c r="D305" s="91"/>
      <c r="E305" s="261"/>
      <c r="F305" s="766"/>
      <c r="G305" s="929"/>
      <c r="H305" s="540"/>
      <c r="I305" s="540"/>
      <c r="J305" s="540"/>
      <c r="K305" s="540"/>
      <c r="L305" s="540"/>
      <c r="M305" s="540"/>
      <c r="N305" s="540"/>
      <c r="O305" s="540"/>
      <c r="P305" s="540"/>
      <c r="Q305" s="540"/>
      <c r="R305" s="540"/>
      <c r="S305" s="540"/>
      <c r="T305" s="906"/>
      <c r="U305" s="556"/>
    </row>
    <row r="306" spans="1:20" ht="15.5">
      <c r="A306" s="118">
        <f>+A303+1</f>
        <v>124</v>
      </c>
      <c r="B306" s="91" t="s">
        <v>611</v>
      </c>
      <c r="C306" s="134"/>
      <c r="D306" s="91"/>
      <c r="E306" s="261" t="s">
        <v>612</v>
      </c>
      <c r="F306" s="766"/>
      <c r="G306" s="1136">
        <v>0</v>
      </c>
      <c r="H306" s="904">
        <v>0</v>
      </c>
      <c r="I306" s="904">
        <v>0</v>
      </c>
      <c r="J306" s="904">
        <v>0</v>
      </c>
      <c r="K306" s="904">
        <v>0</v>
      </c>
      <c r="L306" s="904">
        <v>0</v>
      </c>
      <c r="M306" s="904">
        <v>0</v>
      </c>
      <c r="N306" s="904">
        <v>0</v>
      </c>
      <c r="O306" s="904">
        <v>0</v>
      </c>
      <c r="P306" s="904">
        <v>0</v>
      </c>
      <c r="Q306" s="904">
        <v>0</v>
      </c>
      <c r="R306" s="902">
        <v>0</v>
      </c>
      <c r="S306" s="902">
        <v>0</v>
      </c>
      <c r="T306" s="905">
        <f>+SUM(G306:S306)/13</f>
        <v>0</v>
      </c>
    </row>
    <row r="307" spans="1:20" ht="15.5">
      <c r="A307" s="118">
        <f>+A306+1</f>
        <v>125</v>
      </c>
      <c r="B307" s="91" t="s">
        <v>32</v>
      </c>
      <c r="C307" s="134"/>
      <c r="D307" s="91"/>
      <c r="E307" s="261">
        <v>219</v>
      </c>
      <c r="F307" s="766"/>
      <c r="G307" s="1136">
        <v>0</v>
      </c>
      <c r="H307" s="904">
        <v>0</v>
      </c>
      <c r="I307" s="904">
        <v>0</v>
      </c>
      <c r="J307" s="904">
        <v>0</v>
      </c>
      <c r="K307" s="904">
        <v>0</v>
      </c>
      <c r="L307" s="904">
        <v>0</v>
      </c>
      <c r="M307" s="904">
        <v>0</v>
      </c>
      <c r="N307" s="904">
        <v>0</v>
      </c>
      <c r="O307" s="904">
        <v>0</v>
      </c>
      <c r="P307" s="904">
        <v>0</v>
      </c>
      <c r="Q307" s="904">
        <v>0</v>
      </c>
      <c r="R307" s="902">
        <v>0</v>
      </c>
      <c r="S307" s="902">
        <v>0</v>
      </c>
      <c r="T307" s="905">
        <f t="shared" si="25" ref="T307">+SUM(G307:S307)/13</f>
        <v>0</v>
      </c>
    </row>
    <row r="308" spans="1:20" s="556" customFormat="1" ht="15.5">
      <c r="A308" s="97">
        <f>+A307+1</f>
        <v>126</v>
      </c>
      <c r="B308" s="91" t="s">
        <v>613</v>
      </c>
      <c r="C308" s="134"/>
      <c r="D308" s="91"/>
      <c r="E308" s="261">
        <v>336</v>
      </c>
      <c r="F308" s="766"/>
      <c r="G308" s="762"/>
      <c r="H308" s="117"/>
      <c r="I308" s="117"/>
      <c r="J308" s="117"/>
      <c r="K308" s="117"/>
      <c r="L308" s="117"/>
      <c r="M308" s="117"/>
      <c r="N308" s="117"/>
      <c r="O308" s="117"/>
      <c r="P308" s="117"/>
      <c r="Q308" s="117"/>
      <c r="R308" s="54"/>
      <c r="S308" s="54"/>
      <c r="T308" s="907">
        <v>0</v>
      </c>
    </row>
    <row r="309" spans="1:20" ht="15.5">
      <c r="A309" s="556"/>
      <c r="B309" s="556"/>
      <c r="C309" s="556"/>
      <c r="D309" s="556"/>
      <c r="E309" s="261"/>
      <c r="G309" s="929"/>
      <c r="H309" s="540"/>
      <c r="I309" s="540"/>
      <c r="J309" s="540"/>
      <c r="K309" s="540"/>
      <c r="L309" s="540"/>
      <c r="M309" s="540"/>
      <c r="N309" s="540"/>
      <c r="O309" s="540"/>
      <c r="P309" s="540"/>
      <c r="Q309" s="540"/>
      <c r="R309" s="540"/>
      <c r="S309" s="540"/>
      <c r="T309" s="906"/>
    </row>
    <row r="310" spans="1:20" ht="15.5">
      <c r="A310" s="118"/>
      <c r="B310" s="956" t="str">
        <f>+'7B - Schedule 12 Projects'!M8</f>
        <v>Name</v>
      </c>
      <c r="C310" s="134"/>
      <c r="D310" s="91"/>
      <c r="E310" s="261"/>
      <c r="F310" s="766"/>
      <c r="G310" s="929"/>
      <c r="H310" s="540"/>
      <c r="I310" s="540"/>
      <c r="J310" s="540"/>
      <c r="K310" s="540"/>
      <c r="L310" s="540"/>
      <c r="M310" s="540"/>
      <c r="N310" s="540"/>
      <c r="O310" s="540"/>
      <c r="P310" s="540"/>
      <c r="Q310" s="540"/>
      <c r="R310" s="540"/>
      <c r="S310" s="540"/>
      <c r="T310" s="906"/>
    </row>
    <row r="311" spans="1:20" ht="15.5">
      <c r="A311" s="118">
        <f>+A308+1</f>
        <v>127</v>
      </c>
      <c r="B311" s="91" t="s">
        <v>611</v>
      </c>
      <c r="C311" s="134"/>
      <c r="D311" s="91"/>
      <c r="E311" s="261" t="s">
        <v>612</v>
      </c>
      <c r="F311" s="766"/>
      <c r="G311" s="1136">
        <v>0</v>
      </c>
      <c r="H311" s="904">
        <v>0</v>
      </c>
      <c r="I311" s="904">
        <v>0</v>
      </c>
      <c r="J311" s="904">
        <v>0</v>
      </c>
      <c r="K311" s="904">
        <v>0</v>
      </c>
      <c r="L311" s="904">
        <v>0</v>
      </c>
      <c r="M311" s="904">
        <v>0</v>
      </c>
      <c r="N311" s="904">
        <v>0</v>
      </c>
      <c r="O311" s="904">
        <v>0</v>
      </c>
      <c r="P311" s="904">
        <v>0</v>
      </c>
      <c r="Q311" s="904">
        <v>0</v>
      </c>
      <c r="R311" s="902">
        <v>0</v>
      </c>
      <c r="S311" s="902">
        <v>0</v>
      </c>
      <c r="T311" s="905">
        <f>+SUM(G311:S311)/13</f>
        <v>0</v>
      </c>
    </row>
    <row r="312" spans="1:20" ht="15.5">
      <c r="A312" s="118">
        <f>+A311+1</f>
        <v>128</v>
      </c>
      <c r="B312" s="91" t="s">
        <v>32</v>
      </c>
      <c r="C312" s="134"/>
      <c r="D312" s="91"/>
      <c r="E312" s="261">
        <v>219</v>
      </c>
      <c r="F312" s="766"/>
      <c r="G312" s="1136">
        <v>0</v>
      </c>
      <c r="H312" s="904">
        <v>0</v>
      </c>
      <c r="I312" s="904">
        <v>0</v>
      </c>
      <c r="J312" s="904">
        <v>0</v>
      </c>
      <c r="K312" s="904">
        <v>0</v>
      </c>
      <c r="L312" s="904">
        <v>0</v>
      </c>
      <c r="M312" s="904">
        <v>0</v>
      </c>
      <c r="N312" s="904">
        <v>0</v>
      </c>
      <c r="O312" s="904">
        <v>0</v>
      </c>
      <c r="P312" s="904">
        <v>0</v>
      </c>
      <c r="Q312" s="904">
        <v>0</v>
      </c>
      <c r="R312" s="902">
        <v>0</v>
      </c>
      <c r="S312" s="902">
        <v>0</v>
      </c>
      <c r="T312" s="905">
        <f t="shared" si="26" ref="T312">+SUM(G312:S312)/13</f>
        <v>0</v>
      </c>
    </row>
    <row r="313" spans="1:20" ht="15.5">
      <c r="A313" s="90">
        <f>+A312+1</f>
        <v>129</v>
      </c>
      <c r="B313" s="91" t="s">
        <v>613</v>
      </c>
      <c r="C313" s="134"/>
      <c r="D313" s="91"/>
      <c r="E313" s="261">
        <v>336</v>
      </c>
      <c r="F313" s="766"/>
      <c r="G313" s="762"/>
      <c r="H313" s="117"/>
      <c r="I313" s="117"/>
      <c r="J313" s="117"/>
      <c r="K313" s="117"/>
      <c r="L313" s="117"/>
      <c r="M313" s="117"/>
      <c r="N313" s="117"/>
      <c r="O313" s="117"/>
      <c r="P313" s="117"/>
      <c r="Q313" s="117"/>
      <c r="R313" s="54"/>
      <c r="S313" s="54"/>
      <c r="T313" s="907">
        <v>0</v>
      </c>
    </row>
    <row r="314" spans="2:20" s="556" customFormat="1" ht="15.5">
      <c r="B314" s="91"/>
      <c r="C314" s="134"/>
      <c r="D314" s="91"/>
      <c r="E314" s="261"/>
      <c r="F314" s="766"/>
      <c r="G314" s="762"/>
      <c r="H314" s="117"/>
      <c r="I314" s="117"/>
      <c r="J314" s="117"/>
      <c r="K314" s="117"/>
      <c r="L314" s="117"/>
      <c r="M314" s="117"/>
      <c r="N314" s="117"/>
      <c r="O314" s="117"/>
      <c r="P314" s="117"/>
      <c r="Q314" s="117"/>
      <c r="R314" s="54"/>
      <c r="S314" s="54"/>
      <c r="T314" s="905"/>
    </row>
    <row r="315" spans="1:20" ht="15.5">
      <c r="A315" s="118"/>
      <c r="B315" s="956" t="str">
        <f>+'7B - Schedule 12 Projects'!O8</f>
        <v>Name</v>
      </c>
      <c r="C315" s="134"/>
      <c r="D315" s="91"/>
      <c r="E315" s="261"/>
      <c r="F315" s="766"/>
      <c r="G315" s="929"/>
      <c r="H315" s="540"/>
      <c r="I315" s="540"/>
      <c r="J315" s="540"/>
      <c r="K315" s="540"/>
      <c r="L315" s="540"/>
      <c r="M315" s="540"/>
      <c r="N315" s="540"/>
      <c r="O315" s="540"/>
      <c r="P315" s="540"/>
      <c r="Q315" s="540"/>
      <c r="R315" s="540"/>
      <c r="S315" s="540"/>
      <c r="T315" s="906"/>
    </row>
    <row r="316" spans="1:20" ht="15.5">
      <c r="A316" s="118">
        <f>+A313+1</f>
        <v>130</v>
      </c>
      <c r="B316" s="91" t="s">
        <v>611</v>
      </c>
      <c r="C316" s="134"/>
      <c r="D316" s="91"/>
      <c r="E316" s="261" t="s">
        <v>612</v>
      </c>
      <c r="F316" s="766"/>
      <c r="G316" s="1136">
        <v>0</v>
      </c>
      <c r="H316" s="904">
        <v>0</v>
      </c>
      <c r="I316" s="904">
        <v>0</v>
      </c>
      <c r="J316" s="904">
        <v>0</v>
      </c>
      <c r="K316" s="904">
        <v>0</v>
      </c>
      <c r="L316" s="904">
        <v>0</v>
      </c>
      <c r="M316" s="904">
        <v>0</v>
      </c>
      <c r="N316" s="904">
        <v>0</v>
      </c>
      <c r="O316" s="904">
        <v>0</v>
      </c>
      <c r="P316" s="904">
        <v>0</v>
      </c>
      <c r="Q316" s="904">
        <v>0</v>
      </c>
      <c r="R316" s="902">
        <v>0</v>
      </c>
      <c r="S316" s="902">
        <v>0</v>
      </c>
      <c r="T316" s="905">
        <f>+SUM(G316:S316)/13</f>
        <v>0</v>
      </c>
    </row>
    <row r="317" spans="1:20" ht="15.5">
      <c r="A317" s="118">
        <f>+A316+1</f>
        <v>131</v>
      </c>
      <c r="B317" s="91" t="s">
        <v>32</v>
      </c>
      <c r="C317" s="134"/>
      <c r="D317" s="91"/>
      <c r="E317" s="261">
        <v>219</v>
      </c>
      <c r="F317" s="766"/>
      <c r="G317" s="1136">
        <v>0</v>
      </c>
      <c r="H317" s="904">
        <v>0</v>
      </c>
      <c r="I317" s="904">
        <v>0</v>
      </c>
      <c r="J317" s="904">
        <v>0</v>
      </c>
      <c r="K317" s="904">
        <v>0</v>
      </c>
      <c r="L317" s="904">
        <v>0</v>
      </c>
      <c r="M317" s="904">
        <v>0</v>
      </c>
      <c r="N317" s="904">
        <v>0</v>
      </c>
      <c r="O317" s="904">
        <v>0</v>
      </c>
      <c r="P317" s="904">
        <v>0</v>
      </c>
      <c r="Q317" s="904">
        <v>0</v>
      </c>
      <c r="R317" s="902">
        <v>0</v>
      </c>
      <c r="S317" s="902">
        <v>0</v>
      </c>
      <c r="T317" s="905">
        <f t="shared" si="27" ref="T317">+SUM(G317:S317)/13</f>
        <v>0</v>
      </c>
    </row>
    <row r="318" spans="1:20" ht="15.5">
      <c r="A318" s="118">
        <f>+A317+1</f>
        <v>132</v>
      </c>
      <c r="B318" s="91" t="s">
        <v>613</v>
      </c>
      <c r="C318" s="134"/>
      <c r="D318" s="91"/>
      <c r="E318" s="261">
        <v>336</v>
      </c>
      <c r="F318" s="766"/>
      <c r="G318" s="762"/>
      <c r="H318" s="117"/>
      <c r="I318" s="117"/>
      <c r="J318" s="117"/>
      <c r="K318" s="117"/>
      <c r="L318" s="117"/>
      <c r="M318" s="117"/>
      <c r="N318" s="117"/>
      <c r="O318" s="117"/>
      <c r="P318" s="117"/>
      <c r="Q318" s="117"/>
      <c r="R318" s="54"/>
      <c r="S318" s="54"/>
      <c r="T318" s="907">
        <v>0</v>
      </c>
    </row>
    <row r="319" spans="1:20" s="556" customFormat="1" ht="15.5">
      <c r="A319" s="118"/>
      <c r="B319" s="91"/>
      <c r="C319" s="134"/>
      <c r="D319" s="91"/>
      <c r="E319" s="261"/>
      <c r="F319" s="766"/>
      <c r="G319" s="762"/>
      <c r="H319" s="117"/>
      <c r="I319" s="117"/>
      <c r="J319" s="117"/>
      <c r="K319" s="117"/>
      <c r="L319" s="117"/>
      <c r="M319" s="117"/>
      <c r="N319" s="117"/>
      <c r="O319" s="117"/>
      <c r="P319" s="117"/>
      <c r="Q319" s="117"/>
      <c r="R319" s="54"/>
      <c r="S319" s="54"/>
      <c r="T319" s="905"/>
    </row>
    <row r="320" spans="1:20" ht="15.5">
      <c r="A320" s="118"/>
      <c r="B320" s="956" t="str">
        <f>+'7B - Schedule 12 Projects'!Q8</f>
        <v>Name</v>
      </c>
      <c r="C320" s="134"/>
      <c r="D320" s="91"/>
      <c r="E320" s="261"/>
      <c r="F320" s="766"/>
      <c r="G320" s="929"/>
      <c r="H320" s="540"/>
      <c r="I320" s="540"/>
      <c r="J320" s="540"/>
      <c r="K320" s="540"/>
      <c r="L320" s="540"/>
      <c r="M320" s="540"/>
      <c r="N320" s="540"/>
      <c r="O320" s="540"/>
      <c r="P320" s="540"/>
      <c r="Q320" s="540"/>
      <c r="R320" s="540"/>
      <c r="S320" s="540"/>
      <c r="T320" s="906"/>
    </row>
    <row r="321" spans="1:20" ht="15.5">
      <c r="A321" s="118">
        <f>+A318+1</f>
        <v>133</v>
      </c>
      <c r="B321" s="91" t="s">
        <v>611</v>
      </c>
      <c r="C321" s="134"/>
      <c r="D321" s="91"/>
      <c r="E321" s="261" t="s">
        <v>612</v>
      </c>
      <c r="F321" s="766"/>
      <c r="G321" s="1136">
        <v>0</v>
      </c>
      <c r="H321" s="904">
        <v>0</v>
      </c>
      <c r="I321" s="904">
        <v>0</v>
      </c>
      <c r="J321" s="904">
        <v>0</v>
      </c>
      <c r="K321" s="904">
        <v>0</v>
      </c>
      <c r="L321" s="904">
        <v>0</v>
      </c>
      <c r="M321" s="904">
        <v>0</v>
      </c>
      <c r="N321" s="904">
        <v>0</v>
      </c>
      <c r="O321" s="904">
        <v>0</v>
      </c>
      <c r="P321" s="904">
        <v>0</v>
      </c>
      <c r="Q321" s="904">
        <v>0</v>
      </c>
      <c r="R321" s="902">
        <v>0</v>
      </c>
      <c r="S321" s="902">
        <v>0</v>
      </c>
      <c r="T321" s="905">
        <f>+SUM(G321:S321)/13</f>
        <v>0</v>
      </c>
    </row>
    <row r="322" spans="1:20" ht="15.5">
      <c r="A322" s="118">
        <f>+A321+1</f>
        <v>134</v>
      </c>
      <c r="B322" s="91" t="s">
        <v>32</v>
      </c>
      <c r="C322" s="134"/>
      <c r="D322" s="91"/>
      <c r="E322" s="261">
        <v>219</v>
      </c>
      <c r="F322" s="766"/>
      <c r="G322" s="1136">
        <v>0</v>
      </c>
      <c r="H322" s="904">
        <v>0</v>
      </c>
      <c r="I322" s="904">
        <v>0</v>
      </c>
      <c r="J322" s="904">
        <v>0</v>
      </c>
      <c r="K322" s="904">
        <v>0</v>
      </c>
      <c r="L322" s="904">
        <v>0</v>
      </c>
      <c r="M322" s="904">
        <v>0</v>
      </c>
      <c r="N322" s="904">
        <v>0</v>
      </c>
      <c r="O322" s="904">
        <v>0</v>
      </c>
      <c r="P322" s="904">
        <v>0</v>
      </c>
      <c r="Q322" s="904">
        <v>0</v>
      </c>
      <c r="R322" s="902">
        <v>0</v>
      </c>
      <c r="S322" s="902">
        <v>0</v>
      </c>
      <c r="T322" s="905">
        <f t="shared" si="28" ref="T322">+SUM(G322:S322)/13</f>
        <v>0</v>
      </c>
    </row>
    <row r="323" spans="1:20" ht="15.5">
      <c r="A323" s="118">
        <f>+A322+1</f>
        <v>135</v>
      </c>
      <c r="B323" s="91" t="s">
        <v>613</v>
      </c>
      <c r="C323" s="134"/>
      <c r="D323" s="91"/>
      <c r="E323" s="261">
        <v>336</v>
      </c>
      <c r="F323" s="766"/>
      <c r="G323" s="762"/>
      <c r="H323" s="117"/>
      <c r="I323" s="117"/>
      <c r="J323" s="117"/>
      <c r="K323" s="117"/>
      <c r="L323" s="117"/>
      <c r="M323" s="117"/>
      <c r="N323" s="117"/>
      <c r="O323" s="117"/>
      <c r="P323" s="117"/>
      <c r="Q323" s="117"/>
      <c r="R323" s="54"/>
      <c r="S323" s="54"/>
      <c r="T323" s="907">
        <v>0</v>
      </c>
    </row>
    <row r="324" spans="1:20" s="556" customFormat="1" ht="15.5">
      <c r="A324" s="118"/>
      <c r="B324" s="91"/>
      <c r="C324" s="134"/>
      <c r="D324" s="91"/>
      <c r="E324" s="261"/>
      <c r="F324" s="766"/>
      <c r="G324" s="762"/>
      <c r="H324" s="117"/>
      <c r="I324" s="117"/>
      <c r="J324" s="117"/>
      <c r="K324" s="117"/>
      <c r="L324" s="117"/>
      <c r="M324" s="117"/>
      <c r="N324" s="117"/>
      <c r="O324" s="117"/>
      <c r="P324" s="117"/>
      <c r="Q324" s="117"/>
      <c r="R324" s="54"/>
      <c r="S324" s="54"/>
      <c r="T324" s="905"/>
    </row>
    <row r="325" spans="1:20" ht="15.5">
      <c r="A325" s="118"/>
      <c r="B325" s="956" t="str">
        <f>+'7B - Schedule 12 Projects'!S8</f>
        <v>Name</v>
      </c>
      <c r="C325" s="134"/>
      <c r="D325" s="91"/>
      <c r="E325" s="261"/>
      <c r="F325" s="766"/>
      <c r="G325" s="929"/>
      <c r="H325" s="540"/>
      <c r="I325" s="540"/>
      <c r="J325" s="540"/>
      <c r="K325" s="540"/>
      <c r="L325" s="540"/>
      <c r="M325" s="540"/>
      <c r="N325" s="540"/>
      <c r="O325" s="540"/>
      <c r="P325" s="540"/>
      <c r="Q325" s="540"/>
      <c r="R325" s="540"/>
      <c r="S325" s="540"/>
      <c r="T325" s="906"/>
    </row>
    <row r="326" spans="1:20" ht="15.5">
      <c r="A326" s="118">
        <f>+A323+1</f>
        <v>136</v>
      </c>
      <c r="B326" s="91" t="s">
        <v>611</v>
      </c>
      <c r="C326" s="134"/>
      <c r="D326" s="91"/>
      <c r="E326" s="261" t="s">
        <v>612</v>
      </c>
      <c r="F326" s="766"/>
      <c r="G326" s="1136">
        <v>0</v>
      </c>
      <c r="H326" s="904">
        <v>0</v>
      </c>
      <c r="I326" s="904">
        <v>0</v>
      </c>
      <c r="J326" s="904">
        <v>0</v>
      </c>
      <c r="K326" s="904">
        <v>0</v>
      </c>
      <c r="L326" s="904">
        <v>0</v>
      </c>
      <c r="M326" s="904">
        <v>0</v>
      </c>
      <c r="N326" s="904">
        <v>0</v>
      </c>
      <c r="O326" s="904">
        <v>0</v>
      </c>
      <c r="P326" s="904">
        <v>0</v>
      </c>
      <c r="Q326" s="904">
        <v>0</v>
      </c>
      <c r="R326" s="902">
        <v>0</v>
      </c>
      <c r="S326" s="902">
        <v>0</v>
      </c>
      <c r="T326" s="905">
        <f>+SUM(G326:S326)/13</f>
        <v>0</v>
      </c>
    </row>
    <row r="327" spans="1:20" ht="15.5">
      <c r="A327" s="118">
        <f>+A326+1</f>
        <v>137</v>
      </c>
      <c r="B327" s="91" t="s">
        <v>32</v>
      </c>
      <c r="C327" s="134"/>
      <c r="D327" s="91"/>
      <c r="E327" s="261">
        <v>219</v>
      </c>
      <c r="F327" s="766"/>
      <c r="G327" s="1136">
        <v>0</v>
      </c>
      <c r="H327" s="904">
        <v>0</v>
      </c>
      <c r="I327" s="904">
        <v>0</v>
      </c>
      <c r="J327" s="904">
        <v>0</v>
      </c>
      <c r="K327" s="904">
        <v>0</v>
      </c>
      <c r="L327" s="904">
        <v>0</v>
      </c>
      <c r="M327" s="904">
        <v>0</v>
      </c>
      <c r="N327" s="904">
        <v>0</v>
      </c>
      <c r="O327" s="904">
        <v>0</v>
      </c>
      <c r="P327" s="904">
        <v>0</v>
      </c>
      <c r="Q327" s="904">
        <v>0</v>
      </c>
      <c r="R327" s="902">
        <v>0</v>
      </c>
      <c r="S327" s="902">
        <v>0</v>
      </c>
      <c r="T327" s="905">
        <f t="shared" si="29" ref="T327">+SUM(G327:S327)/13</f>
        <v>0</v>
      </c>
    </row>
    <row r="328" spans="1:20" ht="15.5">
      <c r="A328" s="118">
        <f>+A327+1</f>
        <v>138</v>
      </c>
      <c r="B328" s="91" t="s">
        <v>613</v>
      </c>
      <c r="C328" s="134"/>
      <c r="D328" s="91"/>
      <c r="E328" s="261">
        <v>336</v>
      </c>
      <c r="F328" s="766"/>
      <c r="G328" s="762"/>
      <c r="H328" s="117"/>
      <c r="I328" s="117"/>
      <c r="J328" s="117"/>
      <c r="K328" s="117"/>
      <c r="L328" s="117"/>
      <c r="M328" s="117"/>
      <c r="N328" s="117"/>
      <c r="O328" s="117"/>
      <c r="P328" s="117"/>
      <c r="Q328" s="117"/>
      <c r="R328" s="54"/>
      <c r="S328" s="54"/>
      <c r="T328" s="907">
        <v>0</v>
      </c>
    </row>
    <row r="329" spans="1:20" s="556" customFormat="1" ht="15.5">
      <c r="A329" s="118"/>
      <c r="B329" s="91"/>
      <c r="C329" s="134"/>
      <c r="D329" s="91"/>
      <c r="E329" s="261"/>
      <c r="F329" s="766"/>
      <c r="G329" s="762"/>
      <c r="H329" s="117"/>
      <c r="I329" s="117"/>
      <c r="J329" s="117"/>
      <c r="K329" s="117"/>
      <c r="L329" s="117"/>
      <c r="M329" s="117"/>
      <c r="N329" s="117"/>
      <c r="O329" s="117"/>
      <c r="P329" s="117"/>
      <c r="Q329" s="117"/>
      <c r="R329" s="54"/>
      <c r="S329" s="54"/>
      <c r="T329" s="905"/>
    </row>
    <row r="330" spans="1:20" ht="15.5">
      <c r="A330" s="118"/>
      <c r="B330" s="956" t="str">
        <f>+'7B - Schedule 12 Projects'!U8</f>
        <v>Name</v>
      </c>
      <c r="C330" s="134"/>
      <c r="D330" s="91"/>
      <c r="E330" s="261"/>
      <c r="F330" s="766"/>
      <c r="G330" s="929"/>
      <c r="H330" s="540"/>
      <c r="I330" s="540"/>
      <c r="J330" s="540"/>
      <c r="K330" s="540"/>
      <c r="L330" s="540"/>
      <c r="M330" s="540"/>
      <c r="N330" s="540"/>
      <c r="O330" s="540"/>
      <c r="P330" s="540"/>
      <c r="Q330" s="540"/>
      <c r="R330" s="540"/>
      <c r="S330" s="540"/>
      <c r="T330" s="906"/>
    </row>
    <row r="331" spans="1:20" ht="15.5">
      <c r="A331" s="118">
        <f>+A328+1</f>
        <v>139</v>
      </c>
      <c r="B331" s="91" t="s">
        <v>611</v>
      </c>
      <c r="C331" s="134"/>
      <c r="D331" s="91"/>
      <c r="E331" s="261" t="s">
        <v>612</v>
      </c>
      <c r="F331" s="766"/>
      <c r="G331" s="1136">
        <v>0</v>
      </c>
      <c r="H331" s="904">
        <v>0</v>
      </c>
      <c r="I331" s="904">
        <v>0</v>
      </c>
      <c r="J331" s="904">
        <v>0</v>
      </c>
      <c r="K331" s="904">
        <v>0</v>
      </c>
      <c r="L331" s="904">
        <v>0</v>
      </c>
      <c r="M331" s="904">
        <v>0</v>
      </c>
      <c r="N331" s="904">
        <v>0</v>
      </c>
      <c r="O331" s="904">
        <v>0</v>
      </c>
      <c r="P331" s="904">
        <v>0</v>
      </c>
      <c r="Q331" s="904">
        <v>0</v>
      </c>
      <c r="R331" s="902">
        <v>0</v>
      </c>
      <c r="S331" s="902">
        <v>0</v>
      </c>
      <c r="T331" s="905">
        <f>+SUM(G331:S331)/13</f>
        <v>0</v>
      </c>
    </row>
    <row r="332" spans="1:20" ht="15.5">
      <c r="A332" s="118">
        <f>+A331+1</f>
        <v>140</v>
      </c>
      <c r="B332" s="91" t="s">
        <v>32</v>
      </c>
      <c r="C332" s="134"/>
      <c r="D332" s="91"/>
      <c r="E332" s="261">
        <v>219</v>
      </c>
      <c r="F332" s="766"/>
      <c r="G332" s="1136">
        <v>0</v>
      </c>
      <c r="H332" s="904">
        <v>0</v>
      </c>
      <c r="I332" s="904">
        <v>0</v>
      </c>
      <c r="J332" s="904">
        <v>0</v>
      </c>
      <c r="K332" s="904">
        <v>0</v>
      </c>
      <c r="L332" s="904">
        <v>0</v>
      </c>
      <c r="M332" s="904">
        <v>0</v>
      </c>
      <c r="N332" s="904">
        <v>0</v>
      </c>
      <c r="O332" s="904">
        <v>0</v>
      </c>
      <c r="P332" s="904">
        <v>0</v>
      </c>
      <c r="Q332" s="904">
        <v>0</v>
      </c>
      <c r="R332" s="902">
        <v>0</v>
      </c>
      <c r="S332" s="902">
        <v>0</v>
      </c>
      <c r="T332" s="905">
        <f t="shared" si="30" ref="T332">+SUM(G332:S332)/13</f>
        <v>0</v>
      </c>
    </row>
    <row r="333" spans="1:20" ht="15.5">
      <c r="A333" s="118">
        <f>+A332+1</f>
        <v>141</v>
      </c>
      <c r="B333" s="91" t="s">
        <v>613</v>
      </c>
      <c r="C333" s="134"/>
      <c r="D333" s="91"/>
      <c r="E333" s="261">
        <v>336</v>
      </c>
      <c r="F333" s="766"/>
      <c r="G333" s="762"/>
      <c r="H333" s="117"/>
      <c r="I333" s="117"/>
      <c r="J333" s="117"/>
      <c r="K333" s="117"/>
      <c r="L333" s="117"/>
      <c r="M333" s="117"/>
      <c r="N333" s="117"/>
      <c r="O333" s="117"/>
      <c r="P333" s="117"/>
      <c r="Q333" s="117"/>
      <c r="R333" s="54"/>
      <c r="S333" s="54"/>
      <c r="T333" s="907">
        <v>0</v>
      </c>
    </row>
    <row r="334" spans="1:20" s="556" customFormat="1" ht="15.5">
      <c r="A334" s="118"/>
      <c r="B334" s="91"/>
      <c r="C334" s="134"/>
      <c r="D334" s="91"/>
      <c r="E334" s="261"/>
      <c r="F334" s="766"/>
      <c r="G334" s="762"/>
      <c r="H334" s="117"/>
      <c r="I334" s="117"/>
      <c r="J334" s="117"/>
      <c r="K334" s="117"/>
      <c r="L334" s="117"/>
      <c r="M334" s="117"/>
      <c r="N334" s="117"/>
      <c r="O334" s="117"/>
      <c r="P334" s="117"/>
      <c r="Q334" s="117"/>
      <c r="R334" s="54"/>
      <c r="S334" s="54"/>
      <c r="T334" s="905"/>
    </row>
    <row r="335" spans="1:20" ht="15.5">
      <c r="A335" s="118"/>
      <c r="B335" s="956" t="str">
        <f>+'7B - Schedule 12 Projects'!W8</f>
        <v>Name</v>
      </c>
      <c r="C335" s="134"/>
      <c r="D335" s="91"/>
      <c r="E335" s="261"/>
      <c r="F335" s="766"/>
      <c r="G335" s="929"/>
      <c r="H335" s="540"/>
      <c r="I335" s="540"/>
      <c r="J335" s="540"/>
      <c r="K335" s="540"/>
      <c r="L335" s="540"/>
      <c r="M335" s="540"/>
      <c r="N335" s="540"/>
      <c r="O335" s="540"/>
      <c r="P335" s="540"/>
      <c r="Q335" s="540"/>
      <c r="R335" s="540"/>
      <c r="S335" s="540"/>
      <c r="T335" s="906"/>
    </row>
    <row r="336" spans="1:20" ht="15.5">
      <c r="A336" s="118">
        <f>+A333+1</f>
        <v>142</v>
      </c>
      <c r="B336" s="91" t="s">
        <v>611</v>
      </c>
      <c r="C336" s="134"/>
      <c r="D336" s="91"/>
      <c r="E336" s="261" t="s">
        <v>612</v>
      </c>
      <c r="F336" s="766"/>
      <c r="G336" s="1136">
        <v>0</v>
      </c>
      <c r="H336" s="904">
        <v>0</v>
      </c>
      <c r="I336" s="904">
        <v>0</v>
      </c>
      <c r="J336" s="904">
        <v>0</v>
      </c>
      <c r="K336" s="904">
        <v>0</v>
      </c>
      <c r="L336" s="904">
        <v>0</v>
      </c>
      <c r="M336" s="904">
        <v>0</v>
      </c>
      <c r="N336" s="904">
        <v>0</v>
      </c>
      <c r="O336" s="904">
        <v>0</v>
      </c>
      <c r="P336" s="904">
        <v>0</v>
      </c>
      <c r="Q336" s="904">
        <v>0</v>
      </c>
      <c r="R336" s="902">
        <v>0</v>
      </c>
      <c r="S336" s="902">
        <v>0</v>
      </c>
      <c r="T336" s="905">
        <f>+SUM(G336:S336)/13</f>
        <v>0</v>
      </c>
    </row>
    <row r="337" spans="1:20" ht="15.5">
      <c r="A337" s="118">
        <f>+A336+1</f>
        <v>143</v>
      </c>
      <c r="B337" s="91" t="s">
        <v>32</v>
      </c>
      <c r="C337" s="134"/>
      <c r="D337" s="91"/>
      <c r="E337" s="261">
        <v>219</v>
      </c>
      <c r="F337" s="766"/>
      <c r="G337" s="1136">
        <v>0</v>
      </c>
      <c r="H337" s="904">
        <v>0</v>
      </c>
      <c r="I337" s="904">
        <v>0</v>
      </c>
      <c r="J337" s="904">
        <v>0</v>
      </c>
      <c r="K337" s="904">
        <v>0</v>
      </c>
      <c r="L337" s="904">
        <v>0</v>
      </c>
      <c r="M337" s="904">
        <v>0</v>
      </c>
      <c r="N337" s="904">
        <v>0</v>
      </c>
      <c r="O337" s="904">
        <v>0</v>
      </c>
      <c r="P337" s="904">
        <v>0</v>
      </c>
      <c r="Q337" s="904">
        <v>0</v>
      </c>
      <c r="R337" s="902">
        <v>0</v>
      </c>
      <c r="S337" s="902">
        <v>0</v>
      </c>
      <c r="T337" s="905">
        <f t="shared" si="31" ref="T337">+SUM(G337:S337)/13</f>
        <v>0</v>
      </c>
    </row>
    <row r="338" spans="1:21" ht="15.5">
      <c r="A338" s="118">
        <f>+A337+1</f>
        <v>144</v>
      </c>
      <c r="B338" s="91" t="s">
        <v>613</v>
      </c>
      <c r="C338" s="134"/>
      <c r="D338" s="91"/>
      <c r="E338" s="261">
        <v>336</v>
      </c>
      <c r="F338" s="766"/>
      <c r="G338" s="762"/>
      <c r="H338" s="117"/>
      <c r="I338" s="117"/>
      <c r="J338" s="117"/>
      <c r="K338" s="117"/>
      <c r="L338" s="117"/>
      <c r="M338" s="117"/>
      <c r="N338" s="117"/>
      <c r="O338" s="117"/>
      <c r="P338" s="117"/>
      <c r="Q338" s="117"/>
      <c r="R338" s="54"/>
      <c r="S338" s="54"/>
      <c r="T338" s="907">
        <v>0</v>
      </c>
      <c r="U338" s="556"/>
    </row>
    <row r="339" spans="1:20" s="556" customFormat="1" ht="15.5">
      <c r="A339" s="118"/>
      <c r="B339" s="91"/>
      <c r="C339" s="134"/>
      <c r="D339" s="91"/>
      <c r="E339" s="261"/>
      <c r="F339" s="766"/>
      <c r="G339" s="762"/>
      <c r="H339" s="117"/>
      <c r="I339" s="117"/>
      <c r="J339" s="117"/>
      <c r="K339" s="117"/>
      <c r="L339" s="117"/>
      <c r="M339" s="117"/>
      <c r="N339" s="117"/>
      <c r="O339" s="117"/>
      <c r="P339" s="117"/>
      <c r="Q339" s="117"/>
      <c r="R339" s="54"/>
      <c r="S339" s="54"/>
      <c r="T339" s="905"/>
    </row>
    <row r="340" spans="1:21" ht="15.5">
      <c r="A340" s="118"/>
      <c r="B340" s="956" t="str">
        <f>+'7B - Schedule 12 Projects'!Y8</f>
        <v>Name</v>
      </c>
      <c r="C340" s="134"/>
      <c r="D340" s="91"/>
      <c r="E340" s="261"/>
      <c r="F340" s="766"/>
      <c r="G340" s="929"/>
      <c r="H340" s="540"/>
      <c r="I340" s="540"/>
      <c r="J340" s="540"/>
      <c r="K340" s="540"/>
      <c r="L340" s="540"/>
      <c r="M340" s="540"/>
      <c r="N340" s="540"/>
      <c r="O340" s="540"/>
      <c r="P340" s="540"/>
      <c r="Q340" s="540"/>
      <c r="R340" s="540"/>
      <c r="S340" s="540"/>
      <c r="T340" s="906"/>
      <c r="U340" s="556"/>
    </row>
    <row r="341" spans="1:21" ht="15.5">
      <c r="A341" s="118">
        <f>+A338+1</f>
        <v>145</v>
      </c>
      <c r="B341" s="91" t="s">
        <v>611</v>
      </c>
      <c r="C341" s="134"/>
      <c r="D341" s="91"/>
      <c r="E341" s="261" t="s">
        <v>612</v>
      </c>
      <c r="F341" s="766"/>
      <c r="G341" s="1136">
        <v>0</v>
      </c>
      <c r="H341" s="904">
        <v>0</v>
      </c>
      <c r="I341" s="904">
        <v>0</v>
      </c>
      <c r="J341" s="904">
        <v>0</v>
      </c>
      <c r="K341" s="904">
        <v>0</v>
      </c>
      <c r="L341" s="904">
        <v>0</v>
      </c>
      <c r="M341" s="904">
        <v>0</v>
      </c>
      <c r="N341" s="904">
        <v>0</v>
      </c>
      <c r="O341" s="904">
        <v>0</v>
      </c>
      <c r="P341" s="904">
        <v>0</v>
      </c>
      <c r="Q341" s="904">
        <v>0</v>
      </c>
      <c r="R341" s="902">
        <v>0</v>
      </c>
      <c r="S341" s="902">
        <v>0</v>
      </c>
      <c r="T341" s="905">
        <f>+SUM(G341:S341)/13</f>
        <v>0</v>
      </c>
      <c r="U341" s="556"/>
    </row>
    <row r="342" spans="1:21" ht="15.5">
      <c r="A342" s="118">
        <f>+A341+1</f>
        <v>146</v>
      </c>
      <c r="B342" s="91" t="s">
        <v>32</v>
      </c>
      <c r="C342" s="134"/>
      <c r="D342" s="91"/>
      <c r="E342" s="261">
        <v>219</v>
      </c>
      <c r="F342" s="766"/>
      <c r="G342" s="1136">
        <v>0</v>
      </c>
      <c r="H342" s="904">
        <v>0</v>
      </c>
      <c r="I342" s="904">
        <v>0</v>
      </c>
      <c r="J342" s="904">
        <v>0</v>
      </c>
      <c r="K342" s="904">
        <v>0</v>
      </c>
      <c r="L342" s="904">
        <v>0</v>
      </c>
      <c r="M342" s="904">
        <v>0</v>
      </c>
      <c r="N342" s="904">
        <v>0</v>
      </c>
      <c r="O342" s="904">
        <v>0</v>
      </c>
      <c r="P342" s="904">
        <v>0</v>
      </c>
      <c r="Q342" s="904">
        <v>0</v>
      </c>
      <c r="R342" s="902">
        <v>0</v>
      </c>
      <c r="S342" s="902">
        <v>0</v>
      </c>
      <c r="T342" s="905">
        <f t="shared" si="32" ref="T342">+SUM(G342:S342)/13</f>
        <v>0</v>
      </c>
      <c r="U342" s="556"/>
    </row>
    <row r="343" spans="1:21" ht="15.5">
      <c r="A343" s="118">
        <f>+A342+1</f>
        <v>147</v>
      </c>
      <c r="B343" s="91" t="s">
        <v>613</v>
      </c>
      <c r="C343" s="134"/>
      <c r="D343" s="91"/>
      <c r="E343" s="261">
        <v>336</v>
      </c>
      <c r="F343" s="766"/>
      <c r="G343" s="120"/>
      <c r="H343" s="117"/>
      <c r="I343" s="117"/>
      <c r="J343" s="117"/>
      <c r="K343" s="117"/>
      <c r="L343" s="117"/>
      <c r="M343" s="117"/>
      <c r="N343" s="117"/>
      <c r="O343" s="117"/>
      <c r="P343" s="117"/>
      <c r="Q343" s="117"/>
      <c r="R343" s="54"/>
      <c r="S343" s="54"/>
      <c r="T343" s="907">
        <v>0</v>
      </c>
      <c r="U343" s="556"/>
    </row>
    <row r="344" spans="1:21" ht="16" thickBot="1">
      <c r="A344" s="144"/>
      <c r="B344" s="144"/>
      <c r="C344" s="144"/>
      <c r="D344" s="144"/>
      <c r="E344" s="144"/>
      <c r="F344" s="144"/>
      <c r="G344" s="144"/>
      <c r="H344" s="144"/>
      <c r="I344" s="144"/>
      <c r="J344" s="144"/>
      <c r="K344" s="144"/>
      <c r="L344" s="144"/>
      <c r="M344" s="144"/>
      <c r="N344" s="144"/>
      <c r="O344" s="144"/>
      <c r="P344" s="144"/>
      <c r="Q344" s="144"/>
      <c r="R344" s="144"/>
      <c r="S344" s="144"/>
      <c r="T344" s="1044"/>
      <c r="U344" s="556"/>
    </row>
    <row r="345" spans="1:21" ht="15.5">
      <c r="A345" s="556"/>
      <c r="B345" s="556"/>
      <c r="C345" s="556"/>
      <c r="D345" s="556"/>
      <c r="E345" s="556"/>
      <c r="G345" s="556"/>
      <c r="H345" s="556"/>
      <c r="I345" s="556"/>
      <c r="J345" s="556"/>
      <c r="K345" s="556"/>
      <c r="L345" s="556"/>
      <c r="M345" s="556"/>
      <c r="N345" s="556"/>
      <c r="O345" s="556"/>
      <c r="P345" s="556"/>
      <c r="Q345" s="556"/>
      <c r="R345" s="556"/>
      <c r="S345" s="556"/>
      <c r="T345" s="91"/>
      <c r="U345" s="91"/>
    </row>
  </sheetData>
  <mergeCells count="23">
    <mergeCell ref="H240:S240"/>
    <mergeCell ref="H293:S293"/>
    <mergeCell ref="T223:U223"/>
    <mergeCell ref="H200:S200"/>
    <mergeCell ref="T204:U204"/>
    <mergeCell ref="H207:S207"/>
    <mergeCell ref="T217:U217"/>
    <mergeCell ref="H219:S219"/>
    <mergeCell ref="T62:U62"/>
    <mergeCell ref="T84:U84"/>
    <mergeCell ref="T188:U188"/>
    <mergeCell ref="A1:U1"/>
    <mergeCell ref="T173:U173"/>
    <mergeCell ref="T175:U175"/>
    <mergeCell ref="T180:U180"/>
    <mergeCell ref="T183:U183"/>
    <mergeCell ref="A2:U2"/>
    <mergeCell ref="A3:U3"/>
    <mergeCell ref="H6:S6"/>
    <mergeCell ref="H55:S55"/>
    <mergeCell ref="T81:U81"/>
    <mergeCell ref="T158:U158"/>
    <mergeCell ref="T160:U160"/>
  </mergeCells>
  <printOptions horizontalCentered="1"/>
  <pageMargins left="0.45" right="0.21" top="0.00555555555555556" bottom="1.46" header="0.45" footer="0.3"/>
  <pageSetup fitToHeight="4" orientation="landscape" scale="26" r:id="rId1"/>
  <rowBreaks count="3" manualBreakCount="3">
    <brk id="103" max="21" man="1"/>
    <brk id="205" max="21" man="1"/>
    <brk id="291" max="21" man="1"/>
  </rowBreaks>
  <customProperties>
    <customPr name="EpmWorksheetKeyString_GUID" r:id="rId2"/>
    <customPr name="_pios_id" r:id="rId3"/>
  </customProperties>
  <ignoredErrors>
    <ignoredError sqref="T136:T137" formula="1"/>
    <ignoredError sqref="T9" unlockedFormula="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0968F33918A864586453495507E48EC" ma:contentTypeVersion="4" ma:contentTypeDescription="Create a new document." ma:contentTypeScope="" ma:versionID="fc25082bf952d555279df0bb2bdd09a2">
  <xsd:schema xmlns:xsd="http://www.w3.org/2001/XMLSchema" xmlns:xs="http://www.w3.org/2001/XMLSchema" xmlns:p="http://schemas.microsoft.com/office/2006/metadata/properties" xmlns:ns2="105a3813-a66c-4ab3-a28a-39e52728d7ee" targetNamespace="http://schemas.microsoft.com/office/2006/metadata/properties" ma:root="true" ma:fieldsID="fbb7e04bf817b0f1f2e42ed9d0a93cc4" ns2:_="">
    <xsd:import namespace="105a3813-a66c-4ab3-a28a-39e52728d7e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a3813-a66c-4ab3-a28a-39e52728d7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Application xmlns="http://www.sap.com/cof/excel/application">
  <Version>2</Version>
  <Revision>2.7.001.82873</Revision>
</Application>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EA9821-6124-429A-A9C4-EB1264D6A3B7}">
  <ds:schemaRefs>
    <ds:schemaRef ds:uri="http://schemas.microsoft.com/sharepoint/v3/contenttype/forms"/>
  </ds:schemaRefs>
</ds:datastoreItem>
</file>

<file path=customXml/itemProps2.xml><?xml version="1.0" encoding="utf-8"?>
<ds:datastoreItem xmlns:ds="http://schemas.openxmlformats.org/officeDocument/2006/customXml" ds:itemID="{D53FF17A-C2E4-4510-AA03-5A4C52486A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a3813-a66c-4ab3-a28a-39e52728d7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0B8641-DBD3-4544-8D96-45B8AD3AF0B1}">
  <ds:schemaRefs>
    <ds:schemaRef ds:uri="http://www.sap.com/cof/excel/application"/>
  </ds:schemaRefs>
</ds:datastoreItem>
</file>

<file path=customXml/itemProps4.xml><?xml version="1.0" encoding="utf-8"?>
<ds:datastoreItem xmlns:ds="http://schemas.openxmlformats.org/officeDocument/2006/customXml" ds:itemID="{1B764223-8ACD-4B9C-80D6-F381497FC622}">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105a3813-a66c-4ab3-a28a-39e52728d7e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2</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