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5" yWindow="165" windowWidth="15480" windowHeight="5775" tabRatio="842"/>
  </bookViews>
  <sheets>
    <sheet name="ATT H-3D" sheetId="1" r:id="rId1"/>
    <sheet name="1 - ADIT" sheetId="22" r:id="rId2"/>
    <sheet name="2 - Other Tax" sheetId="3" r:id="rId3"/>
    <sheet name="3 - Revenue Credits" sheetId="4" r:id="rId4"/>
    <sheet name="4 - 100 Basis Pt ROE" sheetId="5" r:id="rId5"/>
    <sheet name="5 - Cost Support 1" sheetId="6" r:id="rId6"/>
    <sheet name="5a Affiliate Allocations" sheetId="17" r:id="rId7"/>
    <sheet name="6- Est &amp; Reconcile WS" sheetId="11" r:id="rId8"/>
    <sheet name="7 - Cap Add WS" sheetId="12" r:id="rId9"/>
    <sheet name="8 - Securitization" sheetId="1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0">#REF!</definedName>
    <definedName name="\A">#REF!</definedName>
    <definedName name="\C">#REF!</definedName>
    <definedName name="\D">#REF!</definedName>
    <definedName name="\H">#REF!</definedName>
    <definedName name="\J">#REF!</definedName>
    <definedName name="\L">#REF!</definedName>
    <definedName name="\P">[1]Assump!#REF!</definedName>
    <definedName name="_________________H1">{"'Metretek HTML'!$A$7:$W$42"}</definedName>
    <definedName name="____H1">{"'Metretek HTML'!$A$7:$W$42"}</definedName>
    <definedName name="___DAT2">'[2]Rent Revenue'!#REF!</definedName>
    <definedName name="___H1">{"'Metretek HTML'!$A$7:$W$42"}</definedName>
    <definedName name="__123Graph_B" hidden="1">[3]Inputs!#REF!</definedName>
    <definedName name="__123Graph_D" hidden="1">[1]Assump!#REF!</definedName>
    <definedName name="__DAT1">'[4]Cost Center List'!#REF!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2">#REF!</definedName>
    <definedName name="__DAT3">#REF!</definedName>
    <definedName name="__DAT6">#REF!</definedName>
    <definedName name="__DAT7">#REF!</definedName>
    <definedName name="__DAT8">#REF!</definedName>
    <definedName name="__DAT9">#REF!</definedName>
    <definedName name="__H1">{"'Metretek HTML'!$A$7:$W$42"}</definedName>
    <definedName name="_6532">#REF!</definedName>
    <definedName name="_6533">#REF!</definedName>
    <definedName name="_6543">#REF!</definedName>
    <definedName name="_88TOTALS">#REF!</definedName>
    <definedName name="_cal1">#REF!</definedName>
    <definedName name="_cal2">#REF!</definedName>
    <definedName name="_cal3">#REF!</definedName>
    <definedName name="_cal4">#REF!</definedName>
    <definedName name="_cal5">#REF!</definedName>
    <definedName name="_cal6">#REF!</definedName>
    <definedName name="_DAT1">'[4]Cost Center List'!#REF!</definedName>
    <definedName name="_DAT10">#REF!</definedName>
    <definedName name="_DAT11">#REF!</definedName>
    <definedName name="_dat1111">[5]Sheet1!$G$2:$G$29</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hidden="1">#REF!</definedName>
    <definedName name="_H1">{"'Metretek HTML'!$A$7:$W$42"}</definedName>
    <definedName name="_New2">#REF!</definedName>
    <definedName name="_New3">#REF!</definedName>
    <definedName name="_New4">#REF!</definedName>
    <definedName name="_Order1" hidden="1">255</definedName>
    <definedName name="_Order2" hidden="1">255</definedName>
    <definedName name="_p.choice">#REF!</definedName>
    <definedName name="_PG1">#REF!</definedName>
    <definedName name="_PG2">#REF!</definedName>
    <definedName name="_PG3">#REF!</definedName>
    <definedName name="_PG4">#REF!</definedName>
    <definedName name="_PG5">#REF!</definedName>
    <definedName name="_PG6">#REF!</definedName>
    <definedName name="_Regression_Int">1</definedName>
    <definedName name="_SUM282">'[6]YTD Summary'!#REF!</definedName>
    <definedName name="_SUM3">'[7]Summ 165_236'!#REF!</definedName>
    <definedName name="_SUM4">'[7]Summ 165_236'!#REF!</definedName>
    <definedName name="AA.print">#REF!</definedName>
    <definedName name="aaa" localSheetId="1">9.25925996853039E-06</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b">{"'Metretek HTML'!$A$7:$W$42"}</definedName>
    <definedName name="AB.print">#REF!</definedName>
    <definedName name="AC_255">'[8]AC 255'!$A$1:$M$32</definedName>
    <definedName name="AC_282">[9]December!#REF!</definedName>
    <definedName name="acct281">[6]December!#REF!</definedName>
    <definedName name="Active1">#REF!</definedName>
    <definedName name="Active2">#REF!</definedName>
    <definedName name="Actual">[10]Assumptions!$E$52</definedName>
    <definedName name="AG1_01">#REF!</definedName>
    <definedName name="AG1_01B">#REF!</definedName>
    <definedName name="AG2_01">#REF!</definedName>
    <definedName name="AG2_02">#REF!</definedName>
    <definedName name="AG2_03">#REF!</definedName>
    <definedName name="AG2_04">#REF!</definedName>
    <definedName name="AG2_05">#REF!</definedName>
    <definedName name="AG2_06">#REF!</definedName>
    <definedName name="AG3_01">#REF!</definedName>
    <definedName name="AG3_02">#REF!</definedName>
    <definedName name="AG3_03">#REF!</definedName>
    <definedName name="AG3_04">#REF!</definedName>
    <definedName name="AG3_06">#REF!</definedName>
    <definedName name="AllASS">[11]ALL!$B$25</definedName>
    <definedName name="ALLCGI">[11]ALL!$D$25</definedName>
    <definedName name="ALLOC">#REF!</definedName>
    <definedName name="ALLRD">[11]ALL!$C$25</definedName>
    <definedName name="ALLSKP">[11]ALL!$E$25</definedName>
    <definedName name="ALTMIN">#REF!</definedName>
    <definedName name="AMERICA">#REF!</definedName>
    <definedName name="AMORT">#REF!</definedName>
    <definedName name="ANNSUM">#REF!</definedName>
    <definedName name="Annualization_Rate">#REF!</definedName>
    <definedName name="anscount" hidden="1">1</definedName>
    <definedName name="AO.print">#REF!</definedName>
    <definedName name="APR_13_WRKSHT_SUM">#REF!</definedName>
    <definedName name="apr2pre">#REF!</definedName>
    <definedName name="AS">{"'Metretek HTML'!$A$7:$W$42"}</definedName>
    <definedName name="AS2DocOpenMode" hidden="1">"AS2DocumentEdit"</definedName>
    <definedName name="AUG">#REF!</definedName>
    <definedName name="AV.FM.1..adjusted..print">#REF!</definedName>
    <definedName name="AV.FM.1.print">#REF!</definedName>
    <definedName name="avoidint">"V2001-12-31"</definedName>
    <definedName name="az">{"'Metretek HTML'!$A$7:$W$42"}</definedName>
    <definedName name="B">#REF!</definedName>
    <definedName name="BA.print">#REF!</definedName>
    <definedName name="BAL">#REF!</definedName>
    <definedName name="BALBCK">#REF!</definedName>
    <definedName name="BALP">#REF!</definedName>
    <definedName name="BALPBOD">#REF!</definedName>
    <definedName name="Base">#REF!</definedName>
    <definedName name="Basic_Data">#REF!</definedName>
    <definedName name="Basis_Points">[10]Assumptions!$H$15</definedName>
    <definedName name="BB.print">#REF!</definedName>
    <definedName name="bbb" localSheetId="1">37543.3981398148</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nefits">350</definedName>
    <definedName name="BG.print">#REF!</definedName>
    <definedName name="BGS_Cost_Scenario">[10]Assumptions!$E$33</definedName>
    <definedName name="BGS_Forecast">[12]Assumptions!#REF!</definedName>
    <definedName name="BGS_Rate">#REF!</definedName>
    <definedName name="BGS_RFP">[10]Assumptions!$E$36</definedName>
    <definedName name="Bill">#REF!</definedName>
    <definedName name="bill1">#REF!</definedName>
    <definedName name="bill2">#REF!</definedName>
    <definedName name="bill3">#REF!</definedName>
    <definedName name="bill4">#REF!</definedName>
    <definedName name="bill5">#REF!</definedName>
    <definedName name="bill6">#REF!</definedName>
    <definedName name="BK..FM1.Adjusted..print">#REF!</definedName>
    <definedName name="BK..FM1.ROR..print">#REF!</definedName>
    <definedName name="BLE_Close_Date">[13]Assumptions!$E$28</definedName>
    <definedName name="Brenda">#REF!</definedName>
    <definedName name="budget">#REF!</definedName>
    <definedName name="can" hidden="1">{#N/A,#N/A,FALSE,"O&amp;M by processes";#N/A,#N/A,FALSE,"Elec Act vs Bud";#N/A,#N/A,FALSE,"G&amp;A";#N/A,#N/A,FALSE,"BGS";#N/A,#N/A,FALSE,"Res Cost"}</definedName>
    <definedName name="capstr">#REF!</definedName>
    <definedName name="CAPT">#REF!</definedName>
    <definedName name="CBT">#REF!</definedName>
    <definedName name="ccc" localSheetId="1">"%,LACTUALS,SBAL,R,FACCOUNT,TFINANCIAL_REPORTS,NST_BORROWINGS,FBUSINESS_UNIT,VNVPWR"</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ents">#REF!</definedName>
    <definedName name="CEP_Amortization">'[13]JFJ-4 CEP Rate'!$A$28:$F$78</definedName>
    <definedName name="CHECK">#REF!</definedName>
    <definedName name="cleanup" hidden="1">{#N/A,#N/A,TRUE,"TAXPROV";#N/A,#N/A,TRUE,"FLOWTHRU";#N/A,#N/A,TRUE,"SCHEDULE M'S";#N/A,#N/A,TRUE,"PLANT M'S";#N/A,#N/A,TRUE,"TAXJE"}</definedName>
    <definedName name="COGEN">'[14]October Tariff kwh'!$A$1:$H$83</definedName>
    <definedName name="compInc">[15]Inputs!$B$4</definedName>
    <definedName name="CONSOLDEFTAXBAL">#REF!</definedName>
    <definedName name="CONSOLDEFTAXSUM">#REF!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ONSOLTAXPROV">#REF!</definedName>
    <definedName name="ConsolTbal">'[16]2004 TAX PROV'!$U$11:$AR$764</definedName>
    <definedName name="cost2001">[17]Input!$M$23</definedName>
    <definedName name="cover">#REF!</definedName>
    <definedName name="cropdeftaxbalance">#REF!</definedName>
    <definedName name="CROPTAXPROV">#REF!</definedName>
    <definedName name="CSH">#REF!</definedName>
    <definedName name="CSHBCK">#REF!</definedName>
    <definedName name="CSHP">#REF!</definedName>
    <definedName name="CSHPBOD">#REF!</definedName>
    <definedName name="current_month">#REF!</definedName>
    <definedName name="Current_Plan_Results">#REF!</definedName>
    <definedName name="Current_Plan_Results_Year_2">#REF!</definedName>
    <definedName name="Current_Plan_Results_Year_3">#REF!</definedName>
    <definedName name="Current_Plan_Sensitivity">#REF!</definedName>
    <definedName name="Current_Plan_Sensitivity_Year_2">#REF!</definedName>
    <definedName name="Current_Plan_Sensitivity_Year_3">#REF!</definedName>
    <definedName name="CURRENTPROVISION">#REF!</definedName>
    <definedName name="currprov">#REF!</definedName>
    <definedName name="Curve_Date">[12]Assumptions!#REF!</definedName>
    <definedName name="custRetain">[17]Input!#REF!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e">[5]Sheet1!$B$2:$B$29</definedName>
    <definedName name="Data">#REF!</definedName>
    <definedName name="DATA05">#REF!</definedName>
    <definedName name="Data06">#REF!</definedName>
    <definedName name="DATA1">'[18]New Accts 2009'!#REF!</definedName>
    <definedName name="DATA14">#REF!</definedName>
    <definedName name="DATA2">'[19]190100'!#REF!</definedName>
    <definedName name="DATA3">'[19]190100'!#REF!</definedName>
    <definedName name="DATA4">'[19]190100'!#REF!</definedName>
    <definedName name="DATA5">#REF!</definedName>
    <definedName name="DATA6">#REF!</definedName>
    <definedName name="DATA7">'[19]190100'!#REF!</definedName>
    <definedName name="DATA8">'[19]190100'!#REF!</definedName>
    <definedName name="Date">[20]Settings!$F$23</definedName>
    <definedName name="DATE1">#REF!</definedName>
    <definedName name="DATE2">#REF!</definedName>
    <definedName name="DATE3">#REF!</definedName>
    <definedName name="DATE4">#REF!</definedName>
    <definedName name="DCIT">#REF!</definedName>
    <definedName name="debt">#REF!</definedName>
    <definedName name="DEC">#REF!</definedName>
    <definedName name="Decommissioning_Rate">#REF!</definedName>
    <definedName name="Deferral_Interest_Rate">[10]Assumptions!$H$14</definedName>
    <definedName name="Deferral_Recovery">'[13]JFJ-1 Deferral Recovery Rate'!$A$14:$F$64</definedName>
    <definedName name="DefTax">[21]Lists!$A$2:$A$4</definedName>
    <definedName name="delete" hidden="1">{#N/A,#N/A,FALSE,"CURRENT"}</definedName>
    <definedName name="detail">#REF!</definedName>
    <definedName name="Distribution_Rate_Adjustment">#REF!</definedName>
    <definedName name="DSM_Rate">#REF!</definedName>
    <definedName name="DTAfedAMERICAS">#REF!</definedName>
    <definedName name="DTAfedCROP">#REF!</definedName>
    <definedName name="DTAfedFINANCE">#REF!</definedName>
    <definedName name="DTAfedGARSTSEEDS">#REF!</definedName>
    <definedName name="DTAfedGBBC">#REF!</definedName>
    <definedName name="DTAfedINVESTMENT">#REF!</definedName>
    <definedName name="DTAfedSANDOZ">#REF!</definedName>
    <definedName name="DTAfedSBI">#REF!</definedName>
    <definedName name="DTAfedSCORP">#REF!</definedName>
    <definedName name="DTAfedSEEDS">#REF!</definedName>
    <definedName name="DTAfedTMRI">#REF!</definedName>
    <definedName name="DTAfedWILMINGTON">#REF!</definedName>
    <definedName name="DTAfedZAPH">#REF!</definedName>
    <definedName name="DTAstAMERICAS">#REF!</definedName>
    <definedName name="DTAstCROP">#REF!</definedName>
    <definedName name="DTAstFINANCE">#REF!</definedName>
    <definedName name="DTAstGBBC">#REF!</definedName>
    <definedName name="DTAstINVESTMENT">#REF!</definedName>
    <definedName name="DTAstSANDOZ">#REF!</definedName>
    <definedName name="DTAstSBI">#REF!</definedName>
    <definedName name="DTAstSCORP">#REF!</definedName>
    <definedName name="DTAstSEEDS">#REF!</definedName>
    <definedName name="DTAstTMRI">#REF!</definedName>
    <definedName name="DTAstWILMINGTON">#REF!</definedName>
    <definedName name="DTAstZAPH">#REF!</definedName>
    <definedName name="eee">"V2001-12-31"</definedName>
    <definedName name="eeee" hidden="1">{#N/A,#N/A,FALSE,"O&amp;M by processes";#N/A,#N/A,FALSE,"Elec Act vs Bud";#N/A,#N/A,FALSE,"G&amp;A";#N/A,#N/A,FALSE,"BGS";#N/A,#N/A,FALSE,"Res Cost"}</definedName>
    <definedName name="Elim">#REF!</definedName>
    <definedName name="ENTITY">[20]Settings!$F$17</definedName>
    <definedName name="EROA">[15]Inputs!$B$3</definedName>
    <definedName name="ESPYMT">#REF!</definedName>
    <definedName name="ETR">#REF!</definedName>
    <definedName name="EV__LASTREFTIME__">39773.6430324074</definedName>
    <definedName name="f1_respondent_id">#REF!</definedName>
    <definedName name="Facilities">1700</definedName>
    <definedName name="FAS109YTD">[9]December!#REF!</definedName>
    <definedName name="FB_CUSTOMERS">#REF!</definedName>
    <definedName name="FB_LINES">#REF!</definedName>
    <definedName name="FEB">#REF!</definedName>
    <definedName name="FED">#REF!</definedName>
    <definedName name="FEDDEFERREDTAX">#REF!</definedName>
    <definedName name="fieldNo">[17]Input!#REF!</definedName>
    <definedName name="fieldProd">[17]Input!#REF!</definedName>
    <definedName name="fieldSalary">[17]Input!#REF!</definedName>
    <definedName name="FIN">#REF!</definedName>
    <definedName name="FINAWOFF">#REF!</definedName>
    <definedName name="FIT">#REF!</definedName>
    <definedName name="FORM">#REF!</definedName>
    <definedName name="Format">#REF!</definedName>
    <definedName name="Forms">#REF!</definedName>
    <definedName name="Fossil_BGS">[13]Assumptions!$E$58</definedName>
    <definedName name="Fossil_Secur_Date">[10]Assumptions!$E$22</definedName>
    <definedName name="GBBCDEFTAXBAL">#REF!</definedName>
    <definedName name="GenLedger">[22]PEPCO!$A$9:$H$774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URS">#REF!</definedName>
    <definedName name="GRT">#REF!</definedName>
    <definedName name="GTDAMERICAS">#REF!</definedName>
    <definedName name="GTDCROP">#REF!</definedName>
    <definedName name="GTDFINANCE">#REF!</definedName>
    <definedName name="GTDGARSTSEEDS">#REF!</definedName>
    <definedName name="GTDINVESTMENT">#REF!</definedName>
    <definedName name="GTDSANDOZ">#REF!</definedName>
    <definedName name="GTDSBI">#REF!</definedName>
    <definedName name="GTDSCORP">#REF!</definedName>
    <definedName name="GTDSEEDS">#REF!</definedName>
    <definedName name="GTDstGARSTSEEDS">#REF!</definedName>
    <definedName name="GTDTMRI">#REF!</definedName>
    <definedName name="GTDWILMINGTON">#REF!</definedName>
    <definedName name="GTDZAPH">#REF!</definedName>
    <definedName name="Header">#REF!</definedName>
    <definedName name="historiccents">#REF!</definedName>
    <definedName name="homeNo">[17]Input!#REF!</definedName>
    <definedName name="homeProd">[17]Input!#REF!</definedName>
    <definedName name="homeSalary">[17]Input!#REF!</definedName>
    <definedName name="HOURS">#REF!</definedName>
    <definedName name="HTML_CodePage">1252</definedName>
    <definedName name="HTML_Control">{"'Metretek HTML'!$A$7:$W$42"}</definedName>
    <definedName name="HTML_Description">"volumes shown are sendout = sales + line loss (KDths - wet)"</definedName>
    <definedName name="HTML_Email">""</definedName>
    <definedName name="HTML_Header">"Firm &amp; Interruptible Delivery Service &amp; Bundled Sales"</definedName>
    <definedName name="HTML_LastUpdate">"1/18/01"</definedName>
    <definedName name="HTML_LineAfter">FALSE</definedName>
    <definedName name="HTML_LineBefore">FALSE</definedName>
    <definedName name="HTML_Name">"Dispatch Operations  --  7-4371"</definedName>
    <definedName name="HTML_OBDlg2">TRUE</definedName>
    <definedName name="HTML_OBDlg4">TRUE</definedName>
    <definedName name="HTML_OS">0</definedName>
    <definedName name="HTML_PathFile">"I:\COMMON\DISPATCH\Daily Reports\HTML files FY 2000\metretekDec00.htm"</definedName>
    <definedName name="HTML_Title">"Metretek Readings - December 2000"</definedName>
    <definedName name="IBMDirDoc">#REF!</definedName>
    <definedName name="IBMDirDollars">#REF!</definedName>
    <definedName name="Inactive">#REF!</definedName>
    <definedName name="INC">#REF!</definedName>
    <definedName name="Include_OTRA_Kwhrs">[23]Inputs!#REF!</definedName>
    <definedName name="INCP">#REF!</definedName>
    <definedName name="INCPBOD">#REF!</definedName>
    <definedName name="INDEX">#REF!</definedName>
    <definedName name="INPUT">#REF!</definedName>
    <definedName name="int_rate">#REF!</definedName>
    <definedName name="intang_afudc910">[24]criteria!$A$5:$B$6</definedName>
    <definedName name="Investment">#REF!</definedName>
    <definedName name="JAN">#REF!</definedName>
    <definedName name="JE">#REF!</definedName>
    <definedName name="JULY">#REF!</definedName>
    <definedName name="JUNE">#REF!</definedName>
    <definedName name="KeyCon_Close_Date">[13]Assumptions!$E$29</definedName>
    <definedName name="klio">{"'Metretek HTML'!$A$7:$W$42"}</definedName>
    <definedName name="l">[25]Lists!$A$2:$A$4</definedName>
    <definedName name="LabHour">#REF!</definedName>
    <definedName name="Labor">#REF!</definedName>
    <definedName name="Levelized..FM1.ROR..print">#REF!</definedName>
    <definedName name="LicenseCOS">0.01</definedName>
    <definedName name="limcount" hidden="1">1</definedName>
    <definedName name="LK">{"'Metretek HTML'!$A$7:$W$42"}</definedName>
    <definedName name="lob">#REF!</definedName>
    <definedName name="lobcolumn">#REF!</definedName>
    <definedName name="LOLD">1</definedName>
    <definedName name="LOLD_Capital">11</definedName>
    <definedName name="LOLD_Expense">11</definedName>
    <definedName name="LOLD_Table">10</definedName>
    <definedName name="Maintenance">0.15</definedName>
    <definedName name="map.v1">#REF!</definedName>
    <definedName name="MAR">#REF!</definedName>
    <definedName name="MAY">#REF!</definedName>
    <definedName name="MILESTONES_1">#REF!</definedName>
    <definedName name="MILESTONES_2">#REF!</definedName>
    <definedName name="million">1000000</definedName>
    <definedName name="month">[26]RPT80MAR!$A$1:$D$77</definedName>
    <definedName name="MTC_Amortization">'[13]JFJ-3 MTC Rate'!$A$32:$F$82</definedName>
    <definedName name="MTC_Type">#REF!</definedName>
    <definedName name="NET_INCOME_BEFORE_TAXES_BY_BUSINESS_AREA">#REF!</definedName>
    <definedName name="new" hidden="1">{#N/A,#N/A,FALSE,"O&amp;M by processes";#N/A,#N/A,FALSE,"Elec Act vs Bud";#N/A,#N/A,FALSE,"G&amp;A";#N/A,#N/A,FALSE,"BGS";#N/A,#N/A,FALSE,"Res Cost"}</definedName>
    <definedName name="NewHire">8500</definedName>
    <definedName name="NON_PROCESS_DETAIL">#REF!</definedName>
    <definedName name="NON_PROCESS_PRESENTATION_PAGE">#REF!</definedName>
    <definedName name="NOV">#REF!</definedName>
    <definedName name="NPPBC">#REF!</definedName>
    <definedName name="Nuclear_Secur_Date">[10]Assumptions!$E$21</definedName>
    <definedName name="NUTIL">#REF!</definedName>
    <definedName name="NvsASD">"V2000-12-31"</definedName>
    <definedName name="NvsAutoDrillOk">"VN"</definedName>
    <definedName name="NvsElapsedTime">0.0000140046249725856</definedName>
    <definedName name="NvsEndTime">37081.606168287</definedName>
    <definedName name="NvsInstLang">"VENG"</definedName>
    <definedName name="NvsInstSpec">"%,LACT_LEDGER,SYTD,FBUSINESS_UNIT,TCONSOLID,NDECO_BUNDL,FACCOUNT,TACCT_SUMMARY,NAMRT_DF_DPR_DEF_RT_P"</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"%,XZF.ACCOUNT.PSDetail"</definedName>
    <definedName name="NvsPanelBusUnit">"V"</definedName>
    <definedName name="NvsPanelEffdt">"V1992-12-10"</definedName>
    <definedName name="NvsPanelSetid">"VNEWGN"</definedName>
    <definedName name="NvsReqBU">"VDECO"</definedName>
    <definedName name="NvsReqBUOnly">"VY"</definedName>
    <definedName name="NvsTransLed">"VN"</definedName>
    <definedName name="NvsTreeASD">"V1997-01-01"</definedName>
    <definedName name="NvsValTbl.ACCOUNT">"GL_ACCOUNT_TBL"</definedName>
    <definedName name="NvsValTbl.ACCOUNTING_PERIOD">"CAL_DETP_TBL"</definedName>
    <definedName name="NvsValTbl.BUSINESS_UNIT">"BUS_UNIT_TBL_GL"</definedName>
    <definedName name="NvsValTbl.CURRENCY_CD">"CURRENCY_CD_TBL"</definedName>
    <definedName name="NvsValTbl.DEPTID">"DEPARTMENT_TBL"</definedName>
    <definedName name="NvsValTbl.PROJECT_ID">"PROJECT_FS"</definedName>
    <definedName name="OCT">#REF!</definedName>
    <definedName name="OLDTOT">#REF!</definedName>
    <definedName name="one">1</definedName>
    <definedName name="PAGE_1">#REF!</definedName>
    <definedName name="PAGE1">#REF!</definedName>
    <definedName name="PAGE2">#REF!</definedName>
    <definedName name="PAGE3">#REF!</definedName>
    <definedName name="PAGE4">#REF!</definedName>
    <definedName name="PAGE5">#REF!</definedName>
    <definedName name="PAGE6">#REF!</definedName>
    <definedName name="PAGE7">#REF!</definedName>
    <definedName name="PAGE8">#REF!</definedName>
    <definedName name="pctHW">[17]Input!$M$24</definedName>
    <definedName name="pctSWExp">[17]Input!$M$26</definedName>
    <definedName name="pctTraining">[17]Input!$M$25</definedName>
    <definedName name="PG3A">#REF!</definedName>
    <definedName name="pgprct">'[11]Percent Read YTD '!#REF!</definedName>
    <definedName name="PGPSA">#REF!</definedName>
    <definedName name="post_fossil">[13]Assumptions!$E$59</definedName>
    <definedName name="PPA">[10]Assumptions!$E$38</definedName>
    <definedName name="presentation">#REF!</definedName>
    <definedName name="PRESENTATION_PG_1">#REF!</definedName>
    <definedName name="PreTaxDebt">'[13]MTC Return'!$F$18</definedName>
    <definedName name="PRINT">#REF!</definedName>
    <definedName name="Print.selection.print">#REF!</definedName>
    <definedName name="_xlnm.Print_Area" localSheetId="1">'1 - ADIT'!$A$1:$G$145</definedName>
    <definedName name="_xlnm.Print_Area" localSheetId="2">'2 - Other Tax'!$A$1:$G$70</definedName>
    <definedName name="_xlnm.Print_Area" localSheetId="3">'3 - Revenue Credits'!$A$1:$F$47</definedName>
    <definedName name="_xlnm.Print_Area" localSheetId="4">'4 - 100 Basis Pt ROE'!$A$1:$I$77</definedName>
    <definedName name="_xlnm.Print_Area" localSheetId="5">'5 - Cost Support 1'!$A$1:$Q$261</definedName>
    <definedName name="_xlnm.Print_Area" localSheetId="7">'6- Est &amp; Reconcile WS'!$A$1:$R$173</definedName>
    <definedName name="_xlnm.Print_Area" localSheetId="8">'7 - Cap Add WS'!$A$1:$BC$78</definedName>
    <definedName name="_xlnm.Print_Area" localSheetId="0">'ATT H-3D'!$A$1:$H$330</definedName>
    <definedName name="_xlnm.Print_Area">#REF!</definedName>
    <definedName name="Print_Area_1">#REF!</definedName>
    <definedName name="Print_Area_MI">#REF!</definedName>
    <definedName name="_xlnm.Print_Titles" localSheetId="5">'5 - Cost Support 1'!$1:$3</definedName>
    <definedName name="_xlnm.Print_Titles" localSheetId="0">'ATT H-3D'!$A:$G</definedName>
    <definedName name="Print_Titles_MI">'[27]DACTIVE$'!$A$1:$IV$4,'[27]DACTIVE$'!$A$1:$A$65536</definedName>
    <definedName name="printarea">#REF!</definedName>
    <definedName name="PrintareaDec">'[28]kWh-Mcf'!$E$97,'[28]kWh-Mcf'!$A$81:$E$118,'[28]kWh-Mcf'!$AM$86:$AO$118</definedName>
    <definedName name="Prior_Plan_Results">#REF!</definedName>
    <definedName name="Prior_Plan_Results_Year_2">#REF!</definedName>
    <definedName name="Prior_Plan_Results_Year_3">#REF!</definedName>
    <definedName name="Prior_Plan_Sensitivity">#REF!</definedName>
    <definedName name="Prior_Plan_Sensitivity_Year_2">#REF!</definedName>
    <definedName name="Prior_Plan_Sensitivity_Year_3">#REF!</definedName>
    <definedName name="process">#REF!</definedName>
    <definedName name="processcolumn">#REF!</definedName>
    <definedName name="profitPerCust">[17]Input!#REF!</definedName>
    <definedName name="qw">{"'Metretek HTML'!$A$7:$W$42"}</definedName>
    <definedName name="Rate_Reduction_Factor">#REF!</definedName>
    <definedName name="RawData">#REF!</definedName>
    <definedName name="RECONCILIATION">#REF!</definedName>
    <definedName name="REMOVAL1">#REF!</definedName>
    <definedName name="RESALE_CUSTOMERS">#REF!</definedName>
    <definedName name="RESALE_LINES">#REF!</definedName>
    <definedName name="Results">#REF!</definedName>
    <definedName name="rrrr" hidden="1">{#N/A,#N/A,FALSE,"O&amp;M by processes";#N/A,#N/A,FALSE,"Elec Act vs Bud";#N/A,#N/A,FALSE,"G&amp;A";#N/A,#N/A,FALSE,"BGS";#N/A,#N/A,FALSE,"Res Cost"}</definedName>
    <definedName name="RSHCust">'[29]Chart6-8 data'!#REF!</definedName>
    <definedName name="SAPBEXhrIndnt" hidden="1">"Wide"</definedName>
    <definedName name="SAPBEXrevision">1</definedName>
    <definedName name="SAPBEXsysID">"BWP"</definedName>
    <definedName name="SAPBEXwbID">"4AO3M5394FE1TJAHPAPP5YWL5"</definedName>
    <definedName name="SAPsysID" hidden="1">"708C5W7SBKP804JT78WJ0JNKI"</definedName>
    <definedName name="SAPwbID" hidden="1">"ARS"</definedName>
    <definedName name="SEPT">#REF!</definedName>
    <definedName name="SFC">#REF!</definedName>
    <definedName name="Sheet1NvsInstanceHook">Collapse_Columns</definedName>
    <definedName name="shiva" hidden="1">{#N/A,#N/A,FALSE,"O&amp;M by processes";#N/A,#N/A,FALSE,"Elec Act vs Bud";#N/A,#N/A,FALSE,"G&amp;A";#N/A,#N/A,FALSE,"BGS";#N/A,#N/A,FALSE,"Res Cost"}</definedName>
    <definedName name="solver_adj" localSheetId="0" hidden="1">'ATT H-3D'!#REF!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'ATT H-3D'!#REF!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SMIGR">#REF!</definedName>
    <definedName name="SOSMIGRDETAIL">#REF!</definedName>
    <definedName name="ssssssssss">{"'Metretek HTML'!$A$7:$W$42"}</definedName>
    <definedName name="ST">#REF!</definedName>
    <definedName name="start1">#REF!</definedName>
    <definedName name="State">[30]List!$A$2:$A$53</definedName>
    <definedName name="StateDef">#REF!</definedName>
    <definedName name="stats">#REF!</definedName>
    <definedName name="statsrevised" hidden="1">{#N/A,#N/A,FALSE,"O&amp;M by processes";#N/A,#N/A,FALSE,"Elec Act vs Bud";#N/A,#N/A,FALSE,"G&amp;A";#N/A,#N/A,FALSE,"BGS";#N/A,#N/A,FALSE,"Res Cost"}</definedName>
    <definedName name="STnabri">#REF!</definedName>
    <definedName name="STsai">#REF!</definedName>
    <definedName name="STscorp">#REF!</definedName>
    <definedName name="STseeds">#REF!</definedName>
    <definedName name="STsfc">#REF!</definedName>
    <definedName name="STtmri">#REF!</definedName>
    <definedName name="STzap">#REF!</definedName>
    <definedName name="summary">#REF!</definedName>
    <definedName name="SUMMARYOFBOOKINCOME">#REF!</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SUT">#REF!</definedName>
    <definedName name="Swap_Amort">'[13]Keystone Swap Amort Sched'!$A$1:$F$241</definedName>
    <definedName name="SWITCH">[1]Assump!#REF!</definedName>
    <definedName name="sysOpImprov">[17]Input!#REF!</definedName>
    <definedName name="sysOpYears">[17]Input!#REF!</definedName>
    <definedName name="TABLE_A">#REF!</definedName>
    <definedName name="TABLE_A2">#REF!</definedName>
    <definedName name="TABLE_B">#REF!</definedName>
    <definedName name="Tacx_Factor">[13]Assumptions!$E$52</definedName>
    <definedName name="Tax_Rate">#REF!</definedName>
    <definedName name="Taxes" localSheetId="1">0.085</definedName>
    <definedName name="TAXES">#REF!</definedName>
    <definedName name="Taxrate">'[31]Case study '!$C$28</definedName>
    <definedName name="TAXREMOV">#REF!</definedName>
    <definedName name="TBL1_3">#REF!</definedName>
    <definedName name="TBL13_5">#REF!</definedName>
    <definedName name="TBL5_7">#REF!</definedName>
    <definedName name="TBL9_11">#REF!</definedName>
    <definedName name="TEFA">#REF!</definedName>
    <definedName name="test">{"'Metretek HTML'!$A$7:$W$42"}</definedName>
    <definedName name="TEST0">#REF!</definedName>
    <definedName name="TEST1">#REF!</definedName>
    <definedName name="TEST2">#REF!</definedName>
    <definedName name="TEST3">#REF!</definedName>
    <definedName name="TESTHKEY">'[19]190100'!#REF!</definedName>
    <definedName name="TESTKEYS">#REF!</definedName>
    <definedName name="TESTVKEY">#REF!</definedName>
    <definedName name="TEXT">{"'Metretek HTML'!$A$7:$W$42"}</definedName>
    <definedName name="thousand">1000</definedName>
    <definedName name="TITLES">#REF!</definedName>
    <definedName name="TMRI">#REF!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ppage">#REF!</definedName>
    <definedName name="TOT">#REF!</definedName>
    <definedName name="total">#REF!</definedName>
    <definedName name="TOTAL_CUSTOMERS">#REF!</definedName>
    <definedName name="TOTAL_LINES">#REF!</definedName>
    <definedName name="trandis">#REF!</definedName>
    <definedName name="trandiscolumn">#REF!</definedName>
    <definedName name="Trueup">[9]December!#REF!</definedName>
    <definedName name="Uncollectible">#REF!</definedName>
    <definedName name="UTIL">#REF!</definedName>
    <definedName name="v">[32]Cover!$A$9</definedName>
    <definedName name="valDate">[15]Inputs!$B$1</definedName>
    <definedName name="version">[33]Cover!$A$9</definedName>
    <definedName name="WCCGCR2">[29]Rates!$B$96:$C$190</definedName>
    <definedName name="we">{"'Metretek HTML'!$A$7:$W$42"}</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ILM">#REF!</definedName>
    <definedName name="Work_Performed_report">#REF!</definedName>
    <definedName name="WORKSHEET">#REF!</definedName>
    <definedName name="WORKSHEET2">#REF!</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a">{"'Metretek HTML'!$A$7:$W$42"}</definedName>
    <definedName name="xls">{"'Metretek HTML'!$A$7:$W$42"}</definedName>
    <definedName name="XO">{"'Metretek HTML'!$A$7:$W$42"}</definedName>
    <definedName name="xs">{"'Metretek HTML'!$A$7:$W$42"}</definedName>
    <definedName name="xTc">'[34]PMG Annual'!#REF!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xxxxxxx">{"'Metretek HTML'!$A$7:$W$42"}</definedName>
    <definedName name="XXXXXXXXXXXXXX">{"'Metretek HTML'!$A$7:$W$42"}</definedName>
    <definedName name="xy">{"'Metretek HTML'!$A$7:$W$42"}</definedName>
    <definedName name="XZ">{"'Metretek HTML'!$A$7:$W$42"}</definedName>
    <definedName name="year" localSheetId="1">{"'Metretek HTML'!$A$7:$W$42"}</definedName>
    <definedName name="Year">#REF!</definedName>
    <definedName name="YEAR1">[35]INPUTS!$C$17</definedName>
    <definedName name="yeartodate">[26]RPT80MAR!$A$84:$D$158</definedName>
    <definedName name="ytd">#REF!</definedName>
    <definedName name="yy">{"'Metretek HTML'!$A$7:$W$42"}</definedName>
    <definedName name="Z_28948E05_8F34_4F1E_96FB_A80A6A844600_.wvu.Cols" localSheetId="8" hidden="1">'7 - Cap Add WS'!$Q:$AB</definedName>
    <definedName name="Z_28948E05_8F34_4F1E_96FB_A80A6A844600_.wvu.PrintTitles" localSheetId="8" hidden="1">'7 - Cap Add WS'!$C:$D</definedName>
    <definedName name="Z_3BDD6235_B127_4929_8311_BDAF7BB89818_.wvu.PrintArea" localSheetId="2" hidden="1">'2 - Other Tax'!$A$1:$G$70</definedName>
    <definedName name="Z_3BDD6235_B127_4929_8311_BDAF7BB89818_.wvu.PrintArea" localSheetId="3" hidden="1">'3 - Revenue Credits'!$A$1:$D$44</definedName>
    <definedName name="Z_3BDD6235_B127_4929_8311_BDAF7BB89818_.wvu.PrintArea" localSheetId="4" hidden="1">'4 - 100 Basis Pt ROE'!$A$1:$I$77</definedName>
    <definedName name="Z_3BDD6235_B127_4929_8311_BDAF7BB89818_.wvu.PrintArea" localSheetId="5" hidden="1">'5 - Cost Support 1'!$A$1:$Q$169</definedName>
    <definedName name="Z_3BDD6235_B127_4929_8311_BDAF7BB89818_.wvu.PrintArea" localSheetId="0" hidden="1">'ATT H-3D'!$A$1:$H$332</definedName>
    <definedName name="Z_3BDD6235_B127_4929_8311_BDAF7BB89818_.wvu.PrintTitles" localSheetId="5" hidden="1">'5 - Cost Support 1'!$1:$3</definedName>
    <definedName name="Z_3BDD6235_B127_4929_8311_BDAF7BB89818_.wvu.PrintTitles" localSheetId="0" hidden="1">'ATT H-3D'!$A:$G</definedName>
    <definedName name="Z_3BDD6235_B127_4929_8311_BDAF7BB89818_.wvu.Rows" localSheetId="5" hidden="1">'5 - Cost Support 1'!$28:$29</definedName>
    <definedName name="Z_4C8E812F_DAB5_4C49_9682_E5A34DC8C1B4_.wvu.PrintArea" localSheetId="2" hidden="1">'2 - Other Tax'!$A$1:$G$70</definedName>
    <definedName name="Z_4C8E812F_DAB5_4C49_9682_E5A34DC8C1B4_.wvu.PrintArea" localSheetId="3" hidden="1">'3 - Revenue Credits'!$A$1:$D$44</definedName>
    <definedName name="Z_4C8E812F_DAB5_4C49_9682_E5A34DC8C1B4_.wvu.PrintArea" localSheetId="4" hidden="1">'4 - 100 Basis Pt ROE'!$A$1:$I$77</definedName>
    <definedName name="Z_4C8E812F_DAB5_4C49_9682_E5A34DC8C1B4_.wvu.PrintArea" localSheetId="5" hidden="1">'5 - Cost Support 1'!$A$1:$Q$169</definedName>
    <definedName name="Z_4C8E812F_DAB5_4C49_9682_E5A34DC8C1B4_.wvu.PrintArea" localSheetId="0" hidden="1">'ATT H-3D'!$A$1:$H$332</definedName>
    <definedName name="Z_4C8E812F_DAB5_4C49_9682_E5A34DC8C1B4_.wvu.PrintTitles" localSheetId="5" hidden="1">'5 - Cost Support 1'!$1:$3</definedName>
    <definedName name="Z_4C8E812F_DAB5_4C49_9682_E5A34DC8C1B4_.wvu.PrintTitles" localSheetId="0" hidden="1">'ATT H-3D'!$A:$G</definedName>
    <definedName name="Z_4C8E812F_DAB5_4C49_9682_E5A34DC8C1B4_.wvu.Rows" localSheetId="5" hidden="1">'5 - Cost Support 1'!$28:$29</definedName>
    <definedName name="Z_4F5BB44A_5460_4358_BCFE_B7FB945BAE1D_.wvu.PrintArea" localSheetId="2" hidden="1">'2 - Other Tax'!$A$1:$G$70</definedName>
    <definedName name="Z_4F5BB44A_5460_4358_BCFE_B7FB945BAE1D_.wvu.PrintArea" localSheetId="3" hidden="1">'3 - Revenue Credits'!$A$1:$D$44</definedName>
    <definedName name="Z_4F5BB44A_5460_4358_BCFE_B7FB945BAE1D_.wvu.PrintArea" localSheetId="4" hidden="1">'4 - 100 Basis Pt ROE'!$A$1:$I$77</definedName>
    <definedName name="Z_4F5BB44A_5460_4358_BCFE_B7FB945BAE1D_.wvu.PrintArea" localSheetId="5" hidden="1">'5 - Cost Support 1'!$A$1:$Q$169</definedName>
    <definedName name="Z_4F5BB44A_5460_4358_BCFE_B7FB945BAE1D_.wvu.PrintArea" localSheetId="0" hidden="1">'ATT H-3D'!$A$1:$H$332</definedName>
    <definedName name="Z_4F5BB44A_5460_4358_BCFE_B7FB945BAE1D_.wvu.PrintTitles" localSheetId="5" hidden="1">'5 - Cost Support 1'!$1:$3</definedName>
    <definedName name="Z_4F5BB44A_5460_4358_BCFE_B7FB945BAE1D_.wvu.PrintTitles" localSheetId="0" hidden="1">'ATT H-3D'!$A:$G</definedName>
    <definedName name="Z_4F5BB44A_5460_4358_BCFE_B7FB945BAE1D_.wvu.Rows" localSheetId="5" hidden="1">'5 - Cost Support 1'!$28:$29</definedName>
    <definedName name="Z_63011E91_4609_4523_98FE_FD252E915668_.wvu.Cols" localSheetId="8" hidden="1">'7 - Cap Add WS'!$Q:$AB</definedName>
    <definedName name="Z_63011E91_4609_4523_98FE_FD252E915668_.wvu.PrintArea" localSheetId="7" hidden="1">'6- Est &amp; Reconcile WS'!$A$1:$Q$168</definedName>
    <definedName name="Z_63011E91_4609_4523_98FE_FD252E915668_.wvu.PrintArea" localSheetId="8" hidden="1">'7 - Cap Add WS'!$C$1:$BD$80</definedName>
    <definedName name="Z_63011E91_4609_4523_98FE_FD252E915668_.wvu.PrintTitles" localSheetId="8" hidden="1">'7 - Cap Add WS'!$C:$D</definedName>
    <definedName name="Z_6FDC2004_56D4_4E4C_BEEF_80DB64AD0DBB_.wvu.PrintArea" localSheetId="2" hidden="1">'2 - Other Tax'!$A$1:$H$70</definedName>
    <definedName name="Z_6FDC2004_56D4_4E4C_BEEF_80DB64AD0DBB_.wvu.PrintArea" localSheetId="3" hidden="1">'3 - Revenue Credits'!$A$1:$D$45</definedName>
    <definedName name="Z_6FDC2004_56D4_4E4C_BEEF_80DB64AD0DBB_.wvu.PrintArea" localSheetId="4" hidden="1">'4 - 100 Basis Pt ROE'!$A$1:$I$77</definedName>
    <definedName name="Z_6FDC2004_56D4_4E4C_BEEF_80DB64AD0DBB_.wvu.PrintArea" localSheetId="5" hidden="1">'5 - Cost Support 1'!$A$1:$Q$169</definedName>
    <definedName name="Z_6FDC2004_56D4_4E4C_BEEF_80DB64AD0DBB_.wvu.PrintArea" localSheetId="0" hidden="1">'ATT H-3D'!$A$1:$H$332</definedName>
    <definedName name="Z_6FDC2004_56D4_4E4C_BEEF_80DB64AD0DBB_.wvu.PrintTitles" localSheetId="5" hidden="1">'5 - Cost Support 1'!$1:$3</definedName>
    <definedName name="Z_6FDC2004_56D4_4E4C_BEEF_80DB64AD0DBB_.wvu.PrintTitles" localSheetId="0" hidden="1">'ATT H-3D'!$A:$G</definedName>
    <definedName name="Z_6FDC2004_56D4_4E4C_BEEF_80DB64AD0DBB_.wvu.Rows" localSheetId="5" hidden="1">'5 - Cost Support 1'!$28:$29</definedName>
    <definedName name="Z_71B42B22_A376_44B5_B0C1_23FC1AA3DBA2_.wvu.Cols" localSheetId="8" hidden="1">'7 - Cap Add WS'!$Q:$AB</definedName>
    <definedName name="Z_71B42B22_A376_44B5_B0C1_23FC1AA3DBA2_.wvu.PrintTitles" localSheetId="8" hidden="1">'7 - Cap Add WS'!$C:$D</definedName>
    <definedName name="Z_B647CB7F_C846_4278_B6B1_1EF7F3C004F5_.wvu.Cols" localSheetId="8" hidden="1">'7 - Cap Add WS'!$Q:$AB</definedName>
    <definedName name="Z_B647CB7F_C846_4278_B6B1_1EF7F3C004F5_.wvu.PrintTitles" localSheetId="8" hidden="1">'7 - Cap Add WS'!$C:$D</definedName>
    <definedName name="Z_C0EA0F9F_7310_4201_82C9_7B8FC8DB9137_.wvu.PrintArea" localSheetId="2" hidden="1">'2 - Other Tax'!$A$1:$G$70</definedName>
    <definedName name="Z_C0EA0F9F_7310_4201_82C9_7B8FC8DB9137_.wvu.PrintArea" localSheetId="3" hidden="1">'3 - Revenue Credits'!$A$1:$D$44</definedName>
    <definedName name="Z_C0EA0F9F_7310_4201_82C9_7B8FC8DB9137_.wvu.PrintArea" localSheetId="4" hidden="1">'4 - 100 Basis Pt ROE'!$A$1:$I$77</definedName>
    <definedName name="Z_C0EA0F9F_7310_4201_82C9_7B8FC8DB9137_.wvu.PrintArea" localSheetId="5" hidden="1">'5 - Cost Support 1'!$A$1:$Q$169</definedName>
    <definedName name="Z_C0EA0F9F_7310_4201_82C9_7B8FC8DB9137_.wvu.PrintArea" localSheetId="0" hidden="1">'ATT H-3D'!$A$1:$H$332</definedName>
    <definedName name="Z_C0EA0F9F_7310_4201_82C9_7B8FC8DB9137_.wvu.PrintTitles" localSheetId="5" hidden="1">'5 - Cost Support 1'!$1:$3</definedName>
    <definedName name="Z_C0EA0F9F_7310_4201_82C9_7B8FC8DB9137_.wvu.PrintTitles" localSheetId="0" hidden="1">'ATT H-3D'!$A:$G</definedName>
    <definedName name="Z_C0EA0F9F_7310_4201_82C9_7B8FC8DB9137_.wvu.Rows" localSheetId="5" hidden="1">'5 - Cost Support 1'!$28:$29</definedName>
    <definedName name="Z_DC91DEF3_837B_4BB9_A81E_3B78C5914E6C_.wvu.Cols" localSheetId="8" hidden="1">'7 - Cap Add WS'!$Q:$AB</definedName>
    <definedName name="Z_DC91DEF3_837B_4BB9_A81E_3B78C5914E6C_.wvu.PrintTitles" localSheetId="8" hidden="1">'7 - Cap Add WS'!$C:$D</definedName>
    <definedName name="Z_DD59B418_F201_4517_876C_F4216587CC56_.wvu.PrintArea" localSheetId="2" hidden="1">'2 - Other Tax'!$A$1:$G$70</definedName>
    <definedName name="Z_DD59B418_F201_4517_876C_F4216587CC56_.wvu.PrintArea" localSheetId="3" hidden="1">'3 - Revenue Credits'!$A$1:$D$45</definedName>
    <definedName name="Z_DD59B418_F201_4517_876C_F4216587CC56_.wvu.PrintArea" localSheetId="4" hidden="1">'4 - 100 Basis Pt ROE'!$A$1:$I$77</definedName>
    <definedName name="Z_DD59B418_F201_4517_876C_F4216587CC56_.wvu.PrintArea" localSheetId="5" hidden="1">'5 - Cost Support 1'!$A$1:$Q$169</definedName>
    <definedName name="Z_DD59B418_F201_4517_876C_F4216587CC56_.wvu.PrintArea" localSheetId="0" hidden="1">'ATT H-3D'!$A$1:$H$332</definedName>
    <definedName name="Z_DD59B418_F201_4517_876C_F4216587CC56_.wvu.PrintTitles" localSheetId="5" hidden="1">'5 - Cost Support 1'!$1:$3</definedName>
    <definedName name="Z_DD59B418_F201_4517_876C_F4216587CC56_.wvu.PrintTitles" localSheetId="0" hidden="1">'ATT H-3D'!$A:$G</definedName>
    <definedName name="Z_FAAD9AAC_1337_43AB_BF1F_CCF9DFCF5B78_.wvu.Cols" localSheetId="8" hidden="1">'7 - Cap Add WS'!$Q:$AB</definedName>
    <definedName name="Z_FAAD9AAC_1337_43AB_BF1F_CCF9DFCF5B78_.wvu.PrintTitles" localSheetId="8" hidden="1">'7 - Cap Add WS'!$C:$D</definedName>
    <definedName name="zaph">#REF!</definedName>
    <definedName name="zero">0</definedName>
  </definedNames>
  <calcPr calcId="145621"/>
  <customWorkbookViews>
    <customWorkbookView name="x317aks - Personal View" guid="{DD59B418-F201-4517-876C-F4216587CC56}" mergeInterval="0" personalView="1" maximized="1" windowWidth="1676" windowHeight="847" tabRatio="809" activeSheetId="1"/>
    <customWorkbookView name="Dana Olds - Personal View" guid="{6FDC2004-56D4-4E4C-BEEF-80DB64AD0DBB}" mergeInterval="0" personalView="1" maximized="1" windowWidth="1020" windowHeight="605" tabRatio="809" activeSheetId="10"/>
    <customWorkbookView name="wdbooth - Personal View" guid="{4F5BB44A-5460-4358-BCFE-B7FB945BAE1D}" mergeInterval="0" personalView="1" maximized="1" windowWidth="756" windowHeight="354" tabRatio="809" activeSheetId="4"/>
    <customWorkbookView name="x086hmh - Personal View" guid="{C0EA0F9F-7310-4201-82C9-7B8FC8DB9137}" mergeInterval="0" personalView="1" maximized="1" windowWidth="1676" windowHeight="904" tabRatio="809" activeSheetId="9"/>
    <customWorkbookView name="Helen Hight - Personal View" guid="{3BDD6235-B127-4929-8311-BDAF7BB89818}" mergeInterval="0" personalView="1" maximized="1" windowWidth="1020" windowHeight="570" tabRatio="809" activeSheetId="1"/>
    <customWorkbookView name="Preferred Customer - Personal View" guid="{4C8E812F-DAB5-4C49-9682-E5A34DC8C1B4}" mergeInterval="0" personalView="1" maximized="1" windowWidth="1020" windowHeight="579" tabRatio="809" activeSheetId="8"/>
  </customWorkbookViews>
</workbook>
</file>

<file path=xl/calcChain.xml><?xml version="1.0" encoding="utf-8"?>
<calcChain xmlns="http://schemas.openxmlformats.org/spreadsheetml/2006/main">
  <c r="D34" i="4" l="1"/>
  <c r="B170" i="11" l="1"/>
  <c r="C170" i="11"/>
  <c r="D170" i="11"/>
  <c r="A170" i="11"/>
  <c r="B166" i="11"/>
  <c r="C166" i="11"/>
  <c r="D166" i="11"/>
  <c r="A166" i="11"/>
  <c r="H162" i="11" l="1"/>
  <c r="D259" i="6"/>
  <c r="D248" i="6"/>
  <c r="D237" i="6"/>
  <c r="D240" i="6" s="1"/>
  <c r="D243" i="6" s="1"/>
  <c r="D258" i="6" s="1"/>
  <c r="D239" i="6" l="1"/>
  <c r="E224" i="6" l="1"/>
  <c r="E221" i="6"/>
  <c r="E222" i="6" s="1"/>
  <c r="E223" i="6" s="1"/>
  <c r="E225" i="6" s="1"/>
  <c r="E226" i="6" s="1"/>
  <c r="E218" i="6" s="1"/>
  <c r="E220" i="6"/>
  <c r="H125" i="1" l="1"/>
  <c r="D40" i="4" l="1"/>
  <c r="H57" i="6" l="1"/>
  <c r="G57" i="6"/>
  <c r="H227" i="1" l="1"/>
  <c r="D123" i="11" l="1"/>
  <c r="C104" i="22" l="1"/>
  <c r="C69" i="22" l="1"/>
  <c r="F46" i="22"/>
  <c r="E46" i="22"/>
  <c r="D46" i="22"/>
  <c r="C46" i="22"/>
  <c r="F45" i="22"/>
  <c r="E45" i="22"/>
  <c r="D45" i="22"/>
  <c r="C45" i="22"/>
  <c r="H75" i="1"/>
  <c r="D15" i="22" l="1"/>
  <c r="E138" i="22"/>
  <c r="E142" i="22" s="1"/>
  <c r="D138" i="22"/>
  <c r="D142" i="22" s="1"/>
  <c r="B112" i="22"/>
  <c r="F111" i="22"/>
  <c r="E111" i="22"/>
  <c r="D111" i="22"/>
  <c r="C111" i="22"/>
  <c r="F110" i="22"/>
  <c r="E110" i="22"/>
  <c r="E113" i="22" s="1"/>
  <c r="C12" i="22" s="1"/>
  <c r="D110" i="22"/>
  <c r="D113" i="22" s="1"/>
  <c r="B12" i="22" s="1"/>
  <c r="C110" i="22"/>
  <c r="B109" i="22"/>
  <c r="B108" i="22"/>
  <c r="B107" i="22"/>
  <c r="B106" i="22"/>
  <c r="B105" i="22"/>
  <c r="B104" i="22"/>
  <c r="B103" i="22"/>
  <c r="B102" i="22"/>
  <c r="B101" i="22"/>
  <c r="D21" i="22" s="1"/>
  <c r="B100" i="22"/>
  <c r="B99" i="22"/>
  <c r="B98" i="22"/>
  <c r="B97" i="22"/>
  <c r="B96" i="22"/>
  <c r="B95" i="22"/>
  <c r="B75" i="22"/>
  <c r="E74" i="22"/>
  <c r="D74" i="22"/>
  <c r="C74" i="22"/>
  <c r="F73" i="22"/>
  <c r="F76" i="22" s="1"/>
  <c r="D11" i="22" s="1"/>
  <c r="E73" i="22"/>
  <c r="E76" i="22" s="1"/>
  <c r="C11" i="22" s="1"/>
  <c r="D73" i="22"/>
  <c r="C73" i="22"/>
  <c r="C76" i="22" s="1"/>
  <c r="B72" i="22"/>
  <c r="B71" i="22"/>
  <c r="B70" i="22"/>
  <c r="B69" i="22"/>
  <c r="B68" i="22"/>
  <c r="B67" i="22"/>
  <c r="B46" i="22"/>
  <c r="B45" i="22"/>
  <c r="F44" i="22"/>
  <c r="F47" i="22" s="1"/>
  <c r="D13" i="22" s="1"/>
  <c r="E44" i="22"/>
  <c r="E47" i="22" s="1"/>
  <c r="C13" i="22" s="1"/>
  <c r="D44" i="22"/>
  <c r="D47" i="22" s="1"/>
  <c r="B13" i="22" s="1"/>
  <c r="C44" i="22"/>
  <c r="C47" i="22" s="1"/>
  <c r="B43" i="22"/>
  <c r="B42" i="22"/>
  <c r="B41" i="22"/>
  <c r="B40" i="22"/>
  <c r="B39" i="22"/>
  <c r="B38" i="22"/>
  <c r="B37" i="22"/>
  <c r="B36" i="22"/>
  <c r="B35" i="22"/>
  <c r="B34" i="22"/>
  <c r="B33" i="22"/>
  <c r="B32" i="22"/>
  <c r="B31" i="22"/>
  <c r="B30" i="22"/>
  <c r="B111" i="22" l="1"/>
  <c r="B74" i="22"/>
  <c r="F113" i="22"/>
  <c r="D12" i="22" s="1"/>
  <c r="E12" i="22" s="1"/>
  <c r="B47" i="22"/>
  <c r="C113" i="22"/>
  <c r="E13" i="22"/>
  <c r="D14" i="22"/>
  <c r="C14" i="22"/>
  <c r="D76" i="22"/>
  <c r="B11" i="22" s="1"/>
  <c r="B44" i="22"/>
  <c r="B110" i="22"/>
  <c r="B73" i="22"/>
  <c r="B76" i="22" l="1"/>
  <c r="B113" i="22"/>
  <c r="B14" i="22"/>
  <c r="E11" i="22"/>
  <c r="D17" i="22"/>
  <c r="E14" i="22" l="1"/>
  <c r="B17" i="22"/>
  <c r="H192" i="1" l="1"/>
  <c r="H179" i="1"/>
  <c r="H55" i="6" l="1"/>
  <c r="H15" i="6" l="1"/>
  <c r="G205" i="6" l="1"/>
  <c r="H25" i="1" l="1"/>
  <c r="AW32" i="12" l="1"/>
  <c r="AX74" i="12" s="1"/>
  <c r="AX75" i="12" s="1"/>
  <c r="AX52" i="12" l="1"/>
  <c r="AX53" i="12" s="1"/>
  <c r="AX54" i="12"/>
  <c r="AX55" i="12" s="1"/>
  <c r="AX56" i="12"/>
  <c r="AX57" i="12" s="1"/>
  <c r="AX58" i="12"/>
  <c r="AX59" i="12" s="1"/>
  <c r="AX60" i="12"/>
  <c r="AX61" i="12" s="1"/>
  <c r="AX62" i="12"/>
  <c r="AX63" i="12" s="1"/>
  <c r="AX64" i="12"/>
  <c r="AX65" i="12" s="1"/>
  <c r="AX66" i="12"/>
  <c r="AX67" i="12" s="1"/>
  <c r="AX68" i="12"/>
  <c r="AX69" i="12" s="1"/>
  <c r="AX70" i="12"/>
  <c r="AX71" i="12" s="1"/>
  <c r="AX72" i="12"/>
  <c r="AX73" i="12" s="1"/>
  <c r="AW52" i="12"/>
  <c r="AY52" i="12" l="1"/>
  <c r="AW53" i="12"/>
  <c r="AY53" i="12" s="1"/>
  <c r="AW54" i="12" s="1"/>
  <c r="AY54" i="12" l="1"/>
  <c r="AW55" i="12"/>
  <c r="AY55" i="12" s="1"/>
  <c r="AW56" i="12" s="1"/>
  <c r="AY56" i="12" l="1"/>
  <c r="AW57" i="12"/>
  <c r="AY57" i="12" s="1"/>
  <c r="AW58" i="12" s="1"/>
  <c r="AY58" i="12" l="1"/>
  <c r="AW59" i="12"/>
  <c r="AY59" i="12" s="1"/>
  <c r="AW60" i="12" s="1"/>
  <c r="AY60" i="12" l="1"/>
  <c r="AW61" i="12"/>
  <c r="AY61" i="12" s="1"/>
  <c r="AW62" i="12" s="1"/>
  <c r="AY62" i="12" l="1"/>
  <c r="AW63" i="12"/>
  <c r="AY63" i="12" s="1"/>
  <c r="AW64" i="12" s="1"/>
  <c r="AY64" i="12" l="1"/>
  <c r="AW65" i="12"/>
  <c r="AY65" i="12" s="1"/>
  <c r="AW66" i="12" s="1"/>
  <c r="AY66" i="12" l="1"/>
  <c r="AW67" i="12"/>
  <c r="AY67" i="12" s="1"/>
  <c r="AW68" i="12" s="1"/>
  <c r="AY68" i="12" l="1"/>
  <c r="AW69" i="12"/>
  <c r="AY69" i="12" s="1"/>
  <c r="AW70" i="12" s="1"/>
  <c r="AY70" i="12" l="1"/>
  <c r="AW71" i="12"/>
  <c r="AY71" i="12" s="1"/>
  <c r="AW72" i="12" s="1"/>
  <c r="AY72" i="12" l="1"/>
  <c r="AW73" i="12"/>
  <c r="AY73" i="12" s="1"/>
  <c r="AW74" i="12" s="1"/>
  <c r="AY74" i="12" l="1"/>
  <c r="AW75" i="12"/>
  <c r="AY75" i="12" s="1"/>
  <c r="H45" i="17" l="1"/>
  <c r="F45" i="17"/>
  <c r="D45" i="17"/>
  <c r="B45" i="17"/>
  <c r="J43" i="17"/>
  <c r="J41" i="17"/>
  <c r="J39" i="17"/>
  <c r="J37" i="17"/>
  <c r="J35" i="17"/>
  <c r="J33" i="17"/>
  <c r="J31" i="17"/>
  <c r="J29" i="17"/>
  <c r="J27" i="17"/>
  <c r="J25" i="17"/>
  <c r="J23" i="17"/>
  <c r="J21" i="17"/>
  <c r="J19" i="17"/>
  <c r="J17" i="17"/>
  <c r="J15" i="17"/>
  <c r="J13" i="17"/>
  <c r="J11" i="17"/>
  <c r="J9" i="17"/>
  <c r="H205" i="6"/>
  <c r="I205" i="6" s="1"/>
  <c r="H45" i="1" s="1"/>
  <c r="H206" i="6"/>
  <c r="I206" i="6" s="1"/>
  <c r="H59" i="1" s="1"/>
  <c r="I204" i="6"/>
  <c r="H23" i="1" s="1"/>
  <c r="I203" i="6"/>
  <c r="H19" i="1" s="1"/>
  <c r="I197" i="6"/>
  <c r="H124" i="1" s="1"/>
  <c r="I196" i="6"/>
  <c r="H114" i="1" s="1"/>
  <c r="J45" i="17" l="1"/>
  <c r="D129" i="6"/>
  <c r="H195" i="1" l="1"/>
  <c r="H153" i="1" l="1"/>
  <c r="H81" i="1" l="1"/>
  <c r="E188" i="6" l="1"/>
  <c r="D188" i="6"/>
  <c r="F187" i="6"/>
  <c r="F186" i="6"/>
  <c r="F185" i="6"/>
  <c r="F188" i="6" l="1"/>
  <c r="I55" i="6" l="1"/>
  <c r="I57" i="6"/>
  <c r="AS32" i="12" l="1"/>
  <c r="AT74" i="12" s="1"/>
  <c r="AT75" i="12" s="1"/>
  <c r="AT52" i="12" l="1"/>
  <c r="AT53" i="12" s="1"/>
  <c r="AT54" i="12"/>
  <c r="AT55" i="12" s="1"/>
  <c r="AT56" i="12"/>
  <c r="AT57" i="12" s="1"/>
  <c r="AT58" i="12"/>
  <c r="AT59" i="12" s="1"/>
  <c r="AT60" i="12"/>
  <c r="AT61" i="12" s="1"/>
  <c r="AT62" i="12"/>
  <c r="AT63" i="12" s="1"/>
  <c r="AT64" i="12"/>
  <c r="AT65" i="12" s="1"/>
  <c r="AT66" i="12"/>
  <c r="AT67" i="12" s="1"/>
  <c r="AT68" i="12"/>
  <c r="AT69" i="12" s="1"/>
  <c r="AT70" i="12"/>
  <c r="AT71" i="12" s="1"/>
  <c r="AT72" i="12"/>
  <c r="AT73" i="12" s="1"/>
  <c r="AS52" i="12" l="1"/>
  <c r="AS53" i="12" l="1"/>
  <c r="AU53" i="12" s="1"/>
  <c r="AU52" i="12"/>
  <c r="AS54" i="12" l="1"/>
  <c r="AU54" i="12" l="1"/>
  <c r="AS55" i="12"/>
  <c r="AU55" i="12" s="1"/>
  <c r="AS56" i="12" l="1"/>
  <c r="AU56" i="12" l="1"/>
  <c r="AS57" i="12"/>
  <c r="AU57" i="12" s="1"/>
  <c r="AS58" i="12" l="1"/>
  <c r="AU58" i="12" l="1"/>
  <c r="AS59" i="12"/>
  <c r="AU59" i="12" s="1"/>
  <c r="AS60" i="12" l="1"/>
  <c r="AU60" i="12" l="1"/>
  <c r="AS61" i="12"/>
  <c r="AU61" i="12" s="1"/>
  <c r="AS62" i="12" l="1"/>
  <c r="AS63" i="12" l="1"/>
  <c r="AU63" i="12" s="1"/>
  <c r="AU62" i="12"/>
  <c r="AS64" i="12" l="1"/>
  <c r="AS65" i="12" l="1"/>
  <c r="AU65" i="12" s="1"/>
  <c r="AU64" i="12"/>
  <c r="AS66" i="12" l="1"/>
  <c r="AU66" i="12" l="1"/>
  <c r="AS67" i="12"/>
  <c r="AU67" i="12" s="1"/>
  <c r="AS68" i="12" l="1"/>
  <c r="AU68" i="12" l="1"/>
  <c r="AS69" i="12"/>
  <c r="AU69" i="12" s="1"/>
  <c r="AS70" i="12" l="1"/>
  <c r="AU70" i="12" l="1"/>
  <c r="AS71" i="12"/>
  <c r="AU71" i="12" s="1"/>
  <c r="AS72" i="12" l="1"/>
  <c r="AU72" i="12" l="1"/>
  <c r="AS73" i="12"/>
  <c r="AU73" i="12" s="1"/>
  <c r="AS74" i="12" l="1"/>
  <c r="AU74" i="12" l="1"/>
  <c r="AS75" i="12"/>
  <c r="AU75" i="12" s="1"/>
  <c r="I32" i="12" l="1"/>
  <c r="J70" i="12" l="1"/>
  <c r="J71" i="12" s="1"/>
  <c r="J62" i="12"/>
  <c r="J63" i="12" s="1"/>
  <c r="J54" i="12"/>
  <c r="J55" i="12" s="1"/>
  <c r="J68" i="12"/>
  <c r="J69" i="12" s="1"/>
  <c r="J60" i="12"/>
  <c r="J61" i="12" s="1"/>
  <c r="J52" i="12"/>
  <c r="J53" i="12" s="1"/>
  <c r="J74" i="12"/>
  <c r="J75" i="12" s="1"/>
  <c r="J66" i="12"/>
  <c r="J67" i="12" s="1"/>
  <c r="J58" i="12"/>
  <c r="J59" i="12" s="1"/>
  <c r="J72" i="12"/>
  <c r="J73" i="12" s="1"/>
  <c r="J64" i="12"/>
  <c r="J65" i="12" s="1"/>
  <c r="J56" i="12"/>
  <c r="J57" i="12" s="1"/>
  <c r="H49" i="6"/>
  <c r="H130" i="1" s="1"/>
  <c r="AO32" i="12" l="1"/>
  <c r="AP74" i="12" s="1"/>
  <c r="AP75" i="12" s="1"/>
  <c r="AK32" i="12"/>
  <c r="AG32" i="12"/>
  <c r="AL68" i="12" l="1"/>
  <c r="AL69" i="12" s="1"/>
  <c r="AL60" i="12"/>
  <c r="AL61" i="12" s="1"/>
  <c r="AL52" i="12"/>
  <c r="AL53" i="12" s="1"/>
  <c r="AL64" i="12"/>
  <c r="AL65" i="12" s="1"/>
  <c r="AL70" i="12"/>
  <c r="AL71" i="12" s="1"/>
  <c r="AL54" i="12"/>
  <c r="AL55" i="12" s="1"/>
  <c r="AL74" i="12"/>
  <c r="AL75" i="12" s="1"/>
  <c r="AL66" i="12"/>
  <c r="AL67" i="12" s="1"/>
  <c r="AL58" i="12"/>
  <c r="AL59" i="12" s="1"/>
  <c r="AL72" i="12"/>
  <c r="AL73" i="12" s="1"/>
  <c r="AL56" i="12"/>
  <c r="AL57" i="12" s="1"/>
  <c r="AL62" i="12"/>
  <c r="AL63" i="12" s="1"/>
  <c r="AH72" i="12"/>
  <c r="AH73" i="12" s="1"/>
  <c r="AH64" i="12"/>
  <c r="AH65" i="12" s="1"/>
  <c r="AH56" i="12"/>
  <c r="AH57" i="12" s="1"/>
  <c r="AH68" i="12"/>
  <c r="AH69" i="12" s="1"/>
  <c r="AH52" i="12"/>
  <c r="AH53" i="12" s="1"/>
  <c r="AH74" i="12"/>
  <c r="AH75" i="12" s="1"/>
  <c r="AH58" i="12"/>
  <c r="AH59" i="12" s="1"/>
  <c r="AH70" i="12"/>
  <c r="AH71" i="12" s="1"/>
  <c r="AH62" i="12"/>
  <c r="AH63" i="12" s="1"/>
  <c r="AH54" i="12"/>
  <c r="AH55" i="12" s="1"/>
  <c r="AH60" i="12"/>
  <c r="AH61" i="12" s="1"/>
  <c r="AH66" i="12"/>
  <c r="AH67" i="12" s="1"/>
  <c r="AP54" i="12"/>
  <c r="AP55" i="12" s="1"/>
  <c r="AP68" i="12"/>
  <c r="AP69" i="12" s="1"/>
  <c r="AP56" i="12"/>
  <c r="AP57" i="12" s="1"/>
  <c r="AP62" i="12"/>
  <c r="AP63" i="12" s="1"/>
  <c r="AP70" i="12"/>
  <c r="AP71" i="12" s="1"/>
  <c r="AP58" i="12"/>
  <c r="AP59" i="12" s="1"/>
  <c r="AP64" i="12"/>
  <c r="AP65" i="12" s="1"/>
  <c r="AP72" i="12"/>
  <c r="AP73" i="12" s="1"/>
  <c r="AP52" i="12"/>
  <c r="AP53" i="12" s="1"/>
  <c r="AP60" i="12"/>
  <c r="AP61" i="12" s="1"/>
  <c r="AP66" i="12"/>
  <c r="AP67" i="12" s="1"/>
  <c r="AG52" i="12" l="1"/>
  <c r="AK52" i="12"/>
  <c r="I52" i="12"/>
  <c r="AM52" i="12" l="1"/>
  <c r="AK53" i="12"/>
  <c r="AM53" i="12" s="1"/>
  <c r="AK54" i="12" s="1"/>
  <c r="AI52" i="12"/>
  <c r="AG53" i="12"/>
  <c r="AI53" i="12" s="1"/>
  <c r="AG54" i="12" s="1"/>
  <c r="K52" i="12"/>
  <c r="I53" i="12"/>
  <c r="K53" i="12" s="1"/>
  <c r="AO52" i="12"/>
  <c r="AI54" i="12" l="1"/>
  <c r="AG55" i="12"/>
  <c r="AI55" i="12" s="1"/>
  <c r="AG56" i="12" s="1"/>
  <c r="AM54" i="12"/>
  <c r="AK55" i="12"/>
  <c r="AM55" i="12" s="1"/>
  <c r="AK56" i="12" s="1"/>
  <c r="I54" i="12"/>
  <c r="AQ52" i="12"/>
  <c r="AO53" i="12"/>
  <c r="AQ53" i="12" s="1"/>
  <c r="AO54" i="12" s="1"/>
  <c r="AK57" i="12" l="1"/>
  <c r="AM57" i="12" s="1"/>
  <c r="AK58" i="12" s="1"/>
  <c r="AM56" i="12"/>
  <c r="AI56" i="12"/>
  <c r="AG57" i="12"/>
  <c r="AI57" i="12" s="1"/>
  <c r="AG58" i="12" s="1"/>
  <c r="K54" i="12"/>
  <c r="I55" i="12"/>
  <c r="K55" i="12" s="1"/>
  <c r="AQ54" i="12"/>
  <c r="AO55" i="12"/>
  <c r="AQ55" i="12" s="1"/>
  <c r="AO56" i="12" s="1"/>
  <c r="AG59" i="12" l="1"/>
  <c r="AI59" i="12" s="1"/>
  <c r="AG60" i="12" s="1"/>
  <c r="AI58" i="12"/>
  <c r="AM58" i="12"/>
  <c r="AK59" i="12"/>
  <c r="AM59" i="12" s="1"/>
  <c r="AK60" i="12" s="1"/>
  <c r="I56" i="12"/>
  <c r="AQ56" i="12"/>
  <c r="AO57" i="12"/>
  <c r="AQ57" i="12" s="1"/>
  <c r="AO58" i="12" s="1"/>
  <c r="AM60" i="12" l="1"/>
  <c r="AK61" i="12"/>
  <c r="AM61" i="12" s="1"/>
  <c r="AK62" i="12" s="1"/>
  <c r="AG61" i="12"/>
  <c r="AI61" i="12" s="1"/>
  <c r="AG62" i="12" s="1"/>
  <c r="AI60" i="12"/>
  <c r="K56" i="12"/>
  <c r="I57" i="12"/>
  <c r="K57" i="12" s="1"/>
  <c r="AQ58" i="12"/>
  <c r="AO59" i="12"/>
  <c r="AQ59" i="12" s="1"/>
  <c r="AO60" i="12" s="1"/>
  <c r="AI62" i="12" l="1"/>
  <c r="AG63" i="12"/>
  <c r="AI63" i="12" s="1"/>
  <c r="AG64" i="12" s="1"/>
  <c r="AM62" i="12"/>
  <c r="AK63" i="12"/>
  <c r="AM63" i="12" s="1"/>
  <c r="AK64" i="12" s="1"/>
  <c r="I58" i="12"/>
  <c r="AQ60" i="12"/>
  <c r="AO61" i="12"/>
  <c r="AQ61" i="12" s="1"/>
  <c r="AO62" i="12" s="1"/>
  <c r="AK65" i="12" l="1"/>
  <c r="AM65" i="12" s="1"/>
  <c r="AK66" i="12" s="1"/>
  <c r="AM64" i="12"/>
  <c r="AG65" i="12"/>
  <c r="AI65" i="12" s="1"/>
  <c r="AG66" i="12" s="1"/>
  <c r="AI64" i="12"/>
  <c r="K58" i="12"/>
  <c r="I59" i="12"/>
  <c r="K59" i="12" s="1"/>
  <c r="AQ62" i="12"/>
  <c r="AO63" i="12"/>
  <c r="AQ63" i="12" s="1"/>
  <c r="AO64" i="12" s="1"/>
  <c r="AG67" i="12" l="1"/>
  <c r="AI67" i="12" s="1"/>
  <c r="AG68" i="12" s="1"/>
  <c r="AI66" i="12"/>
  <c r="AM66" i="12"/>
  <c r="AK67" i="12"/>
  <c r="AM67" i="12" s="1"/>
  <c r="AK68" i="12" s="1"/>
  <c r="I60" i="12"/>
  <c r="AQ64" i="12"/>
  <c r="AO65" i="12"/>
  <c r="AQ65" i="12" s="1"/>
  <c r="AO66" i="12" s="1"/>
  <c r="AK69" i="12" l="1"/>
  <c r="AM69" i="12" s="1"/>
  <c r="AK70" i="12" s="1"/>
  <c r="AM68" i="12"/>
  <c r="AI68" i="12"/>
  <c r="AG69" i="12"/>
  <c r="AI69" i="12" s="1"/>
  <c r="AG70" i="12" s="1"/>
  <c r="K60" i="12"/>
  <c r="I61" i="12"/>
  <c r="K61" i="12" s="1"/>
  <c r="AQ66" i="12"/>
  <c r="AO67" i="12"/>
  <c r="AQ67" i="12" s="1"/>
  <c r="AO68" i="12" s="1"/>
  <c r="AI70" i="12" l="1"/>
  <c r="AG71" i="12"/>
  <c r="AI71" i="12" s="1"/>
  <c r="AG72" i="12" s="1"/>
  <c r="AM70" i="12"/>
  <c r="AK71" i="12"/>
  <c r="AM71" i="12" s="1"/>
  <c r="AK72" i="12" s="1"/>
  <c r="I62" i="12"/>
  <c r="AQ68" i="12"/>
  <c r="AO69" i="12"/>
  <c r="AQ69" i="12" s="1"/>
  <c r="AO70" i="12" s="1"/>
  <c r="AG73" i="12" l="1"/>
  <c r="AI73" i="12" s="1"/>
  <c r="AG74" i="12" s="1"/>
  <c r="AI72" i="12"/>
  <c r="AM72" i="12"/>
  <c r="AK73" i="12"/>
  <c r="AM73" i="12" s="1"/>
  <c r="AK74" i="12" s="1"/>
  <c r="K62" i="12"/>
  <c r="I63" i="12"/>
  <c r="K63" i="12" s="1"/>
  <c r="AQ70" i="12"/>
  <c r="AO71" i="12"/>
  <c r="AQ71" i="12" s="1"/>
  <c r="AO72" i="12" s="1"/>
  <c r="AM74" i="12" l="1"/>
  <c r="AK75" i="12"/>
  <c r="AM75" i="12" s="1"/>
  <c r="AG75" i="12"/>
  <c r="AI75" i="12" s="1"/>
  <c r="AI74" i="12"/>
  <c r="I64" i="12"/>
  <c r="AQ72" i="12"/>
  <c r="AO73" i="12"/>
  <c r="AQ73" i="12" s="1"/>
  <c r="AO74" i="12" s="1"/>
  <c r="K64" i="12" l="1"/>
  <c r="I65" i="12"/>
  <c r="K65" i="12" s="1"/>
  <c r="AQ74" i="12"/>
  <c r="AO75" i="12"/>
  <c r="AQ75" i="12" s="1"/>
  <c r="H196" i="1"/>
  <c r="H180" i="1"/>
  <c r="I38" i="5"/>
  <c r="I47" i="5" s="1"/>
  <c r="I48" i="5"/>
  <c r="H51" i="1"/>
  <c r="H115" i="1"/>
  <c r="H137" i="1"/>
  <c r="H136" i="1"/>
  <c r="H141" i="1"/>
  <c r="H103" i="1"/>
  <c r="H104" i="1"/>
  <c r="H221" i="1"/>
  <c r="I67" i="5"/>
  <c r="H157" i="1"/>
  <c r="H255" i="1"/>
  <c r="H263" i="1"/>
  <c r="H14" i="1"/>
  <c r="H181" i="1"/>
  <c r="H187" i="1"/>
  <c r="H188" i="1"/>
  <c r="H47" i="1"/>
  <c r="H60" i="1"/>
  <c r="H61" i="1"/>
  <c r="H62" i="1"/>
  <c r="H20" i="1"/>
  <c r="H27" i="1"/>
  <c r="H207" i="1"/>
  <c r="H140" i="1"/>
  <c r="H254" i="1"/>
  <c r="H269" i="1"/>
  <c r="M32" i="12"/>
  <c r="Q32" i="12"/>
  <c r="U31" i="12"/>
  <c r="U32" i="12" s="1"/>
  <c r="Y32" i="12"/>
  <c r="AC32" i="12"/>
  <c r="G89" i="11"/>
  <c r="L115" i="11"/>
  <c r="H91" i="1"/>
  <c r="D33" i="4"/>
  <c r="H291" i="1"/>
  <c r="I117" i="6"/>
  <c r="E39" i="3"/>
  <c r="E31" i="3"/>
  <c r="E20" i="3"/>
  <c r="D8" i="4"/>
  <c r="D56" i="11"/>
  <c r="F123" i="11" s="1"/>
  <c r="H286" i="1"/>
  <c r="G129" i="11"/>
  <c r="G130" i="11"/>
  <c r="G131" i="11" s="1"/>
  <c r="G132" i="11" s="1"/>
  <c r="G133" i="11" s="1"/>
  <c r="G134" i="11" s="1"/>
  <c r="G135" i="11" s="1"/>
  <c r="G136" i="11" s="1"/>
  <c r="G137" i="11" s="1"/>
  <c r="G138" i="11" s="1"/>
  <c r="G139" i="11" s="1"/>
  <c r="G140" i="11" s="1"/>
  <c r="G144" i="11" s="1"/>
  <c r="J102" i="11"/>
  <c r="N102" i="11" s="1"/>
  <c r="M102" i="11"/>
  <c r="Q102" i="11" s="1"/>
  <c r="I21" i="6"/>
  <c r="I20" i="6"/>
  <c r="H131" i="1"/>
  <c r="A33" i="12"/>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I103" i="11"/>
  <c r="L103" i="11" s="1"/>
  <c r="P103" i="11" s="1"/>
  <c r="H130" i="11"/>
  <c r="H131" i="11" s="1"/>
  <c r="E89" i="11"/>
  <c r="H69" i="11" s="1"/>
  <c r="I78" i="11"/>
  <c r="J78" i="11" s="1"/>
  <c r="N78" i="11" s="1"/>
  <c r="I33" i="11"/>
  <c r="I34" i="11" s="1"/>
  <c r="E18" i="12"/>
  <c r="E13" i="12"/>
  <c r="E12" i="12"/>
  <c r="A19" i="1"/>
  <c r="A20" i="1" s="1"/>
  <c r="A21" i="1" s="1"/>
  <c r="A23" i="1" s="1"/>
  <c r="A24" i="1" s="1"/>
  <c r="A25" i="1" s="1"/>
  <c r="A26" i="1" s="1"/>
  <c r="A27" i="1" s="1"/>
  <c r="A29" i="1" s="1"/>
  <c r="A31" i="1" s="1"/>
  <c r="A32" i="1" s="1"/>
  <c r="A34" i="1" s="1"/>
  <c r="A35" i="1" s="1"/>
  <c r="A40" i="1" s="1"/>
  <c r="A41" i="1" s="1"/>
  <c r="A42" i="1" s="1"/>
  <c r="A43" i="1" s="1"/>
  <c r="A45" i="1" s="1"/>
  <c r="A46" i="1" s="1"/>
  <c r="A47" i="1" s="1"/>
  <c r="A48" i="1" s="1"/>
  <c r="A49" i="1" s="1"/>
  <c r="A51" i="1" s="1"/>
  <c r="A53" i="1" s="1"/>
  <c r="A57" i="1" s="1"/>
  <c r="A59" i="1" s="1"/>
  <c r="A60" i="1" s="1"/>
  <c r="A61" i="1" s="1"/>
  <c r="A62" i="1" s="1"/>
  <c r="A63" i="1" s="1"/>
  <c r="A64" i="1" s="1"/>
  <c r="A65" i="1" s="1"/>
  <c r="A67" i="1" s="1"/>
  <c r="A69" i="1" s="1"/>
  <c r="A74" i="1" s="1"/>
  <c r="A75" i="1" s="1"/>
  <c r="A76" i="1" s="1"/>
  <c r="A77" i="1" s="1"/>
  <c r="A84" i="1" s="1"/>
  <c r="A87" i="1" s="1"/>
  <c r="A88" i="1" s="1"/>
  <c r="A91" i="1" s="1"/>
  <c r="A92" i="1" s="1"/>
  <c r="A93" i="1" s="1"/>
  <c r="A94" i="1" s="1"/>
  <c r="A95" i="1" s="1"/>
  <c r="A98" i="1" s="1"/>
  <c r="A99" i="1" s="1"/>
  <c r="A100" i="1" s="1"/>
  <c r="A103" i="1" s="1"/>
  <c r="A104" i="1" s="1"/>
  <c r="A105" i="1" s="1"/>
  <c r="A107" i="1" s="1"/>
  <c r="A109" i="1" s="1"/>
  <c r="A114" i="1" s="1"/>
  <c r="A115" i="1" s="1"/>
  <c r="A116" i="1" s="1"/>
  <c r="A117" i="1" s="1"/>
  <c r="A118" i="1" s="1"/>
  <c r="A119" i="1" s="1"/>
  <c r="A120" i="1" s="1"/>
  <c r="A123" i="1" s="1"/>
  <c r="A124" i="1" s="1"/>
  <c r="A126" i="1" s="1"/>
  <c r="A127" i="1" s="1"/>
  <c r="A128" i="1" s="1"/>
  <c r="A129" i="1" s="1"/>
  <c r="A130" i="1" s="1"/>
  <c r="A131" i="1" s="1"/>
  <c r="A132" i="1" s="1"/>
  <c r="A133" i="1" s="1"/>
  <c r="A136" i="1" s="1"/>
  <c r="A137" i="1" s="1"/>
  <c r="A138" i="1" s="1"/>
  <c r="A140" i="1" s="1"/>
  <c r="A141" i="1" s="1"/>
  <c r="A142" i="1" s="1"/>
  <c r="A143" i="1" s="1"/>
  <c r="A144" i="1" s="1"/>
  <c r="A146" i="1" s="1"/>
  <c r="A151" i="1" s="1"/>
  <c r="A155" i="1" s="1"/>
  <c r="A156" i="1" s="1"/>
  <c r="A157" i="1" s="1"/>
  <c r="A158" i="1" s="1"/>
  <c r="A159" i="1" s="1"/>
  <c r="A161" i="1" s="1"/>
  <c r="A162" i="1" s="1"/>
  <c r="A163" i="1" s="1"/>
  <c r="A164" i="1" s="1"/>
  <c r="A165" i="1" s="1"/>
  <c r="A168" i="1" s="1"/>
  <c r="A172" i="1" s="1"/>
  <c r="A174" i="1" s="1"/>
  <c r="A179" i="1" s="1"/>
  <c r="A180" i="1" s="1"/>
  <c r="A181" i="1" s="1"/>
  <c r="A183" i="1" s="1"/>
  <c r="A186" i="1" s="1"/>
  <c r="A187" i="1" s="1"/>
  <c r="A188" i="1" s="1"/>
  <c r="A189" i="1" s="1"/>
  <c r="A192" i="1" s="1"/>
  <c r="A193" i="1" s="1"/>
  <c r="A194" i="1" s="1"/>
  <c r="A195" i="1" s="1"/>
  <c r="A196" i="1" s="1"/>
  <c r="A197" i="1" s="1"/>
  <c r="A198" i="1" s="1"/>
  <c r="A199" i="1" s="1"/>
  <c r="A200" i="1" s="1"/>
  <c r="A202" i="1" s="1"/>
  <c r="A203" i="1" s="1"/>
  <c r="A204" i="1" s="1"/>
  <c r="A206" i="1" s="1"/>
  <c r="A207" i="1" s="1"/>
  <c r="A208" i="1" s="1"/>
  <c r="A210" i="1" s="1"/>
  <c r="A211" i="1" s="1"/>
  <c r="A212" i="1" s="1"/>
  <c r="A213" i="1" s="1"/>
  <c r="A215" i="1" s="1"/>
  <c r="A220" i="1" s="1"/>
  <c r="A221" i="1" s="1"/>
  <c r="A222" i="1" s="1"/>
  <c r="A223" i="1" s="1"/>
  <c r="A224" i="1" s="1"/>
  <c r="A227" i="1" s="1"/>
  <c r="A228" i="1" s="1"/>
  <c r="A229" i="1" s="1"/>
  <c r="A230" i="1" s="1"/>
  <c r="A234" i="1" s="1"/>
  <c r="A236" i="1" s="1"/>
  <c r="A241" i="1" s="1"/>
  <c r="A242" i="1" s="1"/>
  <c r="A243" i="1" s="1"/>
  <c r="A245" i="1" s="1"/>
  <c r="A246" i="1" s="1"/>
  <c r="A247" i="1" s="1"/>
  <c r="A248" i="1" s="1"/>
  <c r="A249" i="1" s="1"/>
  <c r="A251" i="1" s="1"/>
  <c r="A254" i="1" s="1"/>
  <c r="A255" i="1" s="1"/>
  <c r="A256" i="1" s="1"/>
  <c r="A257" i="1" s="1"/>
  <c r="A258" i="1" s="1"/>
  <c r="A259" i="1" s="1"/>
  <c r="A262" i="1" s="1"/>
  <c r="A263" i="1" s="1"/>
  <c r="A265" i="1" s="1"/>
  <c r="A268" i="1" s="1"/>
  <c r="A269" i="1" s="1"/>
  <c r="A270" i="1" s="1"/>
  <c r="A271" i="1" s="1"/>
  <c r="C1" i="12"/>
  <c r="A1" i="11"/>
  <c r="C36" i="12"/>
  <c r="C38" i="12" s="1"/>
  <c r="C40" i="12" s="1"/>
  <c r="C42" i="12" s="1"/>
  <c r="C44" i="12" s="1"/>
  <c r="C46" i="12" s="1"/>
  <c r="C48" i="12" s="1"/>
  <c r="C50" i="12" s="1"/>
  <c r="C52" i="12" s="1"/>
  <c r="C54" i="12" s="1"/>
  <c r="C56" i="12" s="1"/>
  <c r="C58" i="12" s="1"/>
  <c r="C60" i="12" s="1"/>
  <c r="C62" i="12" s="1"/>
  <c r="C64" i="12" s="1"/>
  <c r="C66" i="12" s="1"/>
  <c r="C68" i="12" s="1"/>
  <c r="C70" i="12" s="1"/>
  <c r="C72" i="12" s="1"/>
  <c r="C74" i="12" s="1"/>
  <c r="H114" i="11"/>
  <c r="M114" i="11" s="1"/>
  <c r="F114" i="11"/>
  <c r="E114" i="11"/>
  <c r="K102" i="11"/>
  <c r="O102" i="11" s="1"/>
  <c r="Q100" i="11"/>
  <c r="P100" i="11"/>
  <c r="O100" i="11"/>
  <c r="N100" i="11"/>
  <c r="M100" i="11"/>
  <c r="L100" i="11"/>
  <c r="K100" i="11"/>
  <c r="J100" i="11"/>
  <c r="H89" i="11"/>
  <c r="M89" i="11" s="1"/>
  <c r="F89" i="11"/>
  <c r="M77" i="11"/>
  <c r="Q77" i="11" s="1"/>
  <c r="L77" i="11"/>
  <c r="P77" i="11" s="1"/>
  <c r="K77" i="11"/>
  <c r="O77" i="11" s="1"/>
  <c r="J77" i="11"/>
  <c r="N77" i="11" s="1"/>
  <c r="Q75" i="11"/>
  <c r="P75" i="11"/>
  <c r="O75" i="11"/>
  <c r="N75" i="11"/>
  <c r="M75" i="11"/>
  <c r="L75" i="11"/>
  <c r="K75" i="11"/>
  <c r="J75" i="11"/>
  <c r="F44" i="11"/>
  <c r="K32" i="11"/>
  <c r="O32" i="11" s="1"/>
  <c r="O30" i="11"/>
  <c r="K30" i="11"/>
  <c r="M32" i="11"/>
  <c r="L32" i="11"/>
  <c r="P32" i="11" s="1"/>
  <c r="BB77" i="12"/>
  <c r="BC76" i="12"/>
  <c r="D39" i="12"/>
  <c r="D41" i="12" s="1"/>
  <c r="D43" i="12" s="1"/>
  <c r="D45" i="12" s="1"/>
  <c r="D47" i="12" s="1"/>
  <c r="D49" i="12" s="1"/>
  <c r="D51" i="12" s="1"/>
  <c r="D53" i="12" s="1"/>
  <c r="D55" i="12" s="1"/>
  <c r="D57" i="12" s="1"/>
  <c r="D59" i="12" s="1"/>
  <c r="D61" i="12" s="1"/>
  <c r="D63" i="12" s="1"/>
  <c r="D65" i="12" s="1"/>
  <c r="D67" i="12" s="1"/>
  <c r="D69" i="12" s="1"/>
  <c r="D71" i="12" s="1"/>
  <c r="D73" i="12" s="1"/>
  <c r="D75" i="12" s="1"/>
  <c r="C39" i="12"/>
  <c r="C41" i="12" s="1"/>
  <c r="C43" i="12" s="1"/>
  <c r="C45" i="12" s="1"/>
  <c r="C47" i="12" s="1"/>
  <c r="C49" i="12" s="1"/>
  <c r="C51" i="12" s="1"/>
  <c r="C53" i="12" s="1"/>
  <c r="C55" i="12" s="1"/>
  <c r="C57" i="12" s="1"/>
  <c r="C59" i="12" s="1"/>
  <c r="C61" i="12" s="1"/>
  <c r="C63" i="12" s="1"/>
  <c r="C65" i="12" s="1"/>
  <c r="C67" i="12" s="1"/>
  <c r="C69" i="12" s="1"/>
  <c r="C71" i="12" s="1"/>
  <c r="C73" i="12" s="1"/>
  <c r="C75" i="12" s="1"/>
  <c r="D38" i="12"/>
  <c r="D40" i="12" s="1"/>
  <c r="D42" i="12" s="1"/>
  <c r="D44" i="12" s="1"/>
  <c r="D46" i="12" s="1"/>
  <c r="D48" i="12" s="1"/>
  <c r="D50" i="12" s="1"/>
  <c r="D52" i="12" s="1"/>
  <c r="D54" i="12" s="1"/>
  <c r="D56" i="12" s="1"/>
  <c r="D58" i="12" s="1"/>
  <c r="D60" i="12" s="1"/>
  <c r="D62" i="12" s="1"/>
  <c r="D64" i="12" s="1"/>
  <c r="D66" i="12" s="1"/>
  <c r="D68" i="12" s="1"/>
  <c r="D70" i="12" s="1"/>
  <c r="D72" i="12" s="1"/>
  <c r="D74" i="12" s="1"/>
  <c r="M30" i="11"/>
  <c r="L30" i="11"/>
  <c r="J30" i="11"/>
  <c r="Q30" i="11"/>
  <c r="P30" i="11"/>
  <c r="N30" i="11"/>
  <c r="H44" i="11"/>
  <c r="M44" i="11" s="1"/>
  <c r="G44" i="11"/>
  <c r="L44" i="11" s="1"/>
  <c r="D155" i="11"/>
  <c r="D154" i="11"/>
  <c r="D153" i="11"/>
  <c r="E152" i="11"/>
  <c r="E153" i="11" s="1"/>
  <c r="E154" i="11" s="1"/>
  <c r="E155" i="11" s="1"/>
  <c r="D152" i="11"/>
  <c r="D151" i="11"/>
  <c r="D150" i="11"/>
  <c r="D149" i="11"/>
  <c r="D148" i="11"/>
  <c r="D147" i="11"/>
  <c r="D146" i="11"/>
  <c r="D145" i="11"/>
  <c r="D144" i="11"/>
  <c r="E137" i="11"/>
  <c r="E138" i="11" s="1"/>
  <c r="E139" i="11" s="1"/>
  <c r="E140" i="11" s="1"/>
  <c r="E144" i="11" s="1"/>
  <c r="E145" i="11" s="1"/>
  <c r="E146" i="11" s="1"/>
  <c r="E147" i="11" s="1"/>
  <c r="E148" i="11" s="1"/>
  <c r="E149" i="11" s="1"/>
  <c r="E150" i="11" s="1"/>
  <c r="E130" i="11"/>
  <c r="E131" i="11" s="1"/>
  <c r="E132" i="11" s="1"/>
  <c r="E133" i="11" s="1"/>
  <c r="E134" i="11" s="1"/>
  <c r="E135" i="11" s="1"/>
  <c r="G123" i="11"/>
  <c r="D120" i="11"/>
  <c r="A120" i="11"/>
  <c r="D66" i="11"/>
  <c r="D65" i="11"/>
  <c r="D97" i="11"/>
  <c r="D60" i="11"/>
  <c r="C60" i="11"/>
  <c r="A60" i="11"/>
  <c r="D55" i="11"/>
  <c r="B55" i="11"/>
  <c r="A55" i="11"/>
  <c r="D52" i="11"/>
  <c r="B52" i="11"/>
  <c r="D49" i="11"/>
  <c r="E44" i="11"/>
  <c r="J32" i="11"/>
  <c r="N32" i="11" s="1"/>
  <c r="D27" i="11"/>
  <c r="D24" i="11"/>
  <c r="C24" i="11"/>
  <c r="C27" i="11" s="1"/>
  <c r="C49" i="11" s="1"/>
  <c r="C52" i="11" s="1"/>
  <c r="B24" i="11"/>
  <c r="B27" i="11" s="1"/>
  <c r="B49" i="11"/>
  <c r="A24" i="11"/>
  <c r="B21" i="11"/>
  <c r="B20" i="11"/>
  <c r="C18" i="11"/>
  <c r="B15" i="11"/>
  <c r="C10" i="11"/>
  <c r="C11" i="11" s="1"/>
  <c r="C12" i="11" s="1"/>
  <c r="C13" i="11" s="1"/>
  <c r="C55" i="11" s="1"/>
  <c r="B10" i="11"/>
  <c r="J33" i="11"/>
  <c r="N33" i="11" s="1"/>
  <c r="Q32" i="11"/>
  <c r="K33" i="11"/>
  <c r="O33" i="11" s="1"/>
  <c r="K103" i="11"/>
  <c r="O103" i="11" s="1"/>
  <c r="K78" i="11"/>
  <c r="O78" i="11" s="1"/>
  <c r="M34" i="11"/>
  <c r="Q34" i="11" s="1"/>
  <c r="L34" i="11"/>
  <c r="P34" i="11" s="1"/>
  <c r="J34" i="11"/>
  <c r="N34" i="11" s="1"/>
  <c r="L33" i="11"/>
  <c r="P33" i="11" s="1"/>
  <c r="M33" i="11"/>
  <c r="Q33" i="11" s="1"/>
  <c r="G145" i="11"/>
  <c r="G146" i="11" s="1"/>
  <c r="G147" i="11" s="1"/>
  <c r="G148" i="11" s="1"/>
  <c r="G149" i="11" s="1"/>
  <c r="G150" i="11" s="1"/>
  <c r="G151" i="11" s="1"/>
  <c r="G152" i="11" s="1"/>
  <c r="G153" i="11" s="1"/>
  <c r="G154" i="11" s="1"/>
  <c r="G155" i="11" s="1"/>
  <c r="A1" i="10"/>
  <c r="B14" i="10"/>
  <c r="C14" i="10"/>
  <c r="C18" i="10"/>
  <c r="G1" i="6"/>
  <c r="C7" i="6"/>
  <c r="E24" i="1"/>
  <c r="E7" i="6" s="1"/>
  <c r="F7" i="6"/>
  <c r="I7" i="6"/>
  <c r="A8" i="6"/>
  <c r="C8" i="6"/>
  <c r="E25" i="1"/>
  <c r="E8" i="6" s="1"/>
  <c r="F8" i="6"/>
  <c r="I8" i="6"/>
  <c r="C9" i="6"/>
  <c r="E26" i="1"/>
  <c r="E9" i="6" s="1"/>
  <c r="F9" i="6"/>
  <c r="I9" i="6"/>
  <c r="C11" i="6"/>
  <c r="E46" i="1"/>
  <c r="E41" i="6" s="1"/>
  <c r="F11" i="6"/>
  <c r="I11" i="6"/>
  <c r="C13" i="6"/>
  <c r="E75" i="1"/>
  <c r="E13" i="6" s="1"/>
  <c r="F13" i="6"/>
  <c r="I13" i="6"/>
  <c r="C15" i="6"/>
  <c r="E91" i="1"/>
  <c r="E15" i="6" s="1"/>
  <c r="F15" i="6"/>
  <c r="C17" i="6"/>
  <c r="E119" i="1"/>
  <c r="E17" i="6" s="1"/>
  <c r="F17" i="6"/>
  <c r="C18" i="6"/>
  <c r="E123" i="1"/>
  <c r="E18" i="6" s="1"/>
  <c r="F18" i="6"/>
  <c r="C20" i="6"/>
  <c r="E156" i="1"/>
  <c r="E20" i="6" s="1"/>
  <c r="F20" i="6"/>
  <c r="C21" i="6"/>
  <c r="E161" i="1"/>
  <c r="E21" i="6" s="1"/>
  <c r="F21" i="6"/>
  <c r="C22" i="6"/>
  <c r="E162" i="1"/>
  <c r="E22" i="6" s="1"/>
  <c r="F22" i="6"/>
  <c r="H22" i="6"/>
  <c r="H162" i="1" s="1"/>
  <c r="C27" i="6"/>
  <c r="E51" i="1"/>
  <c r="E27" i="6" s="1"/>
  <c r="F27" i="6"/>
  <c r="I27" i="6"/>
  <c r="G36" i="6"/>
  <c r="A38" i="6"/>
  <c r="C38" i="6"/>
  <c r="E19" i="1"/>
  <c r="E38" i="6" s="1"/>
  <c r="A40" i="6"/>
  <c r="C40" i="6"/>
  <c r="E40" i="1"/>
  <c r="E40" i="6" s="1"/>
  <c r="F40" i="6"/>
  <c r="A41" i="6"/>
  <c r="C41" i="6"/>
  <c r="F41" i="6"/>
  <c r="A43" i="6"/>
  <c r="C43" i="6"/>
  <c r="E57" i="1"/>
  <c r="E43" i="6" s="1"/>
  <c r="F43" i="6"/>
  <c r="G47" i="6"/>
  <c r="A49" i="6"/>
  <c r="C49" i="6"/>
  <c r="E130" i="1"/>
  <c r="E49" i="6" s="1"/>
  <c r="F49" i="6"/>
  <c r="A55" i="6"/>
  <c r="C55" i="6"/>
  <c r="E127" i="1"/>
  <c r="E55" i="6" s="1"/>
  <c r="F55" i="6"/>
  <c r="C57" i="6"/>
  <c r="E136" i="1"/>
  <c r="E57" i="6" s="1"/>
  <c r="F57" i="6"/>
  <c r="C63" i="6"/>
  <c r="E141" i="1"/>
  <c r="E63" i="6" s="1"/>
  <c r="F63" i="6"/>
  <c r="I63" i="6"/>
  <c r="C70" i="6"/>
  <c r="E221" i="1"/>
  <c r="E70" i="6" s="1"/>
  <c r="C76" i="6"/>
  <c r="E137" i="1"/>
  <c r="E76" i="6" s="1"/>
  <c r="F76" i="6"/>
  <c r="G76" i="6"/>
  <c r="I76" i="6" s="1"/>
  <c r="J76" i="6"/>
  <c r="C82" i="6"/>
  <c r="G80" i="6" s="1"/>
  <c r="E255" i="1"/>
  <c r="E82" i="6" s="1"/>
  <c r="F82" i="6"/>
  <c r="G88" i="6"/>
  <c r="D92" i="6"/>
  <c r="C99" i="6"/>
  <c r="G97" i="6" s="1"/>
  <c r="E103" i="1"/>
  <c r="E99" i="6" s="1"/>
  <c r="F99" i="6"/>
  <c r="C104" i="6"/>
  <c r="F104" i="1"/>
  <c r="F104" i="6" s="1"/>
  <c r="A113" i="6"/>
  <c r="I114" i="6"/>
  <c r="G118" i="6"/>
  <c r="A123" i="6"/>
  <c r="D125" i="6"/>
  <c r="B132" i="6"/>
  <c r="C132" i="6"/>
  <c r="A138" i="6"/>
  <c r="C138" i="6"/>
  <c r="F138" i="6"/>
  <c r="C139" i="6"/>
  <c r="F139" i="6"/>
  <c r="I139" i="6"/>
  <c r="C145" i="6"/>
  <c r="G143" i="6" s="1"/>
  <c r="B144" i="6"/>
  <c r="E263" i="1"/>
  <c r="E145" i="6" s="1"/>
  <c r="F145" i="6"/>
  <c r="A152" i="6"/>
  <c r="B154" i="6"/>
  <c r="C155" i="6"/>
  <c r="F155" i="6"/>
  <c r="C161" i="6"/>
  <c r="G159" i="6" s="1"/>
  <c r="E291" i="1"/>
  <c r="E161" i="6" s="1"/>
  <c r="F161" i="6"/>
  <c r="A1" i="5"/>
  <c r="E11" i="5"/>
  <c r="A16" i="5"/>
  <c r="C16" i="5"/>
  <c r="B18" i="5"/>
  <c r="A19" i="5"/>
  <c r="C19" i="5"/>
  <c r="G19" i="5"/>
  <c r="I19" i="5"/>
  <c r="A20" i="5"/>
  <c r="C20" i="5"/>
  <c r="G20" i="5"/>
  <c r="C21" i="5"/>
  <c r="G21" i="5"/>
  <c r="B23" i="5"/>
  <c r="F23" i="5"/>
  <c r="G23" i="5"/>
  <c r="I23" i="5"/>
  <c r="B25" i="5"/>
  <c r="A26" i="5"/>
  <c r="C26" i="5"/>
  <c r="G26" i="5"/>
  <c r="I26" i="5"/>
  <c r="A27" i="5"/>
  <c r="C27" i="5"/>
  <c r="F27" i="5"/>
  <c r="I27" i="5"/>
  <c r="A28" i="5"/>
  <c r="C28" i="5"/>
  <c r="F28" i="5"/>
  <c r="G28" i="5"/>
  <c r="C29" i="5"/>
  <c r="F189" i="1"/>
  <c r="G29" i="5" s="1"/>
  <c r="B31" i="5"/>
  <c r="C32" i="5"/>
  <c r="G32" i="5"/>
  <c r="I32" i="5"/>
  <c r="C33" i="5"/>
  <c r="E193" i="1"/>
  <c r="F33" i="5" s="1"/>
  <c r="F35" i="5" s="1"/>
  <c r="G33" i="5"/>
  <c r="I33" i="5"/>
  <c r="C34" i="5"/>
  <c r="F34" i="5"/>
  <c r="G34" i="5"/>
  <c r="I34" i="5"/>
  <c r="I35" i="5"/>
  <c r="C36" i="5"/>
  <c r="F36" i="5"/>
  <c r="F196" i="1"/>
  <c r="G36" i="5" s="1"/>
  <c r="A37" i="5"/>
  <c r="C37" i="5"/>
  <c r="A38" i="5"/>
  <c r="C38" i="5"/>
  <c r="G38" i="5"/>
  <c r="C39" i="5"/>
  <c r="F199" i="1"/>
  <c r="G39" i="5" s="1"/>
  <c r="C40" i="5"/>
  <c r="F200" i="1"/>
  <c r="G40" i="5" s="1"/>
  <c r="A42" i="5"/>
  <c r="C42" i="5"/>
  <c r="E42" i="5"/>
  <c r="F202" i="1"/>
  <c r="G42" i="5" s="1"/>
  <c r="A43" i="5"/>
  <c r="C43" i="5"/>
  <c r="E43" i="5"/>
  <c r="F203" i="1"/>
  <c r="G43" i="5" s="1"/>
  <c r="A44" i="5"/>
  <c r="C44" i="5"/>
  <c r="E44" i="5"/>
  <c r="F204" i="1"/>
  <c r="G44" i="5" s="1"/>
  <c r="A46" i="5"/>
  <c r="C46" i="5"/>
  <c r="E46" i="5"/>
  <c r="F206" i="1"/>
  <c r="G46" i="5" s="1"/>
  <c r="A47" i="5"/>
  <c r="C47" i="5"/>
  <c r="E47" i="5"/>
  <c r="F207" i="1"/>
  <c r="G47" i="5" s="1"/>
  <c r="A48" i="5"/>
  <c r="C48" i="5"/>
  <c r="E48" i="5"/>
  <c r="A50" i="5"/>
  <c r="C50" i="5"/>
  <c r="E50" i="5"/>
  <c r="A51" i="5"/>
  <c r="C51" i="5"/>
  <c r="E51" i="5"/>
  <c r="A52" i="5"/>
  <c r="C52" i="5"/>
  <c r="E52" i="5"/>
  <c r="A53" i="5"/>
  <c r="B53" i="5"/>
  <c r="B55" i="5"/>
  <c r="F215" i="1"/>
  <c r="G55" i="5" s="1"/>
  <c r="A57" i="5"/>
  <c r="B59" i="5"/>
  <c r="A60" i="5"/>
  <c r="C60" i="5"/>
  <c r="I60" i="5"/>
  <c r="C61" i="5"/>
  <c r="A62" i="5"/>
  <c r="C62" i="5"/>
  <c r="E62" i="5"/>
  <c r="G62" i="5"/>
  <c r="I62" i="5"/>
  <c r="C63" i="5"/>
  <c r="E63" i="5"/>
  <c r="A64" i="5"/>
  <c r="C64" i="5"/>
  <c r="B66" i="5"/>
  <c r="A67" i="5"/>
  <c r="C67" i="5"/>
  <c r="F67" i="5"/>
  <c r="G67" i="5"/>
  <c r="A68" i="5"/>
  <c r="C68" i="5"/>
  <c r="C69" i="5"/>
  <c r="F229" i="1"/>
  <c r="G69" i="5" s="1"/>
  <c r="C70" i="5"/>
  <c r="F230" i="1"/>
  <c r="G70" i="5" s="1"/>
  <c r="A74" i="5"/>
  <c r="B74" i="5"/>
  <c r="F74" i="5"/>
  <c r="A76" i="5"/>
  <c r="B76" i="5"/>
  <c r="A1" i="4"/>
  <c r="A12" i="4"/>
  <c r="A13" i="4" s="1"/>
  <c r="A14" i="4" s="1"/>
  <c r="A15" i="4" s="1"/>
  <c r="A16" i="4" s="1"/>
  <c r="A17" i="4" s="1"/>
  <c r="A18" i="4" s="1"/>
  <c r="A19" i="4" s="1"/>
  <c r="A21" i="4" s="1"/>
  <c r="B44" i="3"/>
  <c r="B45" i="3" s="1"/>
  <c r="B46" i="3" s="1"/>
  <c r="B47" i="3" s="1"/>
  <c r="B48" i="3" s="1"/>
  <c r="B49" i="3" s="1"/>
  <c r="B51" i="3" s="1"/>
  <c r="B53" i="3" s="1"/>
  <c r="B55" i="3" s="1"/>
  <c r="A12" i="1"/>
  <c r="A13" i="1" s="1"/>
  <c r="F20" i="1"/>
  <c r="F21" i="1"/>
  <c r="F31" i="1"/>
  <c r="F32" i="1"/>
  <c r="F43" i="1"/>
  <c r="F47" i="1"/>
  <c r="F48" i="1"/>
  <c r="F53" i="1"/>
  <c r="C60" i="1"/>
  <c r="C61" i="1"/>
  <c r="F61" i="1"/>
  <c r="F62" i="1"/>
  <c r="C64" i="1"/>
  <c r="F64" i="1"/>
  <c r="F65" i="1"/>
  <c r="F76" i="1"/>
  <c r="F77" i="1"/>
  <c r="E87" i="1"/>
  <c r="F92" i="1"/>
  <c r="F93" i="1"/>
  <c r="F100" i="1"/>
  <c r="F105" i="1"/>
  <c r="E118" i="1"/>
  <c r="F131" i="1"/>
  <c r="F132" i="1"/>
  <c r="F142" i="1"/>
  <c r="F143" i="1"/>
  <c r="F157" i="1"/>
  <c r="F158" i="1"/>
  <c r="F164" i="1"/>
  <c r="F165" i="1"/>
  <c r="E180" i="1"/>
  <c r="D196" i="1"/>
  <c r="E208" i="1"/>
  <c r="E226" i="1"/>
  <c r="F234" i="1"/>
  <c r="F243" i="1"/>
  <c r="F245" i="1"/>
  <c r="F248" i="1"/>
  <c r="F249" i="1"/>
  <c r="C254" i="1"/>
  <c r="F254" i="1"/>
  <c r="F256" i="1"/>
  <c r="F259" i="1"/>
  <c r="F265" i="1"/>
  <c r="C268" i="1"/>
  <c r="F269" i="1"/>
  <c r="F270" i="1"/>
  <c r="F276" i="1"/>
  <c r="C279" i="1"/>
  <c r="C320" i="1"/>
  <c r="C321" i="1"/>
  <c r="BC40" i="12"/>
  <c r="BB41" i="12"/>
  <c r="BB39" i="12"/>
  <c r="BC38" i="12"/>
  <c r="BB37" i="12"/>
  <c r="BC36" i="12"/>
  <c r="L78" i="11" l="1"/>
  <c r="P78" i="11" s="1"/>
  <c r="M78" i="11"/>
  <c r="Q78" i="11" s="1"/>
  <c r="I79" i="11"/>
  <c r="E195" i="1"/>
  <c r="I28" i="5"/>
  <c r="I36" i="5"/>
  <c r="I20" i="5"/>
  <c r="I61" i="5"/>
  <c r="E41" i="3"/>
  <c r="F283" i="1"/>
  <c r="F272" i="1"/>
  <c r="F268" i="1"/>
  <c r="F258" i="1"/>
  <c r="F247" i="1"/>
  <c r="F242" i="1"/>
  <c r="F174" i="1"/>
  <c r="F163" i="1"/>
  <c r="F146" i="1"/>
  <c r="F138" i="1"/>
  <c r="F120" i="1"/>
  <c r="F98" i="1"/>
  <c r="F88" i="1"/>
  <c r="F69" i="1"/>
  <c r="F49" i="1"/>
  <c r="F35" i="1"/>
  <c r="F29" i="1"/>
  <c r="A69" i="5"/>
  <c r="A61" i="5"/>
  <c r="A55" i="5"/>
  <c r="F212" i="1"/>
  <c r="G52" i="5" s="1"/>
  <c r="F211" i="1"/>
  <c r="G51" i="5" s="1"/>
  <c r="F210" i="1"/>
  <c r="G50" i="5" s="1"/>
  <c r="A39" i="5"/>
  <c r="F197" i="1"/>
  <c r="G37" i="5" s="1"/>
  <c r="A34" i="5"/>
  <c r="A35" i="5" s="1"/>
  <c r="A36" i="5" s="1"/>
  <c r="F187" i="1"/>
  <c r="G27" i="5" s="1"/>
  <c r="A21" i="5"/>
  <c r="A139" i="6"/>
  <c r="A99" i="6"/>
  <c r="A76" i="6"/>
  <c r="A27" i="6"/>
  <c r="A11" i="6"/>
  <c r="A63" i="6"/>
  <c r="C322" i="1"/>
  <c r="F279" i="1"/>
  <c r="F271" i="1"/>
  <c r="F257" i="1"/>
  <c r="F251" i="1"/>
  <c r="F246" i="1"/>
  <c r="F241" i="1"/>
  <c r="F168" i="1"/>
  <c r="F159" i="1"/>
  <c r="F144" i="1"/>
  <c r="F133" i="1"/>
  <c r="F95" i="1"/>
  <c r="F67" i="1"/>
  <c r="F63" i="1"/>
  <c r="F60" i="1"/>
  <c r="F34" i="1"/>
  <c r="F27" i="1"/>
  <c r="F236" i="1"/>
  <c r="G76" i="5" s="1"/>
  <c r="A70" i="5"/>
  <c r="F228" i="1"/>
  <c r="G68" i="5" s="1"/>
  <c r="A63" i="5"/>
  <c r="F213" i="1"/>
  <c r="G53" i="5" s="1"/>
  <c r="A40" i="5"/>
  <c r="A33" i="5"/>
  <c r="A32" i="5"/>
  <c r="A29" i="5"/>
  <c r="A23" i="5"/>
  <c r="F109" i="1"/>
  <c r="G16" i="5" s="1"/>
  <c r="A104" i="6"/>
  <c r="A9" i="6"/>
  <c r="AD68" i="12"/>
  <c r="AD69" i="12" s="1"/>
  <c r="AD60" i="12"/>
  <c r="AD61" i="12" s="1"/>
  <c r="AD52" i="12"/>
  <c r="AD53" i="12" s="1"/>
  <c r="AD72" i="12"/>
  <c r="AD73" i="12" s="1"/>
  <c r="AD56" i="12"/>
  <c r="AD57" i="12" s="1"/>
  <c r="AD62" i="12"/>
  <c r="AD63" i="12" s="1"/>
  <c r="AD74" i="12"/>
  <c r="AD75" i="12" s="1"/>
  <c r="AD66" i="12"/>
  <c r="AD67" i="12" s="1"/>
  <c r="AD58" i="12"/>
  <c r="AD59" i="12" s="1"/>
  <c r="AD64" i="12"/>
  <c r="AD65" i="12" s="1"/>
  <c r="AD70" i="12"/>
  <c r="AD71" i="12" s="1"/>
  <c r="AD54" i="12"/>
  <c r="AD55" i="12" s="1"/>
  <c r="R70" i="12"/>
  <c r="R71" i="12" s="1"/>
  <c r="R62" i="12"/>
  <c r="R63" i="12" s="1"/>
  <c r="R54" i="12"/>
  <c r="R55" i="12" s="1"/>
  <c r="R74" i="12"/>
  <c r="R75" i="12" s="1"/>
  <c r="R58" i="12"/>
  <c r="R59" i="12" s="1"/>
  <c r="R72" i="12"/>
  <c r="R73" i="12" s="1"/>
  <c r="R56" i="12"/>
  <c r="R57" i="12" s="1"/>
  <c r="R68" i="12"/>
  <c r="R69" i="12" s="1"/>
  <c r="R60" i="12"/>
  <c r="R61" i="12" s="1"/>
  <c r="R52" i="12"/>
  <c r="R53" i="12" s="1"/>
  <c r="R66" i="12"/>
  <c r="R67" i="12" s="1"/>
  <c r="R64" i="12"/>
  <c r="R65" i="12" s="1"/>
  <c r="N74" i="12"/>
  <c r="N75" i="12" s="1"/>
  <c r="N66" i="12"/>
  <c r="N67" i="12" s="1"/>
  <c r="N58" i="12"/>
  <c r="N59" i="12" s="1"/>
  <c r="N62" i="12"/>
  <c r="N63" i="12" s="1"/>
  <c r="N60" i="12"/>
  <c r="N61" i="12" s="1"/>
  <c r="N72" i="12"/>
  <c r="N73" i="12" s="1"/>
  <c r="N64" i="12"/>
  <c r="N65" i="12" s="1"/>
  <c r="N56" i="12"/>
  <c r="N57" i="12" s="1"/>
  <c r="N70" i="12"/>
  <c r="N71" i="12" s="1"/>
  <c r="N54" i="12"/>
  <c r="N55" i="12" s="1"/>
  <c r="N68" i="12"/>
  <c r="N69" i="12" s="1"/>
  <c r="N52" i="12"/>
  <c r="N53" i="12" s="1"/>
  <c r="Z72" i="12"/>
  <c r="Z73" i="12" s="1"/>
  <c r="Z64" i="12"/>
  <c r="Z65" i="12" s="1"/>
  <c r="Z56" i="12"/>
  <c r="Z57" i="12" s="1"/>
  <c r="Z60" i="12"/>
  <c r="Z61" i="12" s="1"/>
  <c r="Z66" i="12"/>
  <c r="Z67" i="12" s="1"/>
  <c r="Z70" i="12"/>
  <c r="Z71" i="12" s="1"/>
  <c r="Z62" i="12"/>
  <c r="Z63" i="12" s="1"/>
  <c r="Z54" i="12"/>
  <c r="Z55" i="12" s="1"/>
  <c r="Z68" i="12"/>
  <c r="Z69" i="12" s="1"/>
  <c r="Z52" i="12"/>
  <c r="Z53" i="12" s="1"/>
  <c r="Z74" i="12"/>
  <c r="Z75" i="12" s="1"/>
  <c r="Z58" i="12"/>
  <c r="Z59" i="12" s="1"/>
  <c r="V74" i="12"/>
  <c r="V75" i="12" s="1"/>
  <c r="V66" i="12"/>
  <c r="V67" i="12" s="1"/>
  <c r="V60" i="12"/>
  <c r="V61" i="12" s="1"/>
  <c r="V52" i="12"/>
  <c r="V53" i="12" s="1"/>
  <c r="V70" i="12"/>
  <c r="V71" i="12" s="1"/>
  <c r="V56" i="12"/>
  <c r="V57" i="12" s="1"/>
  <c r="V68" i="12"/>
  <c r="V69" i="12" s="1"/>
  <c r="V54" i="12"/>
  <c r="V55" i="12" s="1"/>
  <c r="V72" i="12"/>
  <c r="V73" i="12" s="1"/>
  <c r="V64" i="12"/>
  <c r="V65" i="12" s="1"/>
  <c r="V58" i="12"/>
  <c r="V59" i="12" s="1"/>
  <c r="V62" i="12"/>
  <c r="V63" i="12" s="1"/>
  <c r="I66" i="12"/>
  <c r="G114" i="11"/>
  <c r="E51" i="3"/>
  <c r="E55" i="3" s="1"/>
  <c r="H123" i="11"/>
  <c r="F129" i="11" s="1"/>
  <c r="A145" i="6"/>
  <c r="E104" i="1"/>
  <c r="E104" i="6" s="1"/>
  <c r="A82" i="6"/>
  <c r="A70" i="6"/>
  <c r="A13" i="6"/>
  <c r="A7" i="6"/>
  <c r="F107" i="1"/>
  <c r="H223" i="1"/>
  <c r="H163" i="1"/>
  <c r="A22" i="6"/>
  <c r="A21" i="6"/>
  <c r="A20" i="6"/>
  <c r="A18" i="6"/>
  <c r="A17" i="6"/>
  <c r="A14" i="10"/>
  <c r="H189" i="1"/>
  <c r="A57" i="6"/>
  <c r="A15" i="6"/>
  <c r="A18" i="10"/>
  <c r="L89" i="11"/>
  <c r="D35" i="4"/>
  <c r="D36" i="4" s="1"/>
  <c r="D38" i="4" s="1"/>
  <c r="D39" i="4" s="1"/>
  <c r="D22" i="4" s="1"/>
  <c r="I21" i="5"/>
  <c r="H142" i="1"/>
  <c r="H256" i="1"/>
  <c r="H279" i="1"/>
  <c r="H63" i="1"/>
  <c r="H21" i="1"/>
  <c r="H16" i="1"/>
  <c r="I104" i="11"/>
  <c r="L104" i="11" s="1"/>
  <c r="P104" i="11" s="1"/>
  <c r="E11" i="6"/>
  <c r="M103" i="11"/>
  <c r="Q103" i="11" s="1"/>
  <c r="D21" i="4"/>
  <c r="I15" i="6"/>
  <c r="H105" i="1"/>
  <c r="H138" i="1"/>
  <c r="J103" i="11"/>
  <c r="N103" i="11" s="1"/>
  <c r="A14" i="1"/>
  <c r="F16" i="1" s="1"/>
  <c r="F14" i="1"/>
  <c r="B60" i="11"/>
  <c r="B18" i="11"/>
  <c r="D12" i="12"/>
  <c r="A272" i="1"/>
  <c r="I35" i="11"/>
  <c r="K34" i="11"/>
  <c r="C97" i="11"/>
  <c r="C16" i="11"/>
  <c r="H132" i="11"/>
  <c r="J104" i="11"/>
  <c r="I105" i="11"/>
  <c r="H197" i="1"/>
  <c r="I80" i="11" l="1"/>
  <c r="L79" i="11"/>
  <c r="P79" i="11" s="1"/>
  <c r="J79" i="11"/>
  <c r="N79" i="11" s="1"/>
  <c r="K79" i="11"/>
  <c r="O79" i="11" s="1"/>
  <c r="M79" i="11"/>
  <c r="Q79" i="11" s="1"/>
  <c r="I29" i="5"/>
  <c r="H29" i="1"/>
  <c r="K66" i="12"/>
  <c r="I67" i="12"/>
  <c r="K67" i="12" s="1"/>
  <c r="H64" i="1"/>
  <c r="F130" i="11"/>
  <c r="F131" i="11" s="1"/>
  <c r="I129" i="11"/>
  <c r="J129" i="11" s="1"/>
  <c r="H199" i="1"/>
  <c r="H224" i="1"/>
  <c r="I63" i="5"/>
  <c r="L102" i="11"/>
  <c r="P102" i="11" s="1"/>
  <c r="E32" i="12"/>
  <c r="L114" i="11"/>
  <c r="H257" i="1"/>
  <c r="H132" i="1"/>
  <c r="H92" i="1"/>
  <c r="F31" i="3"/>
  <c r="G31" i="3" s="1"/>
  <c r="H164" i="1"/>
  <c r="D132" i="6"/>
  <c r="D134" i="6" s="1"/>
  <c r="E125" i="6" s="1"/>
  <c r="E127" i="6" s="1"/>
  <c r="F127" i="6" s="1"/>
  <c r="H115" i="6"/>
  <c r="I115" i="6" s="1"/>
  <c r="H48" i="1"/>
  <c r="H158" i="1"/>
  <c r="D23" i="4"/>
  <c r="H262" i="1" s="1"/>
  <c r="D44" i="4"/>
  <c r="M104" i="11"/>
  <c r="Q104" i="11" s="1"/>
  <c r="K104" i="11"/>
  <c r="O104" i="11" s="1"/>
  <c r="I36" i="11"/>
  <c r="J35" i="11"/>
  <c r="L35" i="11"/>
  <c r="P35" i="11" s="1"/>
  <c r="M35" i="11"/>
  <c r="Q35" i="11" s="1"/>
  <c r="K35" i="11"/>
  <c r="O35" i="11" s="1"/>
  <c r="J105" i="11"/>
  <c r="N105" i="11" s="1"/>
  <c r="M105" i="11"/>
  <c r="Q105" i="11" s="1"/>
  <c r="I106" i="11"/>
  <c r="L105" i="11"/>
  <c r="P105" i="11" s="1"/>
  <c r="K105" i="11"/>
  <c r="N104" i="11"/>
  <c r="H133" i="11"/>
  <c r="D18" i="12"/>
  <c r="A276" i="1"/>
  <c r="I37" i="5"/>
  <c r="I46" i="5" s="1"/>
  <c r="H206" i="1"/>
  <c r="C19" i="11"/>
  <c r="C65" i="11"/>
  <c r="O34" i="11"/>
  <c r="B16" i="11"/>
  <c r="B97" i="11"/>
  <c r="L80" i="11" l="1"/>
  <c r="P80" i="11" s="1"/>
  <c r="K80" i="11"/>
  <c r="O80" i="11" s="1"/>
  <c r="M80" i="11"/>
  <c r="Q80" i="11" s="1"/>
  <c r="I81" i="11"/>
  <c r="J80" i="11"/>
  <c r="N80" i="11" s="1"/>
  <c r="H93" i="1"/>
  <c r="H95" i="1" s="1"/>
  <c r="H133" i="1"/>
  <c r="H65" i="1"/>
  <c r="H67" i="1" s="1"/>
  <c r="I39" i="5"/>
  <c r="H165" i="1"/>
  <c r="Y52" i="12"/>
  <c r="AC52" i="12"/>
  <c r="M52" i="12"/>
  <c r="U52" i="12"/>
  <c r="Q52" i="12"/>
  <c r="I68" i="12"/>
  <c r="F74" i="12"/>
  <c r="F75" i="12" s="1"/>
  <c r="F66" i="12"/>
  <c r="F67" i="12" s="1"/>
  <c r="F58" i="12"/>
  <c r="F59" i="12" s="1"/>
  <c r="F72" i="12"/>
  <c r="F73" i="12" s="1"/>
  <c r="F64" i="12"/>
  <c r="F65" i="12" s="1"/>
  <c r="F56" i="12"/>
  <c r="F57" i="12" s="1"/>
  <c r="F70" i="12"/>
  <c r="F71" i="12" s="1"/>
  <c r="F62" i="12"/>
  <c r="F63" i="12" s="1"/>
  <c r="F54" i="12"/>
  <c r="F55" i="12" s="1"/>
  <c r="F68" i="12"/>
  <c r="F69" i="12" s="1"/>
  <c r="F60" i="12"/>
  <c r="F61" i="12" s="1"/>
  <c r="F52" i="12"/>
  <c r="F53" i="12" s="1"/>
  <c r="I130" i="11"/>
  <c r="J130" i="11" s="1"/>
  <c r="H200" i="1"/>
  <c r="E128" i="6"/>
  <c r="E129" i="6" s="1"/>
  <c r="F129" i="6" s="1"/>
  <c r="H87" i="1" s="1"/>
  <c r="F125" i="6"/>
  <c r="H228" i="1"/>
  <c r="I64" i="5"/>
  <c r="H49" i="1"/>
  <c r="H159" i="1"/>
  <c r="B19" i="11"/>
  <c r="B65" i="11"/>
  <c r="C120" i="11"/>
  <c r="C20" i="11"/>
  <c r="F132" i="11"/>
  <c r="I131" i="11"/>
  <c r="J131" i="11" s="1"/>
  <c r="H134" i="11"/>
  <c r="O105" i="11"/>
  <c r="I37" i="11"/>
  <c r="K36" i="11"/>
  <c r="J36" i="11"/>
  <c r="N36" i="11" s="1"/>
  <c r="M36" i="11"/>
  <c r="Q36" i="11" s="1"/>
  <c r="L36" i="11"/>
  <c r="P36" i="11" s="1"/>
  <c r="A277" i="1"/>
  <c r="F278" i="1" s="1"/>
  <c r="M106" i="11"/>
  <c r="Q106" i="11" s="1"/>
  <c r="L106" i="11"/>
  <c r="P106" i="11" s="1"/>
  <c r="J106" i="11"/>
  <c r="I107" i="11"/>
  <c r="K106" i="11"/>
  <c r="O106" i="11" s="1"/>
  <c r="N35" i="11"/>
  <c r="B120" i="11" l="1"/>
  <c r="I82" i="11"/>
  <c r="K81" i="11"/>
  <c r="O81" i="11" s="1"/>
  <c r="M81" i="11"/>
  <c r="Q81" i="11" s="1"/>
  <c r="L81" i="11"/>
  <c r="P81" i="11" s="1"/>
  <c r="J81" i="11"/>
  <c r="N81" i="11" s="1"/>
  <c r="H168" i="1"/>
  <c r="H246" i="1" s="1"/>
  <c r="H204" i="1"/>
  <c r="M53" i="12"/>
  <c r="O53" i="12" s="1"/>
  <c r="M54" i="12" s="1"/>
  <c r="O52" i="12"/>
  <c r="S52" i="12"/>
  <c r="Q53" i="12"/>
  <c r="S53" i="12" s="1"/>
  <c r="Q54" i="12" s="1"/>
  <c r="AA52" i="12"/>
  <c r="Y53" i="12"/>
  <c r="AA53" i="12" s="1"/>
  <c r="Y54" i="12" s="1"/>
  <c r="W52" i="12"/>
  <c r="U53" i="12"/>
  <c r="W53" i="12" s="1"/>
  <c r="U54" i="12" s="1"/>
  <c r="AC53" i="12"/>
  <c r="AE53" i="12" s="1"/>
  <c r="AC54" i="12" s="1"/>
  <c r="AE52" i="12"/>
  <c r="K68" i="12"/>
  <c r="I69" i="12"/>
  <c r="K69" i="12" s="1"/>
  <c r="F128" i="6"/>
  <c r="I40" i="5"/>
  <c r="I42" i="5" s="1"/>
  <c r="I50" i="5" s="1"/>
  <c r="H202" i="1"/>
  <c r="H203" i="1"/>
  <c r="I68" i="5"/>
  <c r="H88" i="1"/>
  <c r="O36" i="11"/>
  <c r="H135" i="11"/>
  <c r="F133" i="11"/>
  <c r="I132" i="11"/>
  <c r="J132" i="11" s="1"/>
  <c r="C21" i="11"/>
  <c r="A278" i="1"/>
  <c r="I38" i="11"/>
  <c r="L37" i="11"/>
  <c r="P37" i="11" s="1"/>
  <c r="J37" i="11"/>
  <c r="N37" i="11" s="1"/>
  <c r="K37" i="11"/>
  <c r="O37" i="11" s="1"/>
  <c r="M37" i="11"/>
  <c r="Q37" i="11" s="1"/>
  <c r="J107" i="11"/>
  <c r="N107" i="11" s="1"/>
  <c r="I108" i="11"/>
  <c r="M107" i="11"/>
  <c r="Q107" i="11" s="1"/>
  <c r="L107" i="11"/>
  <c r="P107" i="11" s="1"/>
  <c r="K107" i="11"/>
  <c r="O107" i="11" s="1"/>
  <c r="N106" i="11"/>
  <c r="J82" i="11" l="1"/>
  <c r="N82" i="11" s="1"/>
  <c r="L82" i="11"/>
  <c r="P82" i="11" s="1"/>
  <c r="M82" i="11"/>
  <c r="Q82" i="11" s="1"/>
  <c r="I83" i="11"/>
  <c r="K82" i="11"/>
  <c r="O82" i="11" s="1"/>
  <c r="H212" i="1"/>
  <c r="H210" i="1"/>
  <c r="H211" i="1"/>
  <c r="U55" i="12"/>
  <c r="W55" i="12" s="1"/>
  <c r="U56" i="12" s="1"/>
  <c r="W54" i="12"/>
  <c r="AA54" i="12"/>
  <c r="Y55" i="12"/>
  <c r="AA55" i="12" s="1"/>
  <c r="Y56" i="12" s="1"/>
  <c r="S54" i="12"/>
  <c r="Q55" i="12"/>
  <c r="S55" i="12" s="1"/>
  <c r="Q56" i="12" s="1"/>
  <c r="AE54" i="12"/>
  <c r="AC55" i="12"/>
  <c r="AE55" i="12" s="1"/>
  <c r="AC56" i="12" s="1"/>
  <c r="O54" i="12"/>
  <c r="M55" i="12"/>
  <c r="O55" i="12" s="1"/>
  <c r="M56" i="12" s="1"/>
  <c r="I70" i="12"/>
  <c r="I43" i="5"/>
  <c r="I51" i="5" s="1"/>
  <c r="I44" i="5"/>
  <c r="I52" i="5" s="1"/>
  <c r="J108" i="11"/>
  <c r="M108" i="11"/>
  <c r="Q108" i="11" s="1"/>
  <c r="L108" i="11"/>
  <c r="P108" i="11" s="1"/>
  <c r="I109" i="11"/>
  <c r="K108" i="11"/>
  <c r="O108" i="11" s="1"/>
  <c r="I39" i="11"/>
  <c r="L38" i="11"/>
  <c r="P38" i="11" s="1"/>
  <c r="J38" i="11"/>
  <c r="N38" i="11" s="1"/>
  <c r="M38" i="11"/>
  <c r="Q38" i="11" s="1"/>
  <c r="K38" i="11"/>
  <c r="O38" i="11" s="1"/>
  <c r="H136" i="11"/>
  <c r="A279" i="1"/>
  <c r="F280" i="1" s="1"/>
  <c r="F134" i="11"/>
  <c r="I133" i="11"/>
  <c r="J133" i="11" s="1"/>
  <c r="M83" i="11" l="1"/>
  <c r="Q83" i="11" s="1"/>
  <c r="L83" i="11"/>
  <c r="P83" i="11" s="1"/>
  <c r="I84" i="11"/>
  <c r="J83" i="11"/>
  <c r="N83" i="11" s="1"/>
  <c r="K83" i="11"/>
  <c r="O83" i="11" s="1"/>
  <c r="H213" i="1"/>
  <c r="S56" i="12"/>
  <c r="Q57" i="12"/>
  <c r="S57" i="12" s="1"/>
  <c r="Q58" i="12" s="1"/>
  <c r="AA56" i="12"/>
  <c r="Y57" i="12"/>
  <c r="AA57" i="12" s="1"/>
  <c r="Y58" i="12" s="1"/>
  <c r="M57" i="12"/>
  <c r="O57" i="12" s="1"/>
  <c r="M58" i="12" s="1"/>
  <c r="O56" i="12"/>
  <c r="AC57" i="12"/>
  <c r="AE57" i="12" s="1"/>
  <c r="AC58" i="12" s="1"/>
  <c r="AE56" i="12"/>
  <c r="U57" i="12"/>
  <c r="W57" i="12" s="1"/>
  <c r="U58" i="12" s="1"/>
  <c r="W56" i="12"/>
  <c r="K70" i="12"/>
  <c r="I71" i="12"/>
  <c r="K71" i="12" s="1"/>
  <c r="I53" i="5"/>
  <c r="F135" i="11"/>
  <c r="I134" i="11"/>
  <c r="J134" i="11" s="1"/>
  <c r="J109" i="11"/>
  <c r="N109" i="11" s="1"/>
  <c r="M109" i="11"/>
  <c r="Q109" i="11" s="1"/>
  <c r="I110" i="11"/>
  <c r="L109" i="11"/>
  <c r="P109" i="11" s="1"/>
  <c r="K109" i="11"/>
  <c r="O109" i="11" s="1"/>
  <c r="H137" i="11"/>
  <c r="I40" i="11"/>
  <c r="M39" i="11"/>
  <c r="Q39" i="11" s="1"/>
  <c r="J39" i="11"/>
  <c r="K39" i="11"/>
  <c r="L39" i="11"/>
  <c r="P39" i="11" s="1"/>
  <c r="A280" i="1"/>
  <c r="A281" i="1" s="1"/>
  <c r="F281" i="1"/>
  <c r="N108" i="11"/>
  <c r="L84" i="11" l="1"/>
  <c r="P84" i="11" s="1"/>
  <c r="J84" i="11"/>
  <c r="N84" i="11" s="1"/>
  <c r="M84" i="11"/>
  <c r="Q84" i="11" s="1"/>
  <c r="K84" i="11"/>
  <c r="O84" i="11" s="1"/>
  <c r="I85" i="11"/>
  <c r="J139" i="6"/>
  <c r="H116" i="1" s="1"/>
  <c r="AA58" i="12"/>
  <c r="Y59" i="12"/>
  <c r="AA59" i="12" s="1"/>
  <c r="Y60" i="12" s="1"/>
  <c r="S58" i="12"/>
  <c r="Q59" i="12"/>
  <c r="S59" i="12" s="1"/>
  <c r="Q60" i="12" s="1"/>
  <c r="AC59" i="12"/>
  <c r="AE59" i="12" s="1"/>
  <c r="AC60" i="12" s="1"/>
  <c r="AE58" i="12"/>
  <c r="U59" i="12"/>
  <c r="W59" i="12" s="1"/>
  <c r="U60" i="12" s="1"/>
  <c r="W58" i="12"/>
  <c r="M59" i="12"/>
  <c r="O59" i="12" s="1"/>
  <c r="M60" i="12" s="1"/>
  <c r="O58" i="12"/>
  <c r="I72" i="12"/>
  <c r="E52" i="12"/>
  <c r="D13" i="12"/>
  <c r="A283" i="1"/>
  <c r="I41" i="11"/>
  <c r="K40" i="11"/>
  <c r="O40" i="11" s="1"/>
  <c r="L40" i="11"/>
  <c r="P40" i="11" s="1"/>
  <c r="M40" i="11"/>
  <c r="Q40" i="11" s="1"/>
  <c r="J40" i="11"/>
  <c r="N40" i="11" s="1"/>
  <c r="F136" i="11"/>
  <c r="I135" i="11"/>
  <c r="J135" i="11" s="1"/>
  <c r="O39" i="11"/>
  <c r="H138" i="11"/>
  <c r="M110" i="11"/>
  <c r="Q110" i="11" s="1"/>
  <c r="L110" i="11"/>
  <c r="P110" i="11" s="1"/>
  <c r="J110" i="11"/>
  <c r="I111" i="11"/>
  <c r="K110" i="11"/>
  <c r="N39" i="11"/>
  <c r="K85" i="11" l="1"/>
  <c r="O85" i="11" s="1"/>
  <c r="J85" i="11"/>
  <c r="N85" i="11" s="1"/>
  <c r="M85" i="11"/>
  <c r="Q85" i="11" s="1"/>
  <c r="L85" i="11"/>
  <c r="P85" i="11" s="1"/>
  <c r="I86" i="11"/>
  <c r="H120" i="1"/>
  <c r="AE60" i="12"/>
  <c r="AC61" i="12"/>
  <c r="AE61" i="12" s="1"/>
  <c r="AC62" i="12" s="1"/>
  <c r="AA60" i="12"/>
  <c r="Y61" i="12"/>
  <c r="AA61" i="12" s="1"/>
  <c r="Y62" i="12" s="1"/>
  <c r="M61" i="12"/>
  <c r="O61" i="12" s="1"/>
  <c r="M62" i="12" s="1"/>
  <c r="O60" i="12"/>
  <c r="U61" i="12"/>
  <c r="W61" i="12" s="1"/>
  <c r="U62" i="12" s="1"/>
  <c r="W60" i="12"/>
  <c r="S60" i="12"/>
  <c r="Q61" i="12"/>
  <c r="S61" i="12" s="1"/>
  <c r="Q62" i="12" s="1"/>
  <c r="K72" i="12"/>
  <c r="I73" i="12"/>
  <c r="K73" i="12" s="1"/>
  <c r="E53" i="12"/>
  <c r="G53" i="12" s="1"/>
  <c r="G52" i="12"/>
  <c r="O110" i="11"/>
  <c r="N110" i="11"/>
  <c r="F137" i="11"/>
  <c r="I136" i="11"/>
  <c r="J136" i="11" s="1"/>
  <c r="H139" i="11"/>
  <c r="A284" i="1"/>
  <c r="A285" i="1" s="1"/>
  <c r="A286" i="1" s="1"/>
  <c r="J111" i="11"/>
  <c r="N111" i="11" s="1"/>
  <c r="I112" i="11"/>
  <c r="K111" i="11"/>
  <c r="O111" i="11" s="1"/>
  <c r="M111" i="11"/>
  <c r="Q111" i="11" s="1"/>
  <c r="L111" i="11"/>
  <c r="P111" i="11" s="1"/>
  <c r="M41" i="11"/>
  <c r="Q41" i="11" s="1"/>
  <c r="K41" i="11"/>
  <c r="O41" i="11" s="1"/>
  <c r="L41" i="11"/>
  <c r="P41" i="11" s="1"/>
  <c r="J41" i="11"/>
  <c r="I42" i="11"/>
  <c r="J86" i="11" l="1"/>
  <c r="N86" i="11" s="1"/>
  <c r="I87" i="11"/>
  <c r="L86" i="11"/>
  <c r="P86" i="11" s="1"/>
  <c r="M86" i="11"/>
  <c r="Q86" i="11" s="1"/>
  <c r="K86" i="11"/>
  <c r="O86" i="11" s="1"/>
  <c r="F288" i="1"/>
  <c r="Y63" i="12"/>
  <c r="AA63" i="12" s="1"/>
  <c r="Y64" i="12" s="1"/>
  <c r="AA62" i="12"/>
  <c r="U63" i="12"/>
  <c r="W63" i="12" s="1"/>
  <c r="U64" i="12" s="1"/>
  <c r="W62" i="12"/>
  <c r="AE62" i="12"/>
  <c r="AC63" i="12"/>
  <c r="AE63" i="12" s="1"/>
  <c r="AC64" i="12" s="1"/>
  <c r="S62" i="12"/>
  <c r="Q63" i="12"/>
  <c r="S63" i="12" s="1"/>
  <c r="Q64" i="12" s="1"/>
  <c r="M63" i="12"/>
  <c r="O63" i="12" s="1"/>
  <c r="M64" i="12" s="1"/>
  <c r="O62" i="12"/>
  <c r="I74" i="12"/>
  <c r="E54" i="12"/>
  <c r="H140" i="11"/>
  <c r="K42" i="11"/>
  <c r="O42" i="11" s="1"/>
  <c r="L42" i="11"/>
  <c r="P42" i="11" s="1"/>
  <c r="J42" i="11"/>
  <c r="N42" i="11" s="1"/>
  <c r="M42" i="11"/>
  <c r="Q42" i="11" s="1"/>
  <c r="I43" i="11"/>
  <c r="A288" i="1"/>
  <c r="FX286" i="1"/>
  <c r="A155" i="6"/>
  <c r="F138" i="11"/>
  <c r="I137" i="11"/>
  <c r="J137" i="11" s="1"/>
  <c r="N41" i="11"/>
  <c r="M112" i="11"/>
  <c r="Q112" i="11" s="1"/>
  <c r="L112" i="11"/>
  <c r="P112" i="11" s="1"/>
  <c r="I113" i="11"/>
  <c r="J112" i="11"/>
  <c r="K112" i="11"/>
  <c r="O112" i="11" s="1"/>
  <c r="I88" i="11" l="1"/>
  <c r="K87" i="11"/>
  <c r="O87" i="11" s="1"/>
  <c r="L87" i="11"/>
  <c r="P87" i="11" s="1"/>
  <c r="M87" i="11"/>
  <c r="Q87" i="11" s="1"/>
  <c r="J87" i="11"/>
  <c r="N87" i="11" s="1"/>
  <c r="AE64" i="12"/>
  <c r="AC65" i="12"/>
  <c r="AE65" i="12" s="1"/>
  <c r="AC66" i="12" s="1"/>
  <c r="S64" i="12"/>
  <c r="Q65" i="12"/>
  <c r="S65" i="12" s="1"/>
  <c r="Q66" i="12" s="1"/>
  <c r="O64" i="12"/>
  <c r="M65" i="12"/>
  <c r="O65" i="12" s="1"/>
  <c r="M66" i="12" s="1"/>
  <c r="U65" i="12"/>
  <c r="W65" i="12" s="1"/>
  <c r="U66" i="12" s="1"/>
  <c r="W64" i="12"/>
  <c r="AA64" i="12"/>
  <c r="Y65" i="12"/>
  <c r="AA65" i="12" s="1"/>
  <c r="Y66" i="12" s="1"/>
  <c r="K74" i="12"/>
  <c r="I75" i="12"/>
  <c r="K75" i="12" s="1"/>
  <c r="G54" i="12"/>
  <c r="E55" i="12"/>
  <c r="G55" i="12" s="1"/>
  <c r="K43" i="11"/>
  <c r="M43" i="11"/>
  <c r="Q43" i="11" s="1"/>
  <c r="Q44" i="11" s="1"/>
  <c r="Q45" i="11" s="1"/>
  <c r="Q46" i="11" s="1"/>
  <c r="Q48" i="11" s="1"/>
  <c r="L43" i="11"/>
  <c r="P43" i="11" s="1"/>
  <c r="P44" i="11" s="1"/>
  <c r="P45" i="11" s="1"/>
  <c r="J43" i="11"/>
  <c r="N112" i="11"/>
  <c r="J113" i="11"/>
  <c r="N113" i="11" s="1"/>
  <c r="M113" i="11"/>
  <c r="Q113" i="11" s="1"/>
  <c r="Q114" i="11" s="1"/>
  <c r="Q115" i="11" s="1"/>
  <c r="Q116" i="11" s="1"/>
  <c r="Q118" i="11" s="1"/>
  <c r="L113" i="11"/>
  <c r="P113" i="11" s="1"/>
  <c r="P114" i="11" s="1"/>
  <c r="P115" i="11" s="1"/>
  <c r="P118" i="11" s="1"/>
  <c r="K113" i="11"/>
  <c r="F139" i="11"/>
  <c r="I138" i="11"/>
  <c r="J138" i="11" s="1"/>
  <c r="A291" i="1"/>
  <c r="F292" i="1" s="1"/>
  <c r="J88" i="11" l="1"/>
  <c r="K88" i="11"/>
  <c r="L88" i="11"/>
  <c r="P88" i="11" s="1"/>
  <c r="P89" i="11" s="1"/>
  <c r="P90" i="11" s="1"/>
  <c r="M88" i="11"/>
  <c r="Q88" i="11" s="1"/>
  <c r="Q89" i="11" s="1"/>
  <c r="Q90" i="11" s="1"/>
  <c r="Q91" i="11" s="1"/>
  <c r="Q93" i="11" s="1"/>
  <c r="U67" i="12"/>
  <c r="W67" i="12" s="1"/>
  <c r="U68" i="12" s="1"/>
  <c r="W66" i="12"/>
  <c r="O66" i="12"/>
  <c r="M67" i="12"/>
  <c r="O67" i="12" s="1"/>
  <c r="M68" i="12" s="1"/>
  <c r="AE66" i="12"/>
  <c r="AC67" i="12"/>
  <c r="AE67" i="12" s="1"/>
  <c r="AC68" i="12" s="1"/>
  <c r="S66" i="12"/>
  <c r="Q67" i="12"/>
  <c r="S67" i="12" s="1"/>
  <c r="Q68" i="12" s="1"/>
  <c r="AA66" i="12"/>
  <c r="Y67" i="12"/>
  <c r="AA67" i="12" s="1"/>
  <c r="Y68" i="12" s="1"/>
  <c r="E56" i="12"/>
  <c r="N114" i="11"/>
  <c r="N115" i="11" s="1"/>
  <c r="N116" i="11" s="1"/>
  <c r="R116" i="11" s="1"/>
  <c r="H42" i="1" s="1"/>
  <c r="N118" i="11"/>
  <c r="F140" i="11"/>
  <c r="I139" i="11"/>
  <c r="J139" i="11" s="1"/>
  <c r="O43" i="11"/>
  <c r="O44" i="11" s="1"/>
  <c r="O45" i="11" s="1"/>
  <c r="O46" i="11" s="1"/>
  <c r="O48" i="11" s="1"/>
  <c r="K44" i="11"/>
  <c r="N43" i="11"/>
  <c r="N44" i="11" s="1"/>
  <c r="N45" i="11" s="1"/>
  <c r="J44" i="11"/>
  <c r="P47" i="11"/>
  <c r="R47" i="11" s="1"/>
  <c r="P48" i="11"/>
  <c r="A292" i="1"/>
  <c r="A161" i="6"/>
  <c r="O113" i="11"/>
  <c r="O114" i="11" s="1"/>
  <c r="O115" i="11" s="1"/>
  <c r="O116" i="11" s="1"/>
  <c r="O118" i="11" s="1"/>
  <c r="K114" i="11"/>
  <c r="J114" i="11"/>
  <c r="P117" i="11"/>
  <c r="R117" i="11" s="1"/>
  <c r="H79" i="1" s="1"/>
  <c r="O88" i="11" l="1"/>
  <c r="O89" i="11" s="1"/>
  <c r="O90" i="11" s="1"/>
  <c r="O91" i="11" s="1"/>
  <c r="O93" i="11" s="1"/>
  <c r="K89" i="11"/>
  <c r="N88" i="11"/>
  <c r="N89" i="11" s="1"/>
  <c r="N90" i="11" s="1"/>
  <c r="N91" i="11" s="1"/>
  <c r="J89" i="11"/>
  <c r="P92" i="11"/>
  <c r="R92" i="11" s="1"/>
  <c r="P93" i="11"/>
  <c r="O68" i="12"/>
  <c r="M69" i="12"/>
  <c r="O69" i="12" s="1"/>
  <c r="M70" i="12" s="1"/>
  <c r="AE68" i="12"/>
  <c r="AC69" i="12"/>
  <c r="AE69" i="12" s="1"/>
  <c r="AC70" i="12" s="1"/>
  <c r="Q69" i="12"/>
  <c r="S69" i="12" s="1"/>
  <c r="Q70" i="12" s="1"/>
  <c r="S68" i="12"/>
  <c r="AA68" i="12"/>
  <c r="Y69" i="12"/>
  <c r="AA69" i="12" s="1"/>
  <c r="Y70" i="12" s="1"/>
  <c r="U69" i="12"/>
  <c r="W69" i="12" s="1"/>
  <c r="U70" i="12" s="1"/>
  <c r="W68" i="12"/>
  <c r="G56" i="12"/>
  <c r="E57" i="12"/>
  <c r="G57" i="12" s="1"/>
  <c r="H43" i="1"/>
  <c r="F141" i="11"/>
  <c r="I140" i="11"/>
  <c r="J140" i="11" s="1"/>
  <c r="J141" i="11" s="1"/>
  <c r="A294" i="1"/>
  <c r="F294" i="1"/>
  <c r="D50" i="11"/>
  <c r="N46" i="11"/>
  <c r="N93" i="11" l="1"/>
  <c r="R91" i="11"/>
  <c r="AE70" i="12"/>
  <c r="AC71" i="12"/>
  <c r="AE71" i="12" s="1"/>
  <c r="AC72" i="12" s="1"/>
  <c r="O70" i="12"/>
  <c r="M71" i="12"/>
  <c r="O71" i="12" s="1"/>
  <c r="M72" i="12" s="1"/>
  <c r="AA70" i="12"/>
  <c r="Y71" i="12"/>
  <c r="AA71" i="12" s="1"/>
  <c r="Y72" i="12" s="1"/>
  <c r="U71" i="12"/>
  <c r="W71" i="12" s="1"/>
  <c r="U72" i="12" s="1"/>
  <c r="W70" i="12"/>
  <c r="S70" i="12"/>
  <c r="Q71" i="12"/>
  <c r="S71" i="12" s="1"/>
  <c r="Q72" i="12" s="1"/>
  <c r="E58" i="12"/>
  <c r="H53" i="1"/>
  <c r="F144" i="11"/>
  <c r="H144" i="11"/>
  <c r="N48" i="11"/>
  <c r="R46" i="11"/>
  <c r="U73" i="12" l="1"/>
  <c r="W73" i="12" s="1"/>
  <c r="U74" i="12" s="1"/>
  <c r="W72" i="12"/>
  <c r="S72" i="12"/>
  <c r="Q73" i="12"/>
  <c r="S73" i="12" s="1"/>
  <c r="Q74" i="12" s="1"/>
  <c r="AE72" i="12"/>
  <c r="AC73" i="12"/>
  <c r="AE73" i="12" s="1"/>
  <c r="AC74" i="12" s="1"/>
  <c r="O72" i="12"/>
  <c r="M73" i="12"/>
  <c r="O73" i="12" s="1"/>
  <c r="M74" i="12" s="1"/>
  <c r="AA72" i="12"/>
  <c r="Y73" i="12"/>
  <c r="AA73" i="12" s="1"/>
  <c r="Y74" i="12" s="1"/>
  <c r="G58" i="12"/>
  <c r="E59" i="12"/>
  <c r="G59" i="12" s="1"/>
  <c r="H69" i="1"/>
  <c r="H31" i="1"/>
  <c r="I144" i="11"/>
  <c r="F145" i="11" s="1"/>
  <c r="H145" i="11"/>
  <c r="H146" i="11" s="1"/>
  <c r="H147" i="11" s="1"/>
  <c r="H148" i="11" s="1"/>
  <c r="H149" i="11" s="1"/>
  <c r="H150" i="11" s="1"/>
  <c r="H151" i="11" s="1"/>
  <c r="H152" i="11" s="1"/>
  <c r="H153" i="11" s="1"/>
  <c r="H154" i="11" s="1"/>
  <c r="H155" i="11" s="1"/>
  <c r="O74" i="12" l="1"/>
  <c r="M75" i="12"/>
  <c r="O75" i="12" s="1"/>
  <c r="S74" i="12"/>
  <c r="Q75" i="12"/>
  <c r="S75" i="12" s="1"/>
  <c r="AA74" i="12"/>
  <c r="Y75" i="12"/>
  <c r="AA75" i="12" s="1"/>
  <c r="AE74" i="12"/>
  <c r="AC75" i="12"/>
  <c r="AE75" i="12" s="1"/>
  <c r="W74" i="12"/>
  <c r="U75" i="12"/>
  <c r="W75" i="12" s="1"/>
  <c r="E60" i="12"/>
  <c r="H241" i="1"/>
  <c r="H34" i="1"/>
  <c r="H32" i="1"/>
  <c r="C16" i="22" s="1"/>
  <c r="C17" i="22" s="1"/>
  <c r="E17" i="22" s="1"/>
  <c r="H156" i="11"/>
  <c r="I145" i="11"/>
  <c r="F146" i="11" s="1"/>
  <c r="I146" i="11" s="1"/>
  <c r="F147" i="11" s="1"/>
  <c r="I147" i="11" s="1"/>
  <c r="F148" i="11" s="1"/>
  <c r="I148" i="11" s="1"/>
  <c r="F149" i="11" s="1"/>
  <c r="I149" i="11" s="1"/>
  <c r="F150" i="11" s="1"/>
  <c r="I150" i="11" s="1"/>
  <c r="F151" i="11" s="1"/>
  <c r="I151" i="11" s="1"/>
  <c r="F152" i="11" s="1"/>
  <c r="I152" i="11" s="1"/>
  <c r="F153" i="11" s="1"/>
  <c r="I153" i="11" s="1"/>
  <c r="F154" i="11" s="1"/>
  <c r="I154" i="11" s="1"/>
  <c r="F155" i="11" s="1"/>
  <c r="I155" i="11" s="1"/>
  <c r="H158" i="11" l="1"/>
  <c r="H35" i="1"/>
  <c r="H74" i="1"/>
  <c r="G60" i="12"/>
  <c r="E61" i="12"/>
  <c r="G61" i="12" s="1"/>
  <c r="H116" i="6"/>
  <c r="I116" i="6" s="1"/>
  <c r="I118" i="6" s="1"/>
  <c r="H84" i="1" s="1"/>
  <c r="F20" i="3"/>
  <c r="F39" i="3" s="1"/>
  <c r="G39" i="3" s="1"/>
  <c r="D252" i="6" l="1"/>
  <c r="D232" i="6"/>
  <c r="D242" i="6" s="1"/>
  <c r="H76" i="1"/>
  <c r="I69" i="5"/>
  <c r="I70" i="5" s="1"/>
  <c r="H229" i="1"/>
  <c r="H230" i="1" s="1"/>
  <c r="H143" i="1"/>
  <c r="E62" i="12"/>
  <c r="G20" i="3"/>
  <c r="G41" i="3" s="1"/>
  <c r="H172" i="1" s="1"/>
  <c r="D257" i="6" l="1"/>
  <c r="D260" i="6" s="1"/>
  <c r="D244" i="6"/>
  <c r="D250" i="6" s="1"/>
  <c r="D253" i="6" s="1"/>
  <c r="H159" i="11" s="1"/>
  <c r="H160" i="11" s="1"/>
  <c r="H144" i="1"/>
  <c r="G62" i="12"/>
  <c r="E63" i="12"/>
  <c r="G63" i="12" s="1"/>
  <c r="H174" i="1"/>
  <c r="H163" i="11" l="1"/>
  <c r="D167" i="11" s="1"/>
  <c r="D171" i="11" s="1"/>
  <c r="H284" i="1"/>
  <c r="H146" i="1"/>
  <c r="E64" i="12"/>
  <c r="H247" i="1"/>
  <c r="H245" i="1" l="1"/>
  <c r="H98" i="1"/>
  <c r="G64" i="12"/>
  <c r="E65" i="12"/>
  <c r="G65" i="12" s="1"/>
  <c r="H77" i="1"/>
  <c r="H100" i="1" l="1"/>
  <c r="H107" i="1" s="1"/>
  <c r="E66" i="12"/>
  <c r="H109" i="1" l="1"/>
  <c r="H242" i="1"/>
  <c r="G66" i="12"/>
  <c r="E67" i="12"/>
  <c r="G67" i="12" s="1"/>
  <c r="H243" i="1" l="1"/>
  <c r="H215" i="1"/>
  <c r="I16" i="5"/>
  <c r="I55" i="5" s="1"/>
  <c r="I74" i="5" s="1"/>
  <c r="I76" i="5" s="1"/>
  <c r="I9" i="5" s="1"/>
  <c r="H277" i="1" s="1"/>
  <c r="E68" i="12"/>
  <c r="H234" i="1" l="1"/>
  <c r="H248" i="1"/>
  <c r="G68" i="12"/>
  <c r="E69" i="12"/>
  <c r="G69" i="12" s="1"/>
  <c r="H236" i="1" l="1"/>
  <c r="E70" i="12"/>
  <c r="H249" i="1" l="1"/>
  <c r="G70" i="12"/>
  <c r="E71" i="12"/>
  <c r="G71" i="12" s="1"/>
  <c r="H251" i="1" l="1"/>
  <c r="E72" i="12"/>
  <c r="H258" i="1" l="1"/>
  <c r="G72" i="12"/>
  <c r="E73" i="12"/>
  <c r="G73" i="12" s="1"/>
  <c r="BC46" i="12"/>
  <c r="H259" i="1" l="1"/>
  <c r="E74" i="12"/>
  <c r="BB47" i="12"/>
  <c r="H265" i="1" l="1"/>
  <c r="G74" i="12"/>
  <c r="E75" i="12"/>
  <c r="G75" i="12" s="1"/>
  <c r="H276" i="1" l="1"/>
  <c r="H268" i="1"/>
  <c r="H283" i="1"/>
  <c r="H272" i="1" l="1"/>
  <c r="H271" i="1"/>
  <c r="H270" i="1"/>
  <c r="H278" i="1"/>
  <c r="L18" i="12" l="1"/>
  <c r="L12" i="12"/>
  <c r="Q29" i="12" s="1"/>
  <c r="H280" i="1"/>
  <c r="H281" i="1"/>
  <c r="AO29" i="12" l="1"/>
  <c r="AR58" i="12" s="1"/>
  <c r="M29" i="12"/>
  <c r="P64" i="12" s="1"/>
  <c r="T64" i="12"/>
  <c r="T74" i="12"/>
  <c r="T56" i="12"/>
  <c r="E29" i="12"/>
  <c r="H70" i="12" s="1"/>
  <c r="U29" i="12"/>
  <c r="X54" i="12" s="1"/>
  <c r="Y29" i="12"/>
  <c r="AB72" i="12" s="1"/>
  <c r="AC29" i="12"/>
  <c r="AK29" i="12"/>
  <c r="AW29" i="12"/>
  <c r="I29" i="12"/>
  <c r="L54" i="12" s="1"/>
  <c r="AS29" i="12"/>
  <c r="AV56" i="12" s="1"/>
  <c r="AG29" i="12"/>
  <c r="T58" i="12"/>
  <c r="T52" i="12"/>
  <c r="T68" i="12"/>
  <c r="T62" i="12"/>
  <c r="T70" i="12"/>
  <c r="T54" i="12"/>
  <c r="T66" i="12"/>
  <c r="T72" i="12"/>
  <c r="T60" i="12"/>
  <c r="L13" i="12"/>
  <c r="L14" i="12" s="1"/>
  <c r="AJ58" i="12" l="1"/>
  <c r="L68" i="12"/>
  <c r="AN70" i="12"/>
  <c r="P52" i="12"/>
  <c r="AJ66" i="12"/>
  <c r="AZ60" i="12"/>
  <c r="AZ54" i="12"/>
  <c r="X60" i="12"/>
  <c r="X66" i="12"/>
  <c r="AJ70" i="12"/>
  <c r="AB68" i="12"/>
  <c r="X52" i="12"/>
  <c r="AZ62" i="12"/>
  <c r="H54" i="12"/>
  <c r="L64" i="12"/>
  <c r="AN60" i="12"/>
  <c r="AZ70" i="12"/>
  <c r="AV58" i="12"/>
  <c r="P70" i="12"/>
  <c r="AR54" i="12"/>
  <c r="AR60" i="12"/>
  <c r="AF74" i="12"/>
  <c r="X68" i="12"/>
  <c r="X56" i="12"/>
  <c r="AZ52" i="12"/>
  <c r="AZ68" i="12"/>
  <c r="AB60" i="12"/>
  <c r="AB62" i="12"/>
  <c r="AR66" i="12"/>
  <c r="AR68" i="12"/>
  <c r="AR74" i="12"/>
  <c r="AR62" i="12"/>
  <c r="AR52" i="12"/>
  <c r="AB56" i="12"/>
  <c r="L72" i="12"/>
  <c r="AR70" i="12"/>
  <c r="AR64" i="12"/>
  <c r="AR72" i="12"/>
  <c r="X72" i="12"/>
  <c r="X62" i="12"/>
  <c r="X70" i="12"/>
  <c r="AZ56" i="12"/>
  <c r="AZ64" i="12"/>
  <c r="AZ72" i="12"/>
  <c r="H68" i="12"/>
  <c r="H62" i="12"/>
  <c r="L62" i="12"/>
  <c r="AR56" i="12"/>
  <c r="AB70" i="12"/>
  <c r="X58" i="12"/>
  <c r="X74" i="12"/>
  <c r="X64" i="12"/>
  <c r="AN64" i="12"/>
  <c r="AN54" i="12"/>
  <c r="U30" i="12"/>
  <c r="X53" i="12" s="1"/>
  <c r="AZ58" i="12"/>
  <c r="AZ66" i="12"/>
  <c r="AZ74" i="12"/>
  <c r="AV66" i="12"/>
  <c r="AV60" i="12"/>
  <c r="P62" i="12"/>
  <c r="P72" i="12"/>
  <c r="AB64" i="12"/>
  <c r="P68" i="12"/>
  <c r="AF62" i="12"/>
  <c r="AF66" i="12"/>
  <c r="L60" i="12"/>
  <c r="P54" i="12"/>
  <c r="AB74" i="12"/>
  <c r="AV62" i="12"/>
  <c r="AB54" i="12"/>
  <c r="P66" i="12"/>
  <c r="AO30" i="12"/>
  <c r="AF64" i="12"/>
  <c r="AB52" i="12"/>
  <c r="P56" i="12"/>
  <c r="AV72" i="12"/>
  <c r="L52" i="12"/>
  <c r="AF52" i="12"/>
  <c r="L56" i="12"/>
  <c r="P60" i="12"/>
  <c r="P74" i="12"/>
  <c r="L66" i="12"/>
  <c r="P58" i="12"/>
  <c r="H66" i="12"/>
  <c r="H58" i="12"/>
  <c r="H74" i="12"/>
  <c r="AN56" i="12"/>
  <c r="AN66" i="12"/>
  <c r="AN62" i="12"/>
  <c r="AJ52" i="12"/>
  <c r="AJ64" i="12"/>
  <c r="AJ72" i="12"/>
  <c r="H72" i="12"/>
  <c r="H56" i="12"/>
  <c r="AF70" i="12"/>
  <c r="AF58" i="12"/>
  <c r="AF72" i="12"/>
  <c r="H60" i="12"/>
  <c r="AV68" i="12"/>
  <c r="AN68" i="12"/>
  <c r="AN58" i="12"/>
  <c r="AF68" i="12"/>
  <c r="AF54" i="12"/>
  <c r="AF60" i="12"/>
  <c r="AJ56" i="12"/>
  <c r="AJ54" i="12"/>
  <c r="AJ62" i="12"/>
  <c r="AB66" i="12"/>
  <c r="AB58" i="12"/>
  <c r="H64" i="12"/>
  <c r="H52" i="12"/>
  <c r="L74" i="12"/>
  <c r="AV52" i="12"/>
  <c r="L70" i="12"/>
  <c r="AV74" i="12"/>
  <c r="L58" i="12"/>
  <c r="AF56" i="12"/>
  <c r="AV64" i="12"/>
  <c r="AV54" i="12"/>
  <c r="AV70" i="12"/>
  <c r="AN52" i="12"/>
  <c r="AN72" i="12"/>
  <c r="AN74" i="12"/>
  <c r="AJ68" i="12"/>
  <c r="AJ60" i="12"/>
  <c r="AJ74" i="12"/>
  <c r="Q30" i="12"/>
  <c r="T59" i="12" s="1"/>
  <c r="M30" i="12"/>
  <c r="P61" i="12" s="1"/>
  <c r="AW30" i="12"/>
  <c r="AK30" i="12"/>
  <c r="AN71" i="12" s="1"/>
  <c r="AC30" i="12"/>
  <c r="AF69" i="12" s="1"/>
  <c r="AG30" i="12"/>
  <c r="AJ59" i="12" s="1"/>
  <c r="AS30" i="12"/>
  <c r="AV61" i="12" s="1"/>
  <c r="E30" i="12"/>
  <c r="H55" i="12" s="1"/>
  <c r="I30" i="12"/>
  <c r="L71" i="12" s="1"/>
  <c r="Y30" i="12"/>
  <c r="AB57" i="12" s="1"/>
  <c r="X55" i="12" l="1"/>
  <c r="X65" i="12"/>
  <c r="X75" i="12"/>
  <c r="AR55" i="12"/>
  <c r="AR61" i="12"/>
  <c r="AR53" i="12"/>
  <c r="AJ61" i="12"/>
  <c r="T73" i="12"/>
  <c r="X59" i="12"/>
  <c r="X73" i="12"/>
  <c r="L57" i="12"/>
  <c r="T53" i="12"/>
  <c r="X63" i="12"/>
  <c r="X71" i="12"/>
  <c r="AF67" i="12"/>
  <c r="AR59" i="12"/>
  <c r="P65" i="12"/>
  <c r="X69" i="12"/>
  <c r="X67" i="12"/>
  <c r="AR63" i="12"/>
  <c r="BA56" i="12"/>
  <c r="BC56" i="12" s="1"/>
  <c r="BA68" i="12"/>
  <c r="BC68" i="12" s="1"/>
  <c r="AV53" i="12"/>
  <c r="BA52" i="12"/>
  <c r="BC52" i="12" s="1"/>
  <c r="BA62" i="12"/>
  <c r="BC62" i="12" s="1"/>
  <c r="BA72" i="12"/>
  <c r="BC72" i="12" s="1"/>
  <c r="BA66" i="12"/>
  <c r="BC66" i="12" s="1"/>
  <c r="AF61" i="12"/>
  <c r="P73" i="12"/>
  <c r="X57" i="12"/>
  <c r="AV73" i="12"/>
  <c r="X61" i="12"/>
  <c r="BA70" i="12"/>
  <c r="BC70" i="12" s="1"/>
  <c r="BA64" i="12"/>
  <c r="BC64" i="12" s="1"/>
  <c r="BA58" i="12"/>
  <c r="BC58" i="12" s="1"/>
  <c r="T67" i="12"/>
  <c r="L73" i="12"/>
  <c r="L63" i="12"/>
  <c r="AR71" i="12"/>
  <c r="L65" i="12"/>
  <c r="L61" i="12"/>
  <c r="AR65" i="12"/>
  <c r="AR73" i="12"/>
  <c r="BA60" i="12"/>
  <c r="BC60" i="12" s="1"/>
  <c r="BA54" i="12"/>
  <c r="BC54" i="12" s="1"/>
  <c r="AF75" i="12"/>
  <c r="L75" i="12"/>
  <c r="BA74" i="12"/>
  <c r="BC74" i="12" s="1"/>
  <c r="AF57" i="12"/>
  <c r="AF53" i="12"/>
  <c r="AF63" i="12"/>
  <c r="AR69" i="12"/>
  <c r="AR67" i="12"/>
  <c r="AR57" i="12"/>
  <c r="AR75" i="12"/>
  <c r="H63" i="12"/>
  <c r="T63" i="12"/>
  <c r="T57" i="12"/>
  <c r="T65" i="12"/>
  <c r="T71" i="12"/>
  <c r="T69" i="12"/>
  <c r="T61" i="12"/>
  <c r="AJ67" i="12"/>
  <c r="T75" i="12"/>
  <c r="T55" i="12"/>
  <c r="AJ73" i="12"/>
  <c r="AB59" i="12"/>
  <c r="AB61" i="12"/>
  <c r="AV63" i="12"/>
  <c r="H69" i="12"/>
  <c r="AV65" i="12"/>
  <c r="AN67" i="12"/>
  <c r="AV75" i="12"/>
  <c r="H57" i="12"/>
  <c r="AV57" i="12"/>
  <c r="AV67" i="12"/>
  <c r="AJ71" i="12"/>
  <c r="AJ57" i="12"/>
  <c r="AJ53" i="12"/>
  <c r="AB55" i="12"/>
  <c r="AF71" i="12"/>
  <c r="AJ55" i="12"/>
  <c r="AB69" i="12"/>
  <c r="AB67" i="12"/>
  <c r="L59" i="12"/>
  <c r="L55" i="12"/>
  <c r="P75" i="12"/>
  <c r="L53" i="12"/>
  <c r="AB63" i="12"/>
  <c r="P59" i="12"/>
  <c r="P63" i="12"/>
  <c r="AJ65" i="12"/>
  <c r="AB53" i="12"/>
  <c r="AB71" i="12"/>
  <c r="P67" i="12"/>
  <c r="AF55" i="12"/>
  <c r="AF73" i="12"/>
  <c r="AJ75" i="12"/>
  <c r="AF59" i="12"/>
  <c r="AF65" i="12"/>
  <c r="AJ69" i="12"/>
  <c r="AJ63" i="12"/>
  <c r="L69" i="12"/>
  <c r="AB73" i="12"/>
  <c r="AB65" i="12"/>
  <c r="L67" i="12"/>
  <c r="P71" i="12"/>
  <c r="P53" i="12"/>
  <c r="P69" i="12"/>
  <c r="P55" i="12"/>
  <c r="P57" i="12"/>
  <c r="AZ75" i="12"/>
  <c r="AZ73" i="12"/>
  <c r="AZ71" i="12"/>
  <c r="AZ69" i="12"/>
  <c r="AZ67" i="12"/>
  <c r="AZ65" i="12"/>
  <c r="AZ63" i="12"/>
  <c r="AZ61" i="12"/>
  <c r="AZ59" i="12"/>
  <c r="AZ57" i="12"/>
  <c r="AZ55" i="12"/>
  <c r="AZ53" i="12"/>
  <c r="H71" i="12"/>
  <c r="AN73" i="12"/>
  <c r="AN63" i="12"/>
  <c r="AN61" i="12"/>
  <c r="H65" i="12"/>
  <c r="AN59" i="12"/>
  <c r="AN75" i="12"/>
  <c r="AN55" i="12"/>
  <c r="AN53" i="12"/>
  <c r="H73" i="12"/>
  <c r="AN65" i="12"/>
  <c r="H59" i="12"/>
  <c r="H67" i="12"/>
  <c r="H75" i="12"/>
  <c r="H61" i="12"/>
  <c r="H53" i="12"/>
  <c r="AV69" i="12"/>
  <c r="AV71" i="12"/>
  <c r="AN57" i="12"/>
  <c r="AV55" i="12"/>
  <c r="AN69" i="12"/>
  <c r="AB75" i="12"/>
  <c r="AV59" i="12"/>
  <c r="BC78" i="12" l="1"/>
  <c r="BA53" i="12"/>
  <c r="BB53" i="12" s="1"/>
  <c r="H285" i="1" s="1"/>
  <c r="BA65" i="12"/>
  <c r="BB65" i="12" s="1"/>
  <c r="BA63" i="12"/>
  <c r="BB63" i="12" s="1"/>
  <c r="BA55" i="12"/>
  <c r="BB55" i="12" s="1"/>
  <c r="BA57" i="12"/>
  <c r="BB57" i="12" s="1"/>
  <c r="BA73" i="12"/>
  <c r="BB73" i="12" s="1"/>
  <c r="BA61" i="12"/>
  <c r="BB61" i="12" s="1"/>
  <c r="BA69" i="12"/>
  <c r="BB69" i="12" s="1"/>
  <c r="BA67" i="12"/>
  <c r="BB67" i="12" s="1"/>
  <c r="BA75" i="12"/>
  <c r="BB75" i="12" s="1"/>
  <c r="BA59" i="12"/>
  <c r="BB59" i="12" s="1"/>
  <c r="BA71" i="12"/>
  <c r="BB71" i="12" s="1"/>
  <c r="H288" i="1" l="1"/>
  <c r="BB78" i="12"/>
  <c r="H292" i="1" l="1"/>
  <c r="H294" i="1" l="1"/>
</calcChain>
</file>

<file path=xl/sharedStrings.xml><?xml version="1.0" encoding="utf-8"?>
<sst xmlns="http://schemas.openxmlformats.org/spreadsheetml/2006/main" count="1456" uniqueCount="858">
  <si>
    <t>From line 4 above if "No" on line 14 and From line 8 above if "Yes" on line 14</t>
  </si>
  <si>
    <t>Base FCR</t>
  </si>
  <si>
    <t>Line 6 times line 15 divided by 100 basis points</t>
  </si>
  <si>
    <t>Columns A, B or C from Attachment 6</t>
  </si>
  <si>
    <t>Line 18 divided by line 13</t>
  </si>
  <si>
    <t xml:space="preserve">From Columns H, I or J from Attachment 6 </t>
  </si>
  <si>
    <t>-</t>
  </si>
  <si>
    <t>p207.104g</t>
  </si>
  <si>
    <t>p219.29c</t>
  </si>
  <si>
    <t>p205.5.g &amp; p207.99.g</t>
  </si>
  <si>
    <t xml:space="preserve">p219.28.c </t>
  </si>
  <si>
    <t>p321.112.b</t>
  </si>
  <si>
    <t>p321.96.b</t>
  </si>
  <si>
    <t>p323.197.b</t>
  </si>
  <si>
    <t>p323.185b</t>
  </si>
  <si>
    <t>p323.189b</t>
  </si>
  <si>
    <t>p323.191b</t>
  </si>
  <si>
    <t>p336.10b&amp;c</t>
  </si>
  <si>
    <t>p336.11.b</t>
  </si>
  <si>
    <t>p356 or p336.11d</t>
  </si>
  <si>
    <t>p227.6c &amp; 16.c</t>
  </si>
  <si>
    <t>p112.16c</t>
  </si>
  <si>
    <t>p112.12c</t>
  </si>
  <si>
    <t>BO568 3rd Indian River</t>
  </si>
  <si>
    <t>Costs associated with revenues in line 17a that are included in FERC accounts recovered through the formula times the allocator used to functionalize the amounts in the FERC account to the transmission service at issue.</t>
  </si>
  <si>
    <t>Based on Modified Wisconsin Method</t>
  </si>
  <si>
    <t>(Yes or No)</t>
  </si>
  <si>
    <t xml:space="preserve">For Reconciliation only - remove actual New Transmission Plant Additions for Year 2  </t>
  </si>
  <si>
    <t>Add weighted Cap Adds actually placed in service in Year 2</t>
  </si>
  <si>
    <t>Surcharge (Refund) Owed</t>
  </si>
  <si>
    <t>Allocator.  If the taxes are 100% recovered at retail they will not be included</t>
  </si>
  <si>
    <t>Reg Asset- COPCO Acquisition Adjustment</t>
  </si>
  <si>
    <t>Reg Asset- Other Reg Assets</t>
  </si>
  <si>
    <t>Represents various costs which we are, or will be through a future rate case, getting recovery through rate base.</t>
  </si>
  <si>
    <t>Electric vs Gas</t>
  </si>
  <si>
    <t xml:space="preserve">City License  </t>
  </si>
  <si>
    <t>Total "Other" Taxes (included on p. 263)</t>
  </si>
  <si>
    <t>Total "Taxes Other Than Income Taxes" - acct 408.10 (p. 114.14)</t>
  </si>
  <si>
    <t>Amount offset in line 4 above</t>
  </si>
  <si>
    <t>Total Income Taxes</t>
  </si>
  <si>
    <t>Summary</t>
  </si>
  <si>
    <t>Net Property, Plant &amp; Equipment</t>
  </si>
  <si>
    <t>Taxes Other than Income</t>
  </si>
  <si>
    <t>Common Stock</t>
  </si>
  <si>
    <t>END</t>
  </si>
  <si>
    <t>Revenue Credits</t>
  </si>
  <si>
    <t>C</t>
  </si>
  <si>
    <t>Common Depreciation - Electric Only</t>
  </si>
  <si>
    <t>Gross Plant Allocator</t>
  </si>
  <si>
    <t>Total  Capitalization</t>
  </si>
  <si>
    <t>Total Long Term Debt</t>
  </si>
  <si>
    <t>Total Return ( R )</t>
  </si>
  <si>
    <t>Total Long Term Debt (WCLTD)</t>
  </si>
  <si>
    <t>REVENUE REQUIREMENT</t>
  </si>
  <si>
    <t>I</t>
  </si>
  <si>
    <t>Total Taxes Other than Income</t>
  </si>
  <si>
    <t>J</t>
  </si>
  <si>
    <t>Long Term Interest</t>
  </si>
  <si>
    <t>Long Term Debt</t>
  </si>
  <si>
    <t>p323.160b</t>
  </si>
  <si>
    <t>Depreciation Expense</t>
  </si>
  <si>
    <t>Accumulated Depreciation (Total Electric Plant)</t>
  </si>
  <si>
    <t>Transmission Depreciation Expense</t>
  </si>
  <si>
    <t>Transmission Wages Expense</t>
  </si>
  <si>
    <t>Total Wages Expense</t>
  </si>
  <si>
    <t>p356</t>
  </si>
  <si>
    <t xml:space="preserve"> </t>
  </si>
  <si>
    <t>E</t>
  </si>
  <si>
    <t>A</t>
  </si>
  <si>
    <t>D</t>
  </si>
  <si>
    <t>G</t>
  </si>
  <si>
    <t>Preferred Stock</t>
  </si>
  <si>
    <t>K</t>
  </si>
  <si>
    <t>The currently effective income tax rate,  where FIT is the Federal income tax rate; SIT is the State income tax rate, and p =</t>
  </si>
  <si>
    <t xml:space="preserve">    Less DE Enviro &amp; Low Income and MD Universal Funds</t>
  </si>
  <si>
    <t>Transmission Related Account 242 Reserves (exclude current year environmental site related reserves)</t>
  </si>
  <si>
    <t xml:space="preserve">  rate base, must reduce its income tax expense by the amount of the Amortized Investment Tax Credit (Form 1, 266.8.f)</t>
  </si>
  <si>
    <t>Schedule 1A</t>
  </si>
  <si>
    <t>Other Taxes</t>
  </si>
  <si>
    <t>p207.58.g</t>
  </si>
  <si>
    <t>p219.25.c</t>
  </si>
  <si>
    <t>p266.h</t>
  </si>
  <si>
    <t>Total Prepayments Allocated to Transmission</t>
  </si>
  <si>
    <t>Total Cash Working Capital Allocated to Transmission</t>
  </si>
  <si>
    <t>Transmission Materials &amp; Supplies</t>
  </si>
  <si>
    <t>General &amp; Common Expenses</t>
  </si>
  <si>
    <t>Directly Assigned A&amp;G</t>
  </si>
  <si>
    <t xml:space="preserve">  "the percentage of federal income tax deductible for state income taxes".  If the utility includes taxes in more than one state, it must explain in </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</si>
  <si>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</si>
  <si>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</si>
  <si>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</si>
  <si>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</si>
  <si>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</si>
  <si>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</si>
  <si>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</si>
  <si>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 xml:space="preserve">All Regulatory Commission Expenses </t>
  </si>
  <si>
    <t>General &amp; Common Expenses Allocated to Transmission</t>
  </si>
  <si>
    <t>Total Materials &amp; Supplies Allocated to Transmission</t>
  </si>
  <si>
    <t>Materials and Supplies</t>
  </si>
  <si>
    <t>P</t>
  </si>
  <si>
    <t>Accumulated Depreciation</t>
  </si>
  <si>
    <t>Prepayments</t>
  </si>
  <si>
    <t>Cash Working Capital</t>
  </si>
  <si>
    <t>Allocators</t>
  </si>
  <si>
    <t>Less A&amp;G Wages Expense</t>
  </si>
  <si>
    <t>Common Plant In Service - Electric</t>
  </si>
  <si>
    <t>Transmission Gross Plant</t>
  </si>
  <si>
    <t>Transmission Net Plant</t>
  </si>
  <si>
    <t>Total Accumulated Depreciation</t>
  </si>
  <si>
    <t>Total Plant In Service</t>
  </si>
  <si>
    <t>Wages &amp; Salary Allocation Factor</t>
  </si>
  <si>
    <t>TOTAL Plant In Service</t>
  </si>
  <si>
    <t>Common Plant (Electric Only)</t>
  </si>
  <si>
    <t>Common Plant Accumulated Depreciation (Electric Only)</t>
  </si>
  <si>
    <t>General &amp; Common Plant Allocated to Transmission</t>
  </si>
  <si>
    <t>Adjustment To Rate Base</t>
  </si>
  <si>
    <t>Plant In Service</t>
  </si>
  <si>
    <t>Net Plant Allocation Factor</t>
  </si>
  <si>
    <t>Intangible Amortization</t>
  </si>
  <si>
    <t>Undistributed Stores Exp</t>
  </si>
  <si>
    <t>Common Amortization - Electric Only</t>
  </si>
  <si>
    <t>General Depreciation Allocated to Transmission</t>
  </si>
  <si>
    <t>Common Depreciation - Electric Only Allocated to Transmission</t>
  </si>
  <si>
    <t>Return / Capitalization Calculations</t>
  </si>
  <si>
    <t xml:space="preserve">    Less Account 216.1</t>
  </si>
  <si>
    <t xml:space="preserve">    Less Preferred Stock</t>
  </si>
  <si>
    <t>Capitalization</t>
  </si>
  <si>
    <t>ITC Adjustment</t>
  </si>
  <si>
    <t>ITC Adjustment Allocated to Transmission</t>
  </si>
  <si>
    <t>SIT=State Income Tax Rate or Composite</t>
  </si>
  <si>
    <t>FIT=Federal Income Tax Rate</t>
  </si>
  <si>
    <t>Investment Return = Rate Base * Rate of Return</t>
  </si>
  <si>
    <t>Income Tax Rates</t>
  </si>
  <si>
    <t>Preferred Dividends</t>
  </si>
  <si>
    <t>p118.29c</t>
  </si>
  <si>
    <t>Depreciation &amp; Amortization</t>
  </si>
  <si>
    <t>Rate ($/MW-Year)</t>
  </si>
  <si>
    <t>1 CP Peak</t>
  </si>
  <si>
    <t>General &amp; Common Allocated to Transmission</t>
  </si>
  <si>
    <t>Accumulated Deferred Income Taxes Allocated To Transmission</t>
  </si>
  <si>
    <t>Depreciation &amp; Amortization Expense</t>
  </si>
  <si>
    <t>Total Transmission Depreciation &amp; Amortization</t>
  </si>
  <si>
    <t>L</t>
  </si>
  <si>
    <t>M</t>
  </si>
  <si>
    <t>Transmission O&amp;M</t>
  </si>
  <si>
    <t xml:space="preserve">     Plus Transmission Lease Payments</t>
  </si>
  <si>
    <t>Wages &amp; Salary Allocator</t>
  </si>
  <si>
    <t>Common Plant O&amp;M</t>
  </si>
  <si>
    <t>Total Transmission O&amp;M</t>
  </si>
  <si>
    <t>B0241.3 Red Lion sub reconfiguration</t>
  </si>
  <si>
    <t>Total A&amp;G</t>
  </si>
  <si>
    <t>General &amp; Intangible</t>
  </si>
  <si>
    <t>Transmission Plant In Service</t>
  </si>
  <si>
    <t>Total General &amp; Common</t>
  </si>
  <si>
    <t>TOTAL Accumulated Depreciation</t>
  </si>
  <si>
    <t>TOTAL Net Property, Plant &amp; Equipment</t>
  </si>
  <si>
    <t>Adjustment to Rate Base</t>
  </si>
  <si>
    <t>Plant Calculations</t>
  </si>
  <si>
    <t>Net Plant</t>
  </si>
  <si>
    <t>Net Plant Allocator</t>
  </si>
  <si>
    <t>Rate Base</t>
  </si>
  <si>
    <t xml:space="preserve">Income Tax Component = </t>
  </si>
  <si>
    <t>Accumulated Common Amortization - Electric</t>
  </si>
  <si>
    <t>p352-353</t>
  </si>
  <si>
    <t>p336.7b&amp;c</t>
  </si>
  <si>
    <t xml:space="preserve"> enter positive</t>
  </si>
  <si>
    <t xml:space="preserve">     CIT=(T/1-T) * Investment Return * (1-(WCLTD/R)) =</t>
  </si>
  <si>
    <t>Plant Allocation Factors</t>
  </si>
  <si>
    <t>Wage &amp; Salary Allocation Factor</t>
  </si>
  <si>
    <t>p227.8c</t>
  </si>
  <si>
    <t>1/8th Rule</t>
  </si>
  <si>
    <t>Net Plant Carrying Charge</t>
  </si>
  <si>
    <t>Net Plant Carrying Charge Calculation per 100 Basis Point increase in ROE</t>
  </si>
  <si>
    <t xml:space="preserve">Net Plant Carrying Charge  </t>
  </si>
  <si>
    <t>Net Plant Carrying Charge without Depreciation</t>
  </si>
  <si>
    <t>Net Plant Carrying Charge without Depreciation, Return, nor Income Taxes</t>
  </si>
  <si>
    <t>Net Revenue Requirement per 100 Basis Point increase in ROE</t>
  </si>
  <si>
    <t>Net Plant Carrying Charge per 100 Basis Point increase in ROE</t>
  </si>
  <si>
    <t>Net Plant Carrying Charge per 100 Basis Point increase in ROE without Depreciation</t>
  </si>
  <si>
    <t>TOTAL Adjustment to Rate Base</t>
  </si>
  <si>
    <t>General Depreciation</t>
  </si>
  <si>
    <t>Total</t>
  </si>
  <si>
    <t>B</t>
  </si>
  <si>
    <t>Proprietary Capital</t>
  </si>
  <si>
    <t>Operation &amp; Maintenance Expense</t>
  </si>
  <si>
    <t>(Note C)</t>
  </si>
  <si>
    <t>Amortized Investment Tax Credit</t>
  </si>
  <si>
    <t>Total Transmission Allocated</t>
  </si>
  <si>
    <t>Transmission Accumulated Depreciation</t>
  </si>
  <si>
    <t>Electric Plant in Service</t>
  </si>
  <si>
    <t>Investment Return</t>
  </si>
  <si>
    <t>Income Taxes</t>
  </si>
  <si>
    <t xml:space="preserve">  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t>
  </si>
  <si>
    <t>Gross Revenue Requirement</t>
  </si>
  <si>
    <t xml:space="preserve">    Less EPRI Dues</t>
  </si>
  <si>
    <t>Subtotal - Transmission Related</t>
  </si>
  <si>
    <t>T/(1-T)</t>
  </si>
  <si>
    <t>T/ (1-T)</t>
  </si>
  <si>
    <t>p</t>
  </si>
  <si>
    <t>(percent of federal income tax deductible for state purposes)</t>
  </si>
  <si>
    <t>Notes</t>
  </si>
  <si>
    <t>Accumulated Intangible Amortization</t>
  </si>
  <si>
    <t>Accumulated Common Plant Depreciation - Electric</t>
  </si>
  <si>
    <t>Allocator</t>
  </si>
  <si>
    <t>p214</t>
  </si>
  <si>
    <t>x 1/8</t>
  </si>
  <si>
    <t>enter negative</t>
  </si>
  <si>
    <t>Fixed</t>
  </si>
  <si>
    <t>T</t>
  </si>
  <si>
    <t>Net Revenue Requirement</t>
  </si>
  <si>
    <t>O&amp;M</t>
  </si>
  <si>
    <t xml:space="preserve">     Less Account 565</t>
  </si>
  <si>
    <t>p200.21c</t>
  </si>
  <si>
    <t>Electric portion only</t>
  </si>
  <si>
    <t>Transmission Portion Only</t>
  </si>
  <si>
    <t>Accumulated Investment Tax Credit Account No. 255</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</si>
  <si>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</si>
  <si>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</si>
  <si>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</si>
  <si>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</si>
  <si>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</si>
  <si>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</si>
  <si>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</si>
  <si>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</si>
  <si>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</si>
  <si>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</si>
  <si>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</si>
  <si>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</si>
  <si>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</si>
  <si>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</si>
  <si>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</si>
  <si>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</si>
  <si>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</si>
  <si>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Weighted Cost of Preferred</t>
  </si>
  <si>
    <t>Transmission</t>
  </si>
  <si>
    <t>ADIT-190</t>
  </si>
  <si>
    <t>ADIT- 282</t>
  </si>
  <si>
    <t>ADIT-283</t>
  </si>
  <si>
    <t>Personal property</t>
  </si>
  <si>
    <t>Miscellaneous</t>
  </si>
  <si>
    <t>Federal FICA &amp; Unemployment</t>
  </si>
  <si>
    <t>Unemployment</t>
  </si>
  <si>
    <t>Accumulated Deferred Income Taxes</t>
  </si>
  <si>
    <t xml:space="preserve">Safety related advertising included in Account 930.1  </t>
  </si>
  <si>
    <t xml:space="preserve">Education and outreach expenses relating to transmission, for example siting or billing </t>
  </si>
  <si>
    <t xml:space="preserve">Plant </t>
  </si>
  <si>
    <t>Related</t>
  </si>
  <si>
    <t>Labor</t>
  </si>
  <si>
    <t>Gas, Prod</t>
  </si>
  <si>
    <t>Only</t>
  </si>
  <si>
    <t>Instructions for Account 190:</t>
  </si>
  <si>
    <t>Instructions for Account 283:</t>
  </si>
  <si>
    <t>Instructions for Account 282:</t>
  </si>
  <si>
    <t>2.  ADIT items related only to Transmission are directly assigned to Column B</t>
  </si>
  <si>
    <t>Subtotal - p234</t>
  </si>
  <si>
    <t>ADIT</t>
  </si>
  <si>
    <t>1.  ADIT items related only to Non-Electric Operations (e.g., Gas, Water, Sewer) or Production are directly assigned to Column A</t>
  </si>
  <si>
    <t>Plant Related</t>
  </si>
  <si>
    <t>Page 263</t>
  </si>
  <si>
    <t>Col (i)</t>
  </si>
  <si>
    <t>Labor Related</t>
  </si>
  <si>
    <t>Other Included</t>
  </si>
  <si>
    <t>Total Plant Related</t>
  </si>
  <si>
    <t>Total Labor Related</t>
  </si>
  <si>
    <t>Total Other Included</t>
  </si>
  <si>
    <t>Allocated</t>
  </si>
  <si>
    <t>Amount</t>
  </si>
  <si>
    <t>p336.1d&amp;e</t>
  </si>
  <si>
    <t>ADIT net of FASB 106 and 109</t>
  </si>
  <si>
    <t>Total Included</t>
  </si>
  <si>
    <t xml:space="preserve">      Less Loss on Reacquired Debt </t>
  </si>
  <si>
    <t xml:space="preserve">      Plus Gain on Reacquired Debt</t>
  </si>
  <si>
    <t>enter positive</t>
  </si>
  <si>
    <t>Plant Held for Future Use (Including Land)</t>
  </si>
  <si>
    <t xml:space="preserve">  multiplied by (1/1-T).  A utility must not include tax credits as a reduction to rate base and as an amortization against taxable income.</t>
  </si>
  <si>
    <t>Net Transmission Plant</t>
  </si>
  <si>
    <t>Line #</t>
  </si>
  <si>
    <t>Life</t>
  </si>
  <si>
    <t>CIAC</t>
  </si>
  <si>
    <t>Details</t>
  </si>
  <si>
    <t>Invest Yr</t>
  </si>
  <si>
    <t>No</t>
  </si>
  <si>
    <t>Yes</t>
  </si>
  <si>
    <t>FCR if a CIAC</t>
  </si>
  <si>
    <t>FCR for This Project</t>
  </si>
  <si>
    <t xml:space="preserve">Line B less Line A </t>
  </si>
  <si>
    <t>To Line 45</t>
  </si>
  <si>
    <t>Amount of transmission plant excluded from rates per Attachment 5.</t>
  </si>
  <si>
    <t>Subtotal - p275</t>
  </si>
  <si>
    <t>Total Form No. 1 (p 266 &amp; 267)</t>
  </si>
  <si>
    <t>Investment</t>
  </si>
  <si>
    <t>Annual Depreciation Exp</t>
  </si>
  <si>
    <t>Revenue</t>
  </si>
  <si>
    <t>Beginning</t>
  </si>
  <si>
    <t>Depreciation</t>
  </si>
  <si>
    <t>Ending</t>
  </si>
  <si>
    <t>….</t>
  </si>
  <si>
    <t>…..</t>
  </si>
  <si>
    <t>Incentive Charged</t>
  </si>
  <si>
    <t>Revenue Credit</t>
  </si>
  <si>
    <t>Formula Line</t>
  </si>
  <si>
    <t>New Plant Carrying Charge</t>
  </si>
  <si>
    <t xml:space="preserve">      Less LTD on Securitization Bonds</t>
  </si>
  <si>
    <t>Per State Tax Code</t>
  </si>
  <si>
    <t>Network Credits</t>
  </si>
  <si>
    <t>Outstanding Network Credits</t>
  </si>
  <si>
    <t>Net Outstanding Credits</t>
  </si>
  <si>
    <t>From PJM</t>
  </si>
  <si>
    <t>Interest on Network Credits</t>
  </si>
  <si>
    <t>PJM Data</t>
  </si>
  <si>
    <t>Revenue Credits &amp; Interest on Network Credits</t>
  </si>
  <si>
    <t xml:space="preserve">  (net of accumulated depreciation) towards the construction of Network Transmission Facilities consistent with Paragraph 657 of Order 2003-A. </t>
  </si>
  <si>
    <t xml:space="preserve">Outstanding Network Credits is the balance of Network Facilities Upgrades Credits due Transmission Customers who have made lump-sum payments </t>
  </si>
  <si>
    <t>Network Zonal Service Rate</t>
  </si>
  <si>
    <t>Net Zonal Revenue Requirement</t>
  </si>
  <si>
    <t>FERC Form 1  Page # or Instruction</t>
  </si>
  <si>
    <t>Electric Portion</t>
  </si>
  <si>
    <t>EPRI Dues</t>
  </si>
  <si>
    <t>MultiState Workpaper</t>
  </si>
  <si>
    <t>Form 1 Amount</t>
  </si>
  <si>
    <t>Non-electric  Portion</t>
  </si>
  <si>
    <t>Transmission Related</t>
  </si>
  <si>
    <t>Expensed Lease in Form 1 Amount</t>
  </si>
  <si>
    <t>Safety Related</t>
  </si>
  <si>
    <t>Enter Calculation</t>
  </si>
  <si>
    <t>State 1</t>
  </si>
  <si>
    <t>State 2</t>
  </si>
  <si>
    <t>State 3</t>
  </si>
  <si>
    <t>State 4</t>
  </si>
  <si>
    <t>State 5</t>
  </si>
  <si>
    <t>Education &amp; Outreach</t>
  </si>
  <si>
    <t>Other</t>
  </si>
  <si>
    <t>Enter $</t>
  </si>
  <si>
    <t>Description of the Facilities</t>
  </si>
  <si>
    <t>Add more lines if necessary</t>
  </si>
  <si>
    <t>General Description of the Facilities</t>
  </si>
  <si>
    <t>General Description of the Credits</t>
  </si>
  <si>
    <t>Description of the Credits</t>
  </si>
  <si>
    <t xml:space="preserve">Description &amp; PJM Documentation </t>
  </si>
  <si>
    <t>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</si>
  <si>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</si>
  <si>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</si>
  <si>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</si>
  <si>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</si>
  <si>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</si>
  <si>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</si>
  <si>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</si>
  <si>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</si>
  <si>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</si>
  <si>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</si>
  <si>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 xml:space="preserve">Composite Income Taxes                                                                                                       </t>
  </si>
  <si>
    <t>p112.17c through 21c</t>
  </si>
  <si>
    <t>Net Revenue Requirement Less Return and Taxes</t>
  </si>
  <si>
    <t>Step</t>
  </si>
  <si>
    <t>Month</t>
  </si>
  <si>
    <t>Year</t>
  </si>
  <si>
    <t>Action</t>
  </si>
  <si>
    <t>Exec Summary</t>
  </si>
  <si>
    <t>April</t>
  </si>
  <si>
    <t>May</t>
  </si>
  <si>
    <t>June</t>
  </si>
  <si>
    <t>Weighting</t>
  </si>
  <si>
    <t>Jan</t>
  </si>
  <si>
    <t>Feb</t>
  </si>
  <si>
    <t>Mar</t>
  </si>
  <si>
    <t>Apr</t>
  </si>
  <si>
    <t>Jun</t>
  </si>
  <si>
    <t>Jul</t>
  </si>
  <si>
    <t>Aug</t>
  </si>
  <si>
    <t>Sep</t>
  </si>
  <si>
    <t>Oct</t>
  </si>
  <si>
    <t>Nov</t>
  </si>
  <si>
    <t>Dec</t>
  </si>
  <si>
    <t>Interest on Amount of Refunds or Surcharges</t>
  </si>
  <si>
    <t>Yr</t>
  </si>
  <si>
    <t>1/12 of Step 9</t>
  </si>
  <si>
    <t>Interest</t>
  </si>
  <si>
    <t>Months</t>
  </si>
  <si>
    <t>Balance</t>
  </si>
  <si>
    <t>Total Transmission Plant In Service</t>
  </si>
  <si>
    <t>New Transmission Plant Additions for Current Calendar Year  (weighted by months in service)</t>
  </si>
  <si>
    <t xml:space="preserve">    Less Accumulated Depreciation Associated with Facilities with Outstanding Network Credits</t>
  </si>
  <si>
    <t>Non-transmission Related</t>
  </si>
  <si>
    <t>CWIP In Form 1 Amount</t>
  </si>
  <si>
    <t>Non-safety Related</t>
  </si>
  <si>
    <t>Electric / Non-electric Cost Support</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</si>
  <si>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</si>
  <si>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</si>
  <si>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</si>
  <si>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</si>
  <si>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</si>
  <si>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</si>
  <si>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</si>
  <si>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</si>
  <si>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</si>
  <si>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CWIP &amp; Expensed Lease Worksheet</t>
  </si>
  <si>
    <t>Return Calculation</t>
  </si>
  <si>
    <t>O</t>
  </si>
  <si>
    <t>Therefore actual revenues collected in a year do not change based on cost data for subsequent years</t>
  </si>
  <si>
    <t xml:space="preserve">Real property (State, Municipal or Local) </t>
  </si>
  <si>
    <t>TO adds weighted Cap Adds to plant in service in Formula</t>
  </si>
  <si>
    <t>Rev Req based on Prior Year data</t>
  </si>
  <si>
    <t xml:space="preserve">     Plus Schedule 12 Charges billed to Transmission Owner and booked to Account 565</t>
  </si>
  <si>
    <t>Increased Return and Taxes</t>
  </si>
  <si>
    <t>Interest rate for</t>
  </si>
  <si>
    <t>Plus any increased ROE calculated on Attachment 7 other than PJM Sch. 12 projects</t>
  </si>
  <si>
    <t>Facility Credits under Section 30.9 of the PJM OATT and Facility Credits to Vineland per settlement in ER05-515</t>
  </si>
  <si>
    <t>ATTACHMENT H-3D</t>
  </si>
  <si>
    <t>Attachment 5a - Allocations of Costs to Affiliate</t>
  </si>
  <si>
    <t>Delmarva</t>
  </si>
  <si>
    <t>Atlantic</t>
  </si>
  <si>
    <t>Power</t>
  </si>
  <si>
    <t>City</t>
  </si>
  <si>
    <t>Pepco</t>
  </si>
  <si>
    <t>Non - Regulated</t>
  </si>
  <si>
    <t>Executive Management</t>
  </si>
  <si>
    <t>Building Services</t>
  </si>
  <si>
    <t>Cost of Benefits</t>
  </si>
  <si>
    <t>Legal Services</t>
  </si>
  <si>
    <t>Audit Services</t>
  </si>
  <si>
    <t>Information Technology</t>
  </si>
  <si>
    <t>Internal Consulting Services</t>
  </si>
  <si>
    <t>Interns</t>
  </si>
  <si>
    <t>B0494.1-4 Red Lion-Keeney</t>
  </si>
  <si>
    <t>B0241.1-.2 Red Lion-Keeney</t>
  </si>
  <si>
    <t>The Reconciliation in Step 7</t>
  </si>
  <si>
    <t>As provided for in Section 34.1 of the PJM OATT and the PJM established billing determinants will not be revised or updated in the annual rate reconciliations per settlement in ER05-515.</t>
  </si>
  <si>
    <t>Securitization bonds may be included in the capital structure per settlement in ER05-515.</t>
  </si>
  <si>
    <t>Rent from Electric Property - Transmission Related (Note 3)</t>
  </si>
  <si>
    <t>Account 456 - Other Electric Revenues (Note 1)</t>
  </si>
  <si>
    <t>Net revenues associated with Network Integration Transmission Service (NITS) for which the load is not included in the divisor (difference between NITS credits from PJM and PJM NITS charges paid by Transmission Owner) (Note 4)</t>
  </si>
  <si>
    <t>PJM Transitional Revenue Neutrality (Note 1)</t>
  </si>
  <si>
    <t>PJM Transitional Market Expansion (Note 1)</t>
  </si>
  <si>
    <t>Professional Services (Note 3)</t>
  </si>
  <si>
    <t>Revenues from Directly Assigned Transmission Facility Charges (Note 2)</t>
  </si>
  <si>
    <t>Rent or Attachment Fees associated with Transmission Facilities (Note 3)</t>
  </si>
  <si>
    <t>Plus amortized extraordinary property loss</t>
  </si>
  <si>
    <t>Attachment 2</t>
  </si>
  <si>
    <t>p117.62c through 67c</t>
  </si>
  <si>
    <t>p111.81c</t>
  </si>
  <si>
    <t>p113.61c</t>
  </si>
  <si>
    <t>p112.3c</t>
  </si>
  <si>
    <t xml:space="preserve">  elected to use amortization of tax credits against taxable income, rather than book tax credits to Account No. 255 and reduce </t>
  </si>
  <si>
    <t>Subtotal</t>
  </si>
  <si>
    <t>In filling out this attachment, a full and complete description of each item and justification for the allocation to Columns C-F and each separate ADIT item will be listed. Dissimilar items</t>
  </si>
  <si>
    <t>Note: ADIT associated with Gain or Loss on Reacquired Debt is included in Column A here and included in Cost of Debt on Appendix A, Line 111</t>
  </si>
  <si>
    <t>Point to Point Service revenues for which the load is not included in the divisor received by Transmission Owner (Note 4)</t>
  </si>
  <si>
    <t>1.  ADIT items related only to Non-Electric Operations (e.g., Gas, Water, Sewer) or Production are directly assigned to Column C</t>
  </si>
  <si>
    <t>2.  ADIT items related only to Transmission are directly assigned to Column D</t>
  </si>
  <si>
    <t>Total Account 454, 456 and 456.1</t>
  </si>
  <si>
    <t>5. Deferred income taxes arise when items are included in taxable income in different periods than they are included in rates, therefore if the item giving rise to the ADIT is not included in the formula, the associated ADIT amount shall be excluded</t>
  </si>
  <si>
    <t>Fixed Charge Rate (FCR) if not a CIAC</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</si>
  <si>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</si>
  <si>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</si>
  <si>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</si>
  <si>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 xml:space="preserve">Remove all investment below 69 kV or generator step up transformers included in transmission plant in service that </t>
  </si>
  <si>
    <t>are not a result of the RTEP Process</t>
  </si>
  <si>
    <t>TO populates the formula with Year 2 data from FERC Form 1 for Year 2 (e.g., 2005)</t>
  </si>
  <si>
    <t>Results of Step 9 go into effect for the Rate Year 2 (e.g., June 1, 2006 - May 31, 2007)</t>
  </si>
  <si>
    <t>(Year 2 data with total of Year 2 Cap Adds removed and monthly weighted average of Year 2 actual Cap Adds added in)</t>
  </si>
  <si>
    <t>Interest rate pursuant to 35.19a for March of the Current Yr</t>
  </si>
  <si>
    <t>March of the Current Yr</t>
  </si>
  <si>
    <t>Amortization over Rate Year</t>
  </si>
  <si>
    <t>Revenues included in lines 1-11 which are subject to 50/50 sharing.</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</si>
  <si>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173 of Appendix A.</t>
  </si>
  <si>
    <t>Other taxes that are assessed based on labor will be allocated based on the Wages and Salary Allocator</t>
  </si>
  <si>
    <t>Excludes prior period adjustments in the first year of the formula's operation and reconciliation for the first year</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</si>
  <si>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the revenues and costs associated with each secondary use (except for the cost of the associated income taxes).</t>
  </si>
  <si>
    <t>(Note J from Appendix A)</t>
  </si>
  <si>
    <t>(Note I from Appendix A)</t>
  </si>
  <si>
    <t xml:space="preserve"> 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</si>
  <si>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Attachment 4 - Calculation of 100 Basis Point Increase in ROE</t>
  </si>
  <si>
    <t>Return and Taxes with 100 Basis Point increase in ROE</t>
  </si>
  <si>
    <t>100 Basis Point increase in ROE and Income Taxes</t>
  </si>
  <si>
    <t>Appendix A % plus 100 Basis Pts</t>
  </si>
  <si>
    <t xml:space="preserve">Pension Liabilities, if any, in Account 242 </t>
  </si>
  <si>
    <t>(adjusted to include any Reconciliation amount from prior year)</t>
  </si>
  <si>
    <t>Increased ROE (Basis Points)</t>
  </si>
  <si>
    <t>W Increased ROE</t>
  </si>
  <si>
    <t>The forecast in Prior Year</t>
  </si>
  <si>
    <t>Total with interest</t>
  </si>
  <si>
    <t>True-up amount</t>
  </si>
  <si>
    <t>Calculation of the above Securitization Adjustments</t>
  </si>
  <si>
    <t xml:space="preserve">Taxes Other than Income                                                    </t>
  </si>
  <si>
    <t>Account 454 - Rent from Electric Property</t>
  </si>
  <si>
    <t>Total Rent Revenues</t>
  </si>
  <si>
    <t>Revenue Adjustment to determine Revenue Credit</t>
  </si>
  <si>
    <t>See Form 1</t>
  </si>
  <si>
    <t>None</t>
  </si>
  <si>
    <t>Shaded cells are input cells</t>
  </si>
  <si>
    <t>Attachment 2 - Taxes Other Than Income Worksheet</t>
  </si>
  <si>
    <t>Attachment 3 - Revenue Credit Workpaper</t>
  </si>
  <si>
    <t>Attachment 7 - Transmission Enhancement Charge Worksheet</t>
  </si>
  <si>
    <t>Attachment 8 - Company Exhibit - Securitization Workpaper</t>
  </si>
  <si>
    <t>Attachment 6</t>
  </si>
  <si>
    <t>Attachment 1</t>
  </si>
  <si>
    <t>Attachment 8</t>
  </si>
  <si>
    <t>Attachment 5</t>
  </si>
  <si>
    <t>Attachment 3</t>
  </si>
  <si>
    <t>Attachment 4</t>
  </si>
  <si>
    <t>Allowance for Doubtful Accounts</t>
  </si>
  <si>
    <t>Environmental Expense</t>
  </si>
  <si>
    <t>Merger Costs</t>
  </si>
  <si>
    <t>Deferred Fuel</t>
  </si>
  <si>
    <t>Deferred ITC</t>
  </si>
  <si>
    <t>Reacquired Debt</t>
  </si>
  <si>
    <t>Delmarva Power &amp; Light Company</t>
  </si>
  <si>
    <t>Federal/State Excise</t>
  </si>
  <si>
    <t>Gross Receipts</t>
  </si>
  <si>
    <t>Difference</t>
  </si>
  <si>
    <t>MD</t>
  </si>
  <si>
    <t>PA</t>
  </si>
  <si>
    <t>VA</t>
  </si>
  <si>
    <t>DE</t>
  </si>
  <si>
    <t>DPL zone</t>
  </si>
  <si>
    <t>Less FASB 109 Above if not separately removed</t>
  </si>
  <si>
    <t>Less FASB 106 Above if not separately removed</t>
  </si>
  <si>
    <t>(Sum Lines 2-10)</t>
  </si>
  <si>
    <t>Specific identification based on plant records:  The following plant investments are included:</t>
  </si>
  <si>
    <t>The FCR resulting from Formula in a given year is used for that year only.</t>
  </si>
  <si>
    <t>All EPRI Annual Membership Dues</t>
  </si>
  <si>
    <t xml:space="preserve">Regulatory Commission Expenses directly related to transmission service, RTO filings, or transmission siting itemized in Form 1 at 351.h. </t>
  </si>
  <si>
    <t>Total Revenue Credits</t>
  </si>
  <si>
    <t>(Sum Line 1)</t>
  </si>
  <si>
    <t>Attachment 1 - Accumulated Deferred Income Taxes (ADIT) Worksheet Tax Detail</t>
  </si>
  <si>
    <t>6.  Re:  Form 1-F filer:  Sum of subtotals for Accounts 282 and 283 should tie to Form No. 1-F, p.113.57.c</t>
  </si>
  <si>
    <t>Subtotal - p277  (Form 1-F filer:  see note 6, below)</t>
  </si>
  <si>
    <t>See Form 1, electric only.</t>
  </si>
  <si>
    <t>See FERC Form 2, Page 337, Line 1, Column h for non-electric portion.</t>
  </si>
  <si>
    <t>State Franchise Tax</t>
  </si>
  <si>
    <t>OPEB</t>
  </si>
  <si>
    <t>Instructions:</t>
  </si>
  <si>
    <t>If unable to determine the investment below 69kV in a substation with investment of 69 kV and higher as well as below 69 kV,</t>
  </si>
  <si>
    <t>the following formula will be used:</t>
  </si>
  <si>
    <t>Total investment in substation</t>
  </si>
  <si>
    <t>Amount to be excluded (A x (C / (B + C)))</t>
  </si>
  <si>
    <t>Example</t>
  </si>
  <si>
    <t>Amortization to line 133 of Appendix A</t>
  </si>
  <si>
    <t>Revenue Requirement for Year 3</t>
  </si>
  <si>
    <t>Year 3</t>
  </si>
  <si>
    <t>Remove all Cap Adds placed in service in Year 2</t>
  </si>
  <si>
    <t xml:space="preserve">For Reconciliation only - remove New Transmission Plant Additions for Current Calendar Year  </t>
  </si>
  <si>
    <t>(Line 127 + Line 138)</t>
  </si>
  <si>
    <t>Year 2</t>
  </si>
  <si>
    <t>"(Line 100 - line 101)"</t>
  </si>
  <si>
    <t>Formula Rate - Appendix A</t>
  </si>
  <si>
    <t>3.  ADIT items related to Plant and not in Columns C &amp; D are included in Column E</t>
  </si>
  <si>
    <t>4.  ADIT items related to labor and not in Columns C &amp; D are included in Column F</t>
  </si>
  <si>
    <t>Rev Req based on Year 1 data</t>
  </si>
  <si>
    <t>Year 1</t>
  </si>
  <si>
    <t xml:space="preserve">Must run Appendix A with cap adds in line 21 &amp; line 20 </t>
  </si>
  <si>
    <t>Schedule 12</t>
  </si>
  <si>
    <t>For Reconciliation Only</t>
  </si>
  <si>
    <t>Attachment 6 - Enter Negative</t>
  </si>
  <si>
    <t>Attachment 7</t>
  </si>
  <si>
    <t xml:space="preserve">Exclude Construction Work In Progress and leases that are expensed as O&amp;M (rather than amortized).  New Transmission plant </t>
  </si>
  <si>
    <t>that is expected to be placed in service in the current calendar year weighted by number of months it is expected to be in-service.  New Transmission plant expected</t>
  </si>
  <si>
    <t>to be placed in service in the current calendar year that is not included in the PJM Regional Transmission Plan (RTEP) must be separately detailed on Attachment 5.</t>
  </si>
  <si>
    <t>For the Reconciliation, new transmission plant that was actually placed in service weighted by the number of months it was actually in service</t>
  </si>
  <si>
    <t>Net Revenues  (17a - 17b)</t>
  </si>
  <si>
    <t>50% Share of Net Revenues  (17c / 2)</t>
  </si>
  <si>
    <t>Net Revenue Credit (17d + 17e)</t>
  </si>
  <si>
    <t>Prepaid Pensions if not included in Prepayments</t>
  </si>
  <si>
    <t>Modified Wages &amp; Salaries Allocator</t>
  </si>
  <si>
    <t>Post results of Step 3 on PJM web site</t>
  </si>
  <si>
    <t>Post results of Step 9 on PJM web site</t>
  </si>
  <si>
    <t>Gross Revenue Credits</t>
  </si>
  <si>
    <t>Other taxes that are incurred through ownership of only general or intangible plant will be allocated based on the Wages and Salary</t>
  </si>
  <si>
    <t xml:space="preserve">Other taxes that are incurred through ownership of plant including transmission plant will be allocated based on the Gross Plant </t>
  </si>
  <si>
    <t>Description of the Prepayments</t>
  </si>
  <si>
    <t xml:space="preserve">Sales and Use </t>
  </si>
  <si>
    <t xml:space="preserve">      Less ADIT associated with Gain or Loss</t>
  </si>
  <si>
    <t>Transmission O&amp;M Reserves</t>
  </si>
  <si>
    <t>Enter Negative</t>
  </si>
  <si>
    <t>Total Balance Transmission Related Account 242 Reserves</t>
  </si>
  <si>
    <t>with amounts exceeding $100,000 will be listed separately.</t>
  </si>
  <si>
    <t>Attachment 1- Accumulated Deferred Income Taxes (ADIT) Worksheet</t>
  </si>
  <si>
    <t>ADITC-255</t>
  </si>
  <si>
    <t>Item</t>
  </si>
  <si>
    <t>Amortization</t>
  </si>
  <si>
    <t>Rate Base Treatment</t>
  </si>
  <si>
    <t>Balance to line 41 of Appendix A</t>
  </si>
  <si>
    <t>Difference  /1</t>
  </si>
  <si>
    <t>/1 Difference must be zero</t>
  </si>
  <si>
    <t>Criteria for Allocation:</t>
  </si>
  <si>
    <t xml:space="preserve">Wages &amp; Salary Allocator </t>
  </si>
  <si>
    <t>Attachment 5 - Cost Support</t>
  </si>
  <si>
    <t>Transmission Related Account 242 Reserves</t>
  </si>
  <si>
    <t>Allocation</t>
  </si>
  <si>
    <t>Directly Assignable to Transmission</t>
  </si>
  <si>
    <t>Labor Related, General plant related or Common Plant related</t>
  </si>
  <si>
    <t>Identifiable investment in Transmission (provide workpapers)</t>
  </si>
  <si>
    <t>Identifiable investment in Distribution (provide workpapers)</t>
  </si>
  <si>
    <t>Or</t>
  </si>
  <si>
    <t>17a</t>
  </si>
  <si>
    <t>17b</t>
  </si>
  <si>
    <t>17c</t>
  </si>
  <si>
    <t>17d</t>
  </si>
  <si>
    <t>17e</t>
  </si>
  <si>
    <t>17f</t>
  </si>
  <si>
    <t>Utility Tax for Delmarva</t>
  </si>
  <si>
    <t>Excluded</t>
  </si>
  <si>
    <t xml:space="preserve">Prepayments </t>
  </si>
  <si>
    <t xml:space="preserve">Attachment 5 </t>
  </si>
  <si>
    <t>Total Transmission Related Reserves</t>
  </si>
  <si>
    <t xml:space="preserve">    Less LTD Interest on Securitization Bonds</t>
  </si>
  <si>
    <t>Line 17f less line 17a</t>
  </si>
  <si>
    <t>Costs associated with revenues in line 17a</t>
  </si>
  <si>
    <t xml:space="preserve">Amount </t>
  </si>
  <si>
    <t>17g</t>
  </si>
  <si>
    <t>Less line 17g</t>
  </si>
  <si>
    <t>Attachment A Line #s, Descriptions, Notes, Form 1 Page #s and Instructions</t>
  </si>
  <si>
    <t>Or Other</t>
  </si>
  <si>
    <t>Claims Reserve</t>
  </si>
  <si>
    <t>p335.b</t>
  </si>
  <si>
    <t>Less extraordinary property loss</t>
  </si>
  <si>
    <t>Extraordinary Property Loss</t>
  </si>
  <si>
    <t>Justification</t>
  </si>
  <si>
    <t>Number of years</t>
  </si>
  <si>
    <t>Input to Formula Line 21</t>
  </si>
  <si>
    <t>Input to Formula Line 20</t>
  </si>
  <si>
    <t>B0567 Mt.Pleasant-Townsend</t>
  </si>
  <si>
    <t>B0483.1-.3 Oak Hall-Wattsville</t>
  </si>
  <si>
    <t>B0320 Cool Springs</t>
  </si>
  <si>
    <t>Result of Formula for Reconciliation</t>
  </si>
  <si>
    <t xml:space="preserve">  Attachment 5 the name of each state and how the blended or composite SIT was developed.  Furthermore, a utility that</t>
  </si>
  <si>
    <t>Attachment 6 - Estimate and Reconciliation Worksheet</t>
  </si>
  <si>
    <t>w/ interest</t>
  </si>
  <si>
    <t>Materials Reserve</t>
  </si>
  <si>
    <t>Charitable Contributions</t>
  </si>
  <si>
    <t>Property Taxes</t>
  </si>
  <si>
    <t>Blueprint for the Future</t>
  </si>
  <si>
    <t>p354.21.b</t>
  </si>
  <si>
    <t>p354.28b</t>
  </si>
  <si>
    <t>p354.27b</t>
  </si>
  <si>
    <t>p200.3.c</t>
  </si>
  <si>
    <t>CWIP will be linked to Attachment 6 which shows detail support by project (incentive and non-incentive).</t>
  </si>
  <si>
    <t>Q</t>
  </si>
  <si>
    <t>ACE capital structure is initially fixed at 50% common equity and 50% debt per settlement in ER05-515 subject to moratorium provisions in the settlement.</t>
  </si>
  <si>
    <t>R</t>
  </si>
  <si>
    <t>Per the settlement in ER05-515, the facility credits of $15,000 per month paid to Vineland will increase to $37,500 per month (prorated for partial months)</t>
  </si>
  <si>
    <t>effective on the date FERC approves the settlement in ER05-515.</t>
  </si>
  <si>
    <t>Note 4: SECA revenues booked in Account 447.</t>
  </si>
  <si>
    <t>43a</t>
  </si>
  <si>
    <t>Transmission Related CWIP (Current Year 12 Month weighted average balances)</t>
  </si>
  <si>
    <t>(Note B)</t>
  </si>
  <si>
    <t>p216.43.b as Shown on Attachment 6</t>
  </si>
  <si>
    <t>TO populates the formula with Year 1 data from FERC Form 1 data for Year 1 (e.g., 2004)</t>
  </si>
  <si>
    <t>TO estimates all transmission Cap Adds and CWIP for Year 2 weighted based on Months expected to be in service in Year 2 (e.g., 2005)</t>
  </si>
  <si>
    <t>Results of Step 3 go into effect for the Rate Year 1 (e.g., June 1, 2005 - May 31, 2006)</t>
  </si>
  <si>
    <t>Reconciliation - TO calculates Reconciliation by removing from Year 2 data - the total Cap Adds placed in service in Year 2 and adding weighted average in Year 2 actual Cap Adds and CWIP in Reconciliation</t>
  </si>
  <si>
    <t>TO estimates Cap Adds and CWIP during Year 3 weighted based on Months expected to be in service in Year 3 (e.g., 2006)</t>
  </si>
  <si>
    <t>Reconciliation - TO adds the difference between the Reconciliation in Step 7 and the forecast in Line 5 with interest to the result of Step 7 (this difference is also added to Step 8 in the subsequent year)</t>
  </si>
  <si>
    <t>Must run Appendix A to get this number (without inputs in lines 20, 21 or 43a of Appendix A )</t>
  </si>
  <si>
    <t>(A)</t>
  </si>
  <si>
    <t>(B)</t>
  </si>
  <si>
    <t>(C )</t>
  </si>
  <si>
    <t>(D)</t>
  </si>
  <si>
    <t>(E)</t>
  </si>
  <si>
    <t>(F)</t>
  </si>
  <si>
    <t>(G)</t>
  </si>
  <si>
    <t>(H)</t>
  </si>
  <si>
    <t>(I)</t>
  </si>
  <si>
    <t>(J)</t>
  </si>
  <si>
    <t>(K)</t>
  </si>
  <si>
    <t>(L)</t>
  </si>
  <si>
    <t>(M)</t>
  </si>
  <si>
    <t>Monthly Additions</t>
  </si>
  <si>
    <t>Other Plant In Service</t>
  </si>
  <si>
    <t>MAPP CWIP</t>
  </si>
  <si>
    <t>MAPP In Service</t>
  </si>
  <si>
    <t>Amount (A x E)</t>
  </si>
  <si>
    <t>Amount (B x E)</t>
  </si>
  <si>
    <t>Amount (C x E)</t>
  </si>
  <si>
    <t>Amount (D x E)</t>
  </si>
  <si>
    <t>(F / 12)</t>
  </si>
  <si>
    <t>(G / 12)</t>
  </si>
  <si>
    <t>(H / 12)</t>
  </si>
  <si>
    <t>(I / 12)</t>
  </si>
  <si>
    <t>New Transmission Plant Additions  and CWIP (weighted by months in service)</t>
  </si>
  <si>
    <t>Input to Line 21 of Appendix A</t>
  </si>
  <si>
    <t>Input to Line 43a of Appendix A</t>
  </si>
  <si>
    <t>Month In Service or Month for CWIP</t>
  </si>
  <si>
    <t>Must run Appendix A to get this number (with inputs on lines 21 and 43a of Attachment A)</t>
  </si>
  <si>
    <t>Interest rate from above</t>
  </si>
  <si>
    <t>The difference between the Reconciliation in Step 7 and the forecast in Prior Year with interest</t>
  </si>
  <si>
    <t>Rev Req based on Year 2 data with estimated Cap Adds and CWIP for Year 3 (Step 8)</t>
  </si>
  <si>
    <t>"Yes" if a project under PJM OATT Schedule 12, otherwise "No"</t>
  </si>
  <si>
    <t>Useful life of project</t>
  </si>
  <si>
    <t>"Yes" if the customer has paid a lump sum payment in the amount of the investment on line 18, Otherwise "No"</t>
  </si>
  <si>
    <t>Input the allowed ROE Incentive</t>
  </si>
  <si>
    <t xml:space="preserve">Reflects deferred taxes generated on Delmarva Power &amp; Light Company /Atlantic City Electric Company merger costs deducted for tax purposes.  For books these costs were capitalized. Pension related and therefore labor related. </t>
  </si>
  <si>
    <t>Distribution Related</t>
  </si>
  <si>
    <t>Under the Tax Reform Act of 1986, taxpayers were required to switch from the reserve method for bad debts to the specific write-off method.  The amounts previously accumulated in a reserve were required to be included in taxable income over a four year period.  The reserve method is used for book purposes.  Related to all revenues.</t>
  </si>
  <si>
    <t>PHI's consolidated return is in an NOL situation, therefore, Pepco's charitable contributions are carried forward until such time as PHI is in a taxable income position.  For book purposes, the contributions are expensed when incurred.  Related to all functions.</t>
  </si>
  <si>
    <t>These deferred taxes are the result of a deduction taken for book purposes to set aside a reserve for environmental site clean-up expenses.  For tax no deduction is permitted until the "all events" test is met, typically when economic performance has occurred.</t>
  </si>
  <si>
    <t>Difference between actual fuel expense as compared to the fuel expense computed in accordance with fuel adjustment clause formulas as deferred on books.  In accordance with Section 162 Ordinary and Necessary Business Expenses and Section 461 Rules for Taxable year of Deduction, fuel costs are deductible in the year incurred for federal tax purposes. Rate surcharges are includible in the taxable year the underlying monthly bill is adjusted. Refunds are deductible in the taxable year that the liability is fixed and economic performance has occurred.  These deferred taxes are the result of this book/tax difference.  Generation Related.</t>
  </si>
  <si>
    <t>Federal and State NOL</t>
  </si>
  <si>
    <t>Post 1980</t>
  </si>
  <si>
    <t>Pre 1981</t>
  </si>
  <si>
    <t>ADIT-282</t>
  </si>
  <si>
    <t xml:space="preserve">BO272.1 Keeney 500kV Sub </t>
  </si>
  <si>
    <t>BO751 Keeney - Additional Breakers on 500kV Bus</t>
  </si>
  <si>
    <t xml:space="preserve">BO566 Trappe Tap - Todd </t>
  </si>
  <si>
    <t>Procurement &amp; Administrative Services</t>
  </si>
  <si>
    <t>Financial Services &amp; Corporate Expenses</t>
  </si>
  <si>
    <t>Insurance Coverage and Services</t>
  </si>
  <si>
    <t>Human Resources</t>
  </si>
  <si>
    <t>Customer Services</t>
  </si>
  <si>
    <t>External Affairs</t>
  </si>
  <si>
    <t>Environmental Services</t>
  </si>
  <si>
    <t>Safety Services</t>
  </si>
  <si>
    <t>43b</t>
  </si>
  <si>
    <t>Unamortized Abandoned Transmission Plant</t>
  </si>
  <si>
    <t>86a</t>
  </si>
  <si>
    <t>Amortization of Abandoned Transmission Plant</t>
  </si>
  <si>
    <t>Per FERC Order</t>
  </si>
  <si>
    <t>Months Remaining in Amortization Period</t>
  </si>
  <si>
    <t>Months in Year to be Amortized</t>
  </si>
  <si>
    <t>When a regulatory asset/liability is established, books credit/debit income, which for tax purposes needs to be reversed along with the associated amortization.</t>
  </si>
  <si>
    <t xml:space="preserve">Reflects the deferred taxes generated as a result of the tax deductions taken for the cost to reacquire debt.  For book purposes, these amounts were recorded as an asset in account 189 and are amortized over future periods.  </t>
  </si>
  <si>
    <t>Amortization of COPCO acquisition adjustment. Beginning unamortized balance $40,456,550.00 represents recovery of the regulatory asset per Docket 9093, Order 81518, refers to MD Docket 8583, Order 71719; offset account 114000 Plant Acq Adj.  Amortizing monthly.  Fully amortized in 2010.</t>
  </si>
  <si>
    <t>Reg Asset - Transmission MAPP</t>
  </si>
  <si>
    <t>BO733 Harmony Add 2nd 230/138 Auto Tr</t>
  </si>
  <si>
    <t>For books, Demand Side Management Costs are deferred.   For tax these costs are expensed when paid.  These deferred taxes are the result of this book/tax difference which is retail in nature.</t>
  </si>
  <si>
    <t>check</t>
  </si>
  <si>
    <t>171a</t>
  </si>
  <si>
    <t>MAPP Abandonment recovery pursuant to ER13-607</t>
  </si>
  <si>
    <t>Abandoned Tranmission Plant</t>
  </si>
  <si>
    <t>Beginning Balance of Unamortized Transmission Plant</t>
  </si>
  <si>
    <t>Monthly Ammortization</t>
  </si>
  <si>
    <t>A/B</t>
  </si>
  <si>
    <t>Amortization in Rate Year</t>
  </si>
  <si>
    <t>C*D</t>
  </si>
  <si>
    <t>Line 86a</t>
  </si>
  <si>
    <t>Deductions</t>
  </si>
  <si>
    <t>End of Year Balance in Unamortized Transmission Plant</t>
  </si>
  <si>
    <t>A-E-F</t>
  </si>
  <si>
    <t>Line 43b</t>
  </si>
  <si>
    <t>DPL</t>
  </si>
  <si>
    <t>2013-14 rate period</t>
  </si>
  <si>
    <t>2015-16 rate period</t>
  </si>
  <si>
    <t>2014-15 rate period</t>
  </si>
  <si>
    <t>Utility Communication Services</t>
  </si>
  <si>
    <t>Regulated Electric &amp; Gas T&amp;D</t>
  </si>
  <si>
    <t>Represents deferred taxes on MAPP abandonment costs that are currently deductible for income tax purposes, versus amounts included in the MAPP Regulatory Asset that are amortized to book expense over a longer time period</t>
  </si>
  <si>
    <t>Merrill Creek</t>
  </si>
  <si>
    <t>These deferred taxes are the result of rent being recorded ratably over the life of the lease for book purposes. For tax, rent is deductible when economic performance occurs. This asset is Generation related.
This contra account represents an adjustment to the Merrill Creek Rent deferred tax generated relating to rent deductible for tax purposes upon economic performance.
This represents deferred tax generated as a result of an extraordinary charge deducted for books relating to impaired assets due to the effects of deregulation.  For tax purposes, the impairment did not give rise to a tax deduction.  Deductions for tax are nondeductable.
This contra account represents an adjustment to the Merrill Creek Excess Capacity deferred tax generated relating to impaired assets due to the effects of deregulation.</t>
  </si>
  <si>
    <t>Other (190)</t>
  </si>
  <si>
    <t>Other Labor Related Accruals</t>
  </si>
  <si>
    <t>Reg Liab - FERC Formula Adj.</t>
  </si>
  <si>
    <t>Reg Liab - Other</t>
  </si>
  <si>
    <t>Renewable Energy Credits</t>
  </si>
  <si>
    <t>FAS 109 Deferred Taxes - 190</t>
  </si>
  <si>
    <t>Plant Related - APB 11 Deferred Taxes</t>
  </si>
  <si>
    <t>Pension</t>
  </si>
  <si>
    <t>Reg Asset - DSM</t>
  </si>
  <si>
    <t>Reg Asset - FERC Formula Rate Adj.</t>
  </si>
  <si>
    <t>FAS 109 Deferred Taxes - 283</t>
  </si>
  <si>
    <t>Compliance with FERC Order on the Exelon Merger</t>
  </si>
  <si>
    <t>Non Merger Related</t>
  </si>
  <si>
    <t>ARO Exclusion - Cost Support</t>
  </si>
  <si>
    <t>ARO's</t>
  </si>
  <si>
    <t>Non-ARO's</t>
  </si>
  <si>
    <t>p207.104g (see attachment 5)</t>
  </si>
  <si>
    <t>p219.29c (see attachment 5)</t>
  </si>
  <si>
    <t>p205.5.g &amp; p207.99.g (see attachment 5)</t>
  </si>
  <si>
    <t>p219.28.c  (see attachment 5)</t>
  </si>
  <si>
    <t>p321.112.b (see attachment 5)</t>
  </si>
  <si>
    <t>p323.197.b (see attachment 5)</t>
  </si>
  <si>
    <t>See ARO Exclusion - Cost Support section below for Electric Plant in Servie without AROs</t>
  </si>
  <si>
    <t>B1247 Glasgow - Cecil 138 kV Circuit Rebuild</t>
  </si>
  <si>
    <t>Supporting documentation for FERC Form 1 reconciliation</t>
  </si>
  <si>
    <t>FERC Form 1 page 351 lines 7 (h) and 8 (h)</t>
  </si>
  <si>
    <t>enter</t>
  </si>
  <si>
    <t>enter details</t>
  </si>
  <si>
    <t xml:space="preserve">  Prepaid Pension is recorded in FERC account 186 (see FERC Form 1 page 233).</t>
  </si>
  <si>
    <t>96.973% Electric, 3.027% Non-Electric</t>
  </si>
  <si>
    <t xml:space="preserve">These deferred taxes are the result of a deduction taken for book purposes to set aside a reserve for General and Auto liability claims.  For tax no deduction is permitted until the "all events" test is met, typically when payment is made.  </t>
  </si>
  <si>
    <t>Pursuant to the requirements of FAS 109, DPL’s accumulated deferred taxes must encompass all timing differences regardless of whether the difference is normalized or flowed-through.  These balances primarily represent the deferred taxes on prior flow-through items, including the amount of the required gross-up necessary for full recovery of the prior flow-through amount. Related to all plant.  These items are removed below.</t>
  </si>
  <si>
    <t>FAS No. 106 requires accrual basis instead of cash basis accounting for post retirement health care and life insurance benefits for book purposes.  Amounts paid to participants or funded through the VEBA or 401(h) accounts are currently deductible for tax purposes. Affects company personnel across all functions.</t>
  </si>
  <si>
    <t>Related to Gas, Production or Other.</t>
  </si>
  <si>
    <t>Affects company personnel across all functions.</t>
  </si>
  <si>
    <t>Pursuant to the requirements of FAS 109, DPL’s accumulated deferred taxes must encompass all timing differences regardless of whether the difference is normalized or flowed-through.  These balances primarily represent the deferred taxes on prior flow-through items, including the amount of the required gross-up necessary for full recovery of the prior flow-through amount.  Related entirely to plant.  These items are removed below.</t>
  </si>
  <si>
    <t>PHI's consolidated return is in an NOL situation, therefore NOLs are carried forward until such time as PHI is in a taxable income position.   DPL also has stand alone state taxable losses for 2008 forward.  Also includes MD NOL of 6.6M that was created from an amended return.</t>
  </si>
  <si>
    <t>This deferred tax balance relates to our plant and results from life and method differences.  Related to both T &amp; D plant.</t>
  </si>
  <si>
    <t>CIAC - Non Rate Base</t>
  </si>
  <si>
    <t>Leased Vehicles - Non Rate Base</t>
  </si>
  <si>
    <t>Other Plant Related - FAS109 Deferred Taxes</t>
  </si>
  <si>
    <t xml:space="preserve">Transmission FAS 109 AFUDC Equity Deferred Taxes </t>
  </si>
  <si>
    <t xml:space="preserve">Transmission FAS 109 1/1/2005 Deferred Tax Balance </t>
  </si>
  <si>
    <t>This represents deferred tax generated as a result of a deduction taken for amounts set aside in a reserve for book purposes.  For tax no deduction is permitted until economic performance takes place.  These reserves are related to deregulation of Energy.</t>
  </si>
  <si>
    <t>For book purposes, certain real estate taxes were expensed.  For tax purposes, those taxes were capitalized and are being depreciated.  Unregulated related.</t>
  </si>
  <si>
    <t>FAS 109 Deferred Taxes - 283 (AFUDC Equity)</t>
  </si>
  <si>
    <t>FAS 109 Deferred Taxes - 283 (1/1/2005 Balance)</t>
  </si>
  <si>
    <t>PBOP Expense in FERC 926</t>
  </si>
  <si>
    <t>Total A&amp;G
Form 1 Amount</t>
  </si>
  <si>
    <t>Account 926
Form 1 Amount</t>
  </si>
  <si>
    <t>PBOP in
FERC 926
current rate year</t>
  </si>
  <si>
    <t>PBOP in
FERC 926
prior rate year</t>
  </si>
  <si>
    <t>Explanation of change in PBOP in FERC 926</t>
  </si>
  <si>
    <t>Total: p.323.197.b
Account 926: p.323.187.b and c</t>
  </si>
  <si>
    <t>The ROE is 10.5% which includes a base ROE of 10.0% ROE per FERC order in Docket No. EL13-48 and a 50 basis point RTO membership adder as authorized by FERC: provided, that the projects identified in Docket Nos. ER08-686 and ER08-1423 have been awarded an additional 150 basis point adder and, thus, their ROE is 12.0%.</t>
  </si>
  <si>
    <t>68a</t>
  </si>
  <si>
    <t xml:space="preserve">    For informational purposes: PBOB expense in FERC Account 926</t>
  </si>
  <si>
    <t>(Note S)</t>
  </si>
  <si>
    <t>S</t>
  </si>
  <si>
    <t>See Attachment 5 - Cost Support, section entitled "PBOP Expense in FERC Account 926" for additional information per FERC orders in Docket Nos. EL13-48 , EL15-27 and ER16-456.</t>
  </si>
  <si>
    <t>NJ</t>
  </si>
  <si>
    <t xml:space="preserve">Costs associated with revenues in line 17a </t>
  </si>
  <si>
    <t xml:space="preserve">Revenue Subject to 50/50 sharing (Attachment 3 - line 17a)  </t>
  </si>
  <si>
    <t xml:space="preserve">Federal Income Tax Rate  </t>
  </si>
  <si>
    <t xml:space="preserve">Net Revenue subject to 50/50 sharing  </t>
  </si>
  <si>
    <t xml:space="preserve">Composite State Income Tax Rate  </t>
  </si>
  <si>
    <t xml:space="preserve">Federal Tax on Revenue subject to 50/50 sharing  </t>
  </si>
  <si>
    <t xml:space="preserve">State Tax on Revenue subject to 50/50 sharing  </t>
  </si>
  <si>
    <t xml:space="preserve">Total Tax on Revenue subject to 50/50 sharing  </t>
  </si>
  <si>
    <t>The actuarially determined amount of OPEB expense in FERC 926 increased $.486 million from the prior year;  the increase reflects a $1.4 million increase in amortization of unrecognized gain/loss from assumption change in mortality table and decrease in the discount rate, offset by ($0.9 million) in amortization of prior service cost from plan amendment.  This increase was offset by a $.430 million increase in OPEB costs directly charged to capital or other income deduction accounts (i.e. below the line).</t>
  </si>
  <si>
    <t>(a)</t>
  </si>
  <si>
    <t>(b)</t>
  </si>
  <si>
    <t>(d)</t>
  </si>
  <si>
    <t>(1)</t>
  </si>
  <si>
    <t>(2)</t>
  </si>
  <si>
    <t>(1) + (2)</t>
  </si>
  <si>
    <t>Step 9 - Reconciliation adjustment to reflect ROE Settlement in FERC Docket Nos. EL13-48 , EL15-27 and ER16-456</t>
  </si>
  <si>
    <t>True-up amount - calculated at 11.3% ROE (Reconciliation Steps 1 - 9)</t>
  </si>
  <si>
    <t>True-up amount - calculated at 10.5% ROE (Reconciliation Steps 1 - 9)</t>
  </si>
  <si>
    <t># of days in rate year at 11.3% ROE (June 1, 2015 to March 7, 2016)</t>
  </si>
  <si>
    <t>(c)</t>
  </si>
  <si>
    <t># of days in rate year at 10.5% ROE (March 8, 2016 to May 31, 2016)</t>
  </si>
  <si>
    <t>(e)</t>
  </si>
  <si>
    <t>11.3% ROE proration factor</t>
  </si>
  <si>
    <t>(f)</t>
  </si>
  <si>
    <t>10.5% ROE proration factor</t>
  </si>
  <si>
    <t>(g)</t>
  </si>
  <si>
    <t>Prorated true-up amount at 11.3% ROE</t>
  </si>
  <si>
    <t>(a) x (f)</t>
  </si>
  <si>
    <t>Prorated true-up amount at 10.5% ROE</t>
  </si>
  <si>
    <t>(b) x (g)</t>
  </si>
  <si>
    <t xml:space="preserve">     Adjusted true-up for prorated ROE's</t>
  </si>
  <si>
    <t>ROE Settlement refund per Article II section 2.2</t>
  </si>
  <si>
    <t>(h)</t>
  </si>
  <si>
    <t>Interest associated with rate-year monthly amortization</t>
  </si>
  <si>
    <t>(i)</t>
  </si>
  <si>
    <t xml:space="preserve">     Total ROE Settlement refund</t>
  </si>
  <si>
    <t xml:space="preserve">    Total true-up amount</t>
  </si>
  <si>
    <t xml:space="preserve">     True-up per attachment 6 (step 9 - 11.3% ROE)</t>
  </si>
  <si>
    <t xml:space="preserve">     True-up adjustment (carry to Attachment 6 - step 9)</t>
  </si>
  <si>
    <t>True-up Summary:</t>
  </si>
  <si>
    <t>Total refund per ROE Settlement</t>
  </si>
  <si>
    <t xml:space="preserve">   Total true-up amount</t>
  </si>
  <si>
    <t xml:space="preserve">True-up Adjustment for ROE Settlement </t>
  </si>
  <si>
    <t>Total true-up amount</t>
  </si>
  <si>
    <t>Relates to accruals for the purchase of state renewable energy credits.</t>
  </si>
  <si>
    <t>Contributions in Aid of Construction (CIAC) are a reduction to Plant for book accounting purposes, but are included in taxable income and depeciated for income tax purposes.  This different book/tax treatment results in deferred income taxes which must be recorded in accordance with SFAS 109.  The company collects an income tax gross-up from the customer which is reimbursement for the time value of money on the additional tax liability inccurred until such time as the amounts are fully depreciated for tax purposes.  The deferred income tax asset on CIAC's is excluded from Rate Base because the underlying plant is not included in Rate Base.</t>
  </si>
  <si>
    <t>The Company leases its vehicles under arrangements that are treated as Operating Leases for book purposes, but financing leases for tax purposes.  The differing income tax treatment between Rent Expense deducted for book purposes and tax depreciation expense deducted for income tax purposes, results in deferred income taxes being recorded on the books.  Since Leased Vehicles are not included in Rate Base, the deferred income taxes are being excluded as well.</t>
  </si>
  <si>
    <t>Under SFAS 109, deferred income taxes must be provided on all book/tax temporary differences, including AFUDC-Equity.  Deferred income taxes on AFUDC-Equity are not recognized for Regulatory purposes and are excluded from Rate Base.</t>
  </si>
  <si>
    <t>Apportioned: PA 0.0043%, VA 0.0109%, DE 5.9121%, MD 2.628%, NJ 0.0005%</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</si>
</sst>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0.0000%"/>
    <numFmt numFmtId="173" formatCode="0.00000%"/>
    <numFmt numFmtId="174" formatCode="0.000000%"/>
    <numFmt numFmtId="175" formatCode="_(* #,##0.0_);_(* \(#,##0.0\);_(* &quot;-&quot;??_);_(@_)"/>
    <numFmt numFmtId="176" formatCode="_(* #,##0.000_);_(* \(#,##0.000\);_(* &quot;-&quot;???_);_(@_)"/>
    <numFmt numFmtId="177" formatCode="0.000000"/>
    <numFmt numFmtId="178" formatCode="_(* #,##0.0_);_(* \(#,##0.0\);_(* &quot;-&quot;?_);_(@_)"/>
    <numFmt numFmtId="179" formatCode="_(&quot;$&quot;* #,##0.0_);_(&quot;$&quot;* \(#,##0.0\);_(&quot;$&quot;* &quot;-&quot;?_);_(@_)"/>
    <numFmt numFmtId="180" formatCode="#0._)"/>
    <numFmt numFmtId="181" formatCode="_(* #,##0.00000_);_(* \(#,##0.00000\);_(* &quot;-&quot;_);_(@_)"/>
    <numFmt numFmtId="182" formatCode="_(* #,##0.000000_);_(* \(#,##0.000000\);_(* &quot;-&quot;_);_(@_)"/>
  </numFmts>
  <fonts count="16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b/>
      <sz val="14"/>
      <name val="Arial"/>
      <family val="2"/>
    </font>
    <font>
      <sz val="12"/>
      <color indexed="12"/>
      <name val="Helv"/>
    </font>
    <font>
      <sz val="12"/>
      <name val="Helv"/>
    </font>
    <font>
      <b/>
      <sz val="12"/>
      <name val="Helv"/>
    </font>
    <font>
      <b/>
      <u/>
      <sz val="12"/>
      <name val="Helv"/>
    </font>
    <font>
      <b/>
      <sz val="12"/>
      <color indexed="10"/>
      <name val="Helv"/>
    </font>
    <font>
      <b/>
      <sz val="12"/>
      <color indexed="12"/>
      <name val="Helv"/>
    </font>
    <font>
      <sz val="12"/>
      <color indexed="13"/>
      <name val="Arial"/>
      <family val="2"/>
    </font>
    <font>
      <b/>
      <sz val="12"/>
      <color indexed="13"/>
      <name val="Arial"/>
      <family val="2"/>
    </font>
    <font>
      <b/>
      <sz val="12"/>
      <color indexed="13"/>
      <name val="Helv"/>
    </font>
    <font>
      <sz val="14"/>
      <name val="Arial"/>
      <family val="2"/>
    </font>
    <font>
      <b/>
      <sz val="14"/>
      <name val="Arial"/>
      <family val="2"/>
    </font>
    <font>
      <sz val="12"/>
      <name val="Arial Narrow"/>
      <family val="2"/>
    </font>
    <font>
      <b/>
      <sz val="12"/>
      <color indexed="10"/>
      <name val="Arial Narrow"/>
      <family val="2"/>
    </font>
    <font>
      <b/>
      <sz val="18"/>
      <name val="Arial"/>
      <family val="2"/>
    </font>
    <font>
      <sz val="12"/>
      <color indexed="10"/>
      <name val="Helv"/>
    </font>
    <font>
      <b/>
      <i/>
      <sz val="10"/>
      <name val="Arial"/>
      <family val="2"/>
    </font>
    <font>
      <b/>
      <i/>
      <sz val="12"/>
      <name val="Arial"/>
      <family val="2"/>
    </font>
    <font>
      <b/>
      <i/>
      <sz val="12"/>
      <color indexed="14"/>
      <name val="Arial"/>
      <family val="2"/>
    </font>
    <font>
      <b/>
      <sz val="10"/>
      <color indexed="10"/>
      <name val="Arial Narrow"/>
      <family val="2"/>
    </font>
    <font>
      <sz val="10"/>
      <name val="Arial Narrow"/>
      <family val="2"/>
    </font>
    <font>
      <b/>
      <i/>
      <sz val="10"/>
      <color indexed="10"/>
      <name val="Arial"/>
      <family val="2"/>
    </font>
    <font>
      <b/>
      <sz val="10"/>
      <color indexed="14"/>
      <name val="Arial"/>
      <family val="2"/>
    </font>
    <font>
      <b/>
      <sz val="10"/>
      <name val="Arial Narrow"/>
      <family val="2"/>
    </font>
    <font>
      <sz val="10"/>
      <color indexed="10"/>
      <name val="Arial Narrow"/>
      <family val="2"/>
    </font>
    <font>
      <b/>
      <sz val="12"/>
      <name val="Arial Narrow"/>
      <family val="2"/>
    </font>
    <font>
      <sz val="12"/>
      <color indexed="12"/>
      <name val="Arial Narrow"/>
      <family val="2"/>
    </font>
    <font>
      <b/>
      <sz val="14"/>
      <name val="Arial Narrow"/>
      <family val="2"/>
    </font>
    <font>
      <b/>
      <sz val="14"/>
      <color indexed="10"/>
      <name val="Arial"/>
      <family val="2"/>
    </font>
    <font>
      <b/>
      <sz val="16"/>
      <color indexed="10"/>
      <name val="Arial"/>
      <family val="2"/>
    </font>
    <font>
      <sz val="11"/>
      <name val="Arial Narrow"/>
      <family val="2"/>
    </font>
    <font>
      <b/>
      <sz val="9"/>
      <color indexed="10"/>
      <name val="Helv"/>
    </font>
    <font>
      <sz val="9"/>
      <name val="Arial Narrow"/>
      <family val="2"/>
    </font>
    <font>
      <b/>
      <sz val="9"/>
      <name val="Arial Narrow"/>
      <family val="2"/>
    </font>
    <font>
      <b/>
      <sz val="12"/>
      <color indexed="13"/>
      <name val="Helvetica"/>
      <family val="2"/>
    </font>
    <font>
      <sz val="14"/>
      <name val="Arial"/>
      <family val="2"/>
    </font>
    <font>
      <sz val="12"/>
      <color indexed="43"/>
      <name val="Arial"/>
      <family val="2"/>
    </font>
    <font>
      <sz val="10"/>
      <color indexed="10"/>
      <name val="Arial"/>
      <family val="2"/>
    </font>
    <font>
      <b/>
      <u/>
      <sz val="10"/>
      <name val="Arial"/>
      <family val="2"/>
    </font>
    <font>
      <sz val="16"/>
      <name val="Arial"/>
      <family val="2"/>
    </font>
    <font>
      <b/>
      <i/>
      <sz val="14"/>
      <name val="Arial Narrow"/>
      <family val="2"/>
    </font>
    <font>
      <b/>
      <i/>
      <sz val="11"/>
      <name val="Arial Narrow"/>
      <family val="2"/>
    </font>
    <font>
      <sz val="9"/>
      <color indexed="10"/>
      <name val="Arial Narrow"/>
      <family val="2"/>
    </font>
    <font>
      <b/>
      <i/>
      <sz val="12"/>
      <name val="Arial Narrow"/>
      <family val="2"/>
    </font>
    <font>
      <sz val="10"/>
      <name val="Arial"/>
      <family val="2"/>
    </font>
    <font>
      <b/>
      <sz val="12"/>
      <color indexed="13"/>
      <name val="Arial Narrow"/>
      <family val="2"/>
    </font>
    <font>
      <sz val="11"/>
      <color indexed="12"/>
      <name val="Arial"/>
      <family val="2"/>
    </font>
    <font>
      <i/>
      <sz val="10"/>
      <name val="Arial"/>
      <family val="2"/>
    </font>
    <font>
      <sz val="9"/>
      <name val="Arial"/>
      <family val="2"/>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sz val="10"/>
      <name val="MS Sans Serif"/>
      <family val="2"/>
    </font>
    <font>
      <b/>
      <sz val="10"/>
      <name val="MS Sans Serif"/>
      <family val="2"/>
    </font>
    <font>
      <b/>
      <sz val="18"/>
      <color indexed="56"/>
      <name val="Cambria"/>
      <family val="2"/>
    </font>
    <font>
      <b/>
      <sz val="12"/>
      <color indexed="8"/>
      <name val="Times New Roman"/>
      <family val="2"/>
    </font>
    <font>
      <sz val="12"/>
      <color indexed="10"/>
      <name val="Times New Roman"/>
      <family val="2"/>
    </font>
    <font>
      <sz val="8"/>
      <name val="Arial Narrow"/>
      <family val="2"/>
    </font>
    <font>
      <b/>
      <sz val="22"/>
      <name val="Arial"/>
      <family val="2"/>
    </font>
    <font>
      <sz val="12"/>
      <color indexed="9"/>
      <name val="Arial Narrow"/>
      <family val="2"/>
    </font>
    <font>
      <sz val="8"/>
      <name val="Arial"/>
      <family val="2"/>
    </font>
    <font>
      <sz val="11"/>
      <name val="Garamond"/>
      <family val="1"/>
    </font>
    <font>
      <b/>
      <i/>
      <sz val="11"/>
      <name val="Garamond"/>
      <family val="1"/>
    </font>
    <font>
      <b/>
      <sz val="11"/>
      <name val="Garamond"/>
      <family val="1"/>
    </font>
    <font>
      <b/>
      <sz val="11"/>
      <color indexed="10"/>
      <name val="Garamond"/>
      <family val="1"/>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10"/>
      <name val="Times New Roman"/>
      <family val="1"/>
    </font>
    <font>
      <sz val="10"/>
      <color indexed="8"/>
      <name val="Arial"/>
      <family val="2"/>
    </font>
    <font>
      <b/>
      <sz val="11"/>
      <color indexed="8"/>
      <name val="Calibri"/>
      <family val="2"/>
    </font>
    <font>
      <i/>
      <sz val="11"/>
      <color indexed="23"/>
      <name val="Calibri"/>
      <family val="2"/>
    </font>
    <font>
      <i/>
      <sz val="11"/>
      <color rgb="FF7F7F7F"/>
      <name val="Calibri"/>
      <family val="2"/>
      <scheme val="minor"/>
    </font>
    <font>
      <sz val="11"/>
      <color indexed="17"/>
      <name val="Calibri"/>
      <family val="2"/>
    </font>
    <font>
      <sz val="11"/>
      <color rgb="FF006100"/>
      <name val="Calibri"/>
      <family val="2"/>
      <scheme val="minor"/>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10"/>
      <color indexed="12"/>
      <name val="Arial"/>
      <family val="2"/>
    </font>
    <font>
      <sz val="11"/>
      <color indexed="62"/>
      <name val="Calibri"/>
      <family val="2"/>
    </font>
    <font>
      <sz val="11"/>
      <color rgb="FF3F3F76"/>
      <name val="Calibri"/>
      <family val="2"/>
      <scheme val="minor"/>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sz val="7"/>
      <name val="Small Fonts"/>
      <family val="2"/>
    </font>
    <font>
      <sz val="10"/>
      <name val="Arial Unicode MS"/>
      <family val="2"/>
    </font>
    <font>
      <b/>
      <sz val="11"/>
      <color indexed="63"/>
      <name val="Calibri"/>
      <family val="2"/>
    </font>
    <font>
      <b/>
      <sz val="11"/>
      <color rgb="FF3F3F3F"/>
      <name val="Calibri"/>
      <family val="2"/>
      <scheme val="minor"/>
    </font>
    <font>
      <sz val="10"/>
      <color indexed="12"/>
      <name val="MS Sans Serif"/>
      <family val="2"/>
    </font>
    <font>
      <sz val="12"/>
      <name val="Times New Roman"/>
      <family val="1"/>
    </font>
    <font>
      <sz val="10"/>
      <color indexed="39"/>
      <name val="Arial"/>
      <family val="2"/>
    </font>
    <font>
      <b/>
      <sz val="10"/>
      <color indexed="8"/>
      <name val="Arial"/>
      <family val="2"/>
    </font>
    <font>
      <b/>
      <sz val="12"/>
      <color indexed="8"/>
      <name val="Arial"/>
      <family val="2"/>
    </font>
    <font>
      <b/>
      <sz val="8"/>
      <name val="Arial"/>
      <family val="2"/>
    </font>
    <font>
      <b/>
      <sz val="16"/>
      <color indexed="23"/>
      <name val="Arial"/>
      <family val="2"/>
    </font>
    <font>
      <b/>
      <sz val="18"/>
      <color indexed="62"/>
      <name val="Cambria"/>
      <family val="2"/>
    </font>
    <font>
      <b/>
      <sz val="12"/>
      <color indexed="8"/>
      <name val="Times New Roman"/>
      <family val="1"/>
    </font>
    <font>
      <b/>
      <sz val="11"/>
      <color indexed="8"/>
      <name val="Times New Roman"/>
      <family val="1"/>
    </font>
    <font>
      <sz val="12"/>
      <color indexed="8"/>
      <name val="Times New Roman"/>
      <family val="1"/>
    </font>
    <font>
      <b/>
      <sz val="10"/>
      <color indexed="12"/>
      <name val="MS Sans Serif"/>
      <family val="2"/>
    </font>
    <font>
      <b/>
      <sz val="18"/>
      <color theme="3"/>
      <name val="Cambria"/>
      <family val="2"/>
      <scheme val="major"/>
    </font>
    <font>
      <b/>
      <sz val="11"/>
      <color theme="1"/>
      <name val="Calibri"/>
      <family val="2"/>
      <scheme val="minor"/>
    </font>
    <font>
      <sz val="11"/>
      <color indexed="10"/>
      <name val="Calibri"/>
      <family val="2"/>
    </font>
    <font>
      <sz val="11"/>
      <color rgb="FFFF0000"/>
      <name val="Calibri"/>
      <family val="2"/>
      <scheme val="minor"/>
    </font>
    <font>
      <b/>
      <sz val="14"/>
      <color indexed="8"/>
      <name val="Times New Roman"/>
      <family val="1"/>
    </font>
    <font>
      <sz val="14"/>
      <color indexed="8"/>
      <name val="Times New Roman"/>
      <family val="1"/>
    </font>
    <font>
      <sz val="8"/>
      <name val="Helv"/>
    </font>
    <font>
      <b/>
      <sz val="11"/>
      <color rgb="FFFF0000"/>
      <name val="Garamond"/>
      <family val="1"/>
    </font>
    <font>
      <b/>
      <sz val="10"/>
      <color rgb="FFFF0000"/>
      <name val="Arial"/>
      <family val="2"/>
    </font>
    <font>
      <sz val="12"/>
      <color rgb="FFFF0000"/>
      <name val="Arial"/>
      <family val="2"/>
    </font>
    <font>
      <b/>
      <sz val="16"/>
      <color rgb="FFFF0000"/>
      <name val="Arial"/>
      <family val="2"/>
    </font>
    <font>
      <b/>
      <sz val="16"/>
      <name val="Arial"/>
      <family val="2"/>
    </font>
    <font>
      <sz val="10"/>
      <color rgb="FFFF0000"/>
      <name val="Arial"/>
      <family val="2"/>
    </font>
    <font>
      <b/>
      <sz val="10"/>
      <color rgb="FFFF0000"/>
      <name val="Arial Narrow"/>
      <family val="2"/>
    </font>
    <font>
      <sz val="11"/>
      <color rgb="FFFF0000"/>
      <name val="Garamond"/>
      <family val="1"/>
    </font>
    <font>
      <sz val="10"/>
      <color theme="1"/>
      <name val="Arial"/>
      <family val="2"/>
    </font>
    <font>
      <b/>
      <sz val="10"/>
      <color theme="1"/>
      <name val="Arial"/>
      <family val="2"/>
    </font>
    <font>
      <b/>
      <sz val="12"/>
      <color rgb="FFFF0000"/>
      <name val="Arial"/>
      <family val="2"/>
    </font>
    <font>
      <sz val="10"/>
      <name val="Arial"/>
      <family val="2"/>
    </font>
    <font>
      <u val="singleAccounting"/>
      <sz val="9"/>
      <name val="Arial Narrow"/>
      <family val="2"/>
    </font>
    <font>
      <sz val="9"/>
      <color rgb="FFFF0000"/>
      <name val="Arial Narrow"/>
      <family val="2"/>
    </font>
  </fonts>
  <fills count="10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3"/>
        <bgColor indexed="64"/>
      </patternFill>
    </fill>
    <fill>
      <patternFill patternType="solid">
        <fgColor indexed="8"/>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theme="4"/>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theme="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theme="6"/>
      </patternFill>
    </fill>
    <fill>
      <patternFill patternType="solid">
        <fgColor indexed="55"/>
        <bgColor indexed="55"/>
      </patternFill>
    </fill>
    <fill>
      <patternFill patternType="solid">
        <fgColor theme="7"/>
      </patternFill>
    </fill>
    <fill>
      <patternFill patternType="solid">
        <fgColor indexed="41"/>
        <bgColor indexed="41"/>
      </patternFill>
    </fill>
    <fill>
      <patternFill patternType="solid">
        <fgColor indexed="54"/>
        <bgColor indexed="54"/>
      </patternFill>
    </fill>
    <fill>
      <patternFill patternType="solid">
        <fgColor theme="8"/>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9"/>
      </patternFill>
    </fill>
    <fill>
      <patternFill patternType="solid">
        <fgColor indexed="54"/>
      </patternFill>
    </fill>
    <fill>
      <patternFill patternType="solid">
        <fgColor indexed="26"/>
        <bgColor indexed="64"/>
      </patternFill>
    </fill>
    <fill>
      <patternFill patternType="solid">
        <fgColor indexed="44"/>
        <bgColor indexed="64"/>
      </patternFill>
    </fill>
    <fill>
      <patternFill patternType="solid">
        <fgColor indexed="20"/>
      </patternFill>
    </fill>
    <fill>
      <patternFill patternType="solid">
        <fgColor rgb="FFFFFF99"/>
        <bgColor indexed="64"/>
      </patternFill>
    </fill>
    <fill>
      <patternFill patternType="solid">
        <fgColor rgb="FFFFFF00"/>
        <bgColor indexed="64"/>
      </patternFill>
    </fill>
    <fill>
      <patternFill patternType="solid">
        <fgColor rgb="FFFFFF99"/>
        <bgColor rgb="FF000000"/>
      </patternFill>
    </fill>
    <fill>
      <patternFill patternType="solid">
        <fgColor indexed="47"/>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diagonal/>
    </border>
    <border>
      <left/>
      <right/>
      <top style="thin">
        <color indexed="64"/>
      </top>
      <bottom style="double">
        <color indexed="64"/>
      </bottom>
      <diagonal/>
    </border>
    <border>
      <left/>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indexed="12"/>
      </left>
      <right style="double">
        <color indexed="12"/>
      </right>
      <top style="double">
        <color indexed="12"/>
      </top>
      <bottom style="dotted">
        <color indexed="12"/>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48"/>
      </left>
      <right style="thin">
        <color indexed="48"/>
      </right>
      <top style="thin">
        <color indexed="48"/>
      </top>
      <bottom style="thin">
        <color indexed="48"/>
      </bottom>
      <diagonal/>
    </border>
    <border>
      <left style="thick">
        <color indexed="12"/>
      </left>
      <right style="thick">
        <color indexed="12"/>
      </right>
      <top style="thick">
        <color indexed="12"/>
      </top>
      <bottom/>
      <diagonal/>
    </border>
    <border>
      <left/>
      <right/>
      <top style="thin">
        <color theme="4"/>
      </top>
      <bottom style="double">
        <color theme="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double">
        <color indexed="64"/>
      </bottom>
      <diagonal/>
    </border>
  </borders>
  <cellStyleXfs count="9476">
    <xf numFmtId="0" fontId="0" fillId="0" borderId="0"/>
    <xf numFmtId="0" fontId="69" fillId="2" borderId="0" applyNumberFormat="0" applyBorder="0" applyAlignment="0" applyProtection="0"/>
    <xf numFmtId="0" fontId="69" fillId="3" borderId="0" applyNumberFormat="0" applyBorder="0" applyAlignment="0" applyProtection="0"/>
    <xf numFmtId="0" fontId="69" fillId="4" borderId="0" applyNumberFormat="0" applyBorder="0" applyAlignment="0" applyProtection="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5" borderId="0" applyNumberFormat="0" applyBorder="0" applyAlignment="0" applyProtection="0"/>
    <xf numFmtId="0" fontId="69" fillId="8" borderId="0" applyNumberFormat="0" applyBorder="0" applyAlignment="0" applyProtection="0"/>
    <xf numFmtId="0" fontId="69" fillId="11" borderId="0" applyNumberFormat="0" applyBorder="0" applyAlignment="0" applyProtection="0"/>
    <xf numFmtId="0" fontId="70" fillId="12" borderId="0" applyNumberFormat="0" applyBorder="0" applyAlignment="0" applyProtection="0"/>
    <xf numFmtId="0" fontId="70" fillId="9" borderId="0" applyNumberFormat="0" applyBorder="0" applyAlignment="0" applyProtection="0"/>
    <xf numFmtId="0" fontId="70" fillId="10"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5"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9" borderId="0" applyNumberFormat="0" applyBorder="0" applyAlignment="0" applyProtection="0"/>
    <xf numFmtId="0" fontId="71" fillId="3" borderId="0" applyNumberFormat="0" applyBorder="0" applyAlignment="0" applyProtection="0"/>
    <xf numFmtId="0" fontId="72" fillId="20" borderId="1" applyNumberFormat="0" applyAlignment="0" applyProtection="0"/>
    <xf numFmtId="0" fontId="73" fillId="21" borderId="2" applyNumberFormat="0" applyAlignment="0" applyProtection="0"/>
    <xf numFmtId="43" fontId="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74" fillId="0" borderId="0" applyNumberFormat="0" applyFill="0" applyBorder="0" applyAlignment="0" applyProtection="0"/>
    <xf numFmtId="0" fontId="75" fillId="4" borderId="0" applyNumberFormat="0" applyBorder="0" applyAlignment="0" applyProtection="0"/>
    <xf numFmtId="0" fontId="76" fillId="0" borderId="3" applyNumberFormat="0" applyFill="0" applyAlignment="0" applyProtection="0"/>
    <xf numFmtId="0" fontId="77" fillId="0" borderId="4" applyNumberFormat="0" applyFill="0" applyAlignment="0" applyProtection="0"/>
    <xf numFmtId="0" fontId="78" fillId="0" borderId="5" applyNumberFormat="0" applyFill="0" applyAlignment="0" applyProtection="0"/>
    <xf numFmtId="0" fontId="78" fillId="0" borderId="0" applyNumberFormat="0" applyFill="0" applyBorder="0" applyAlignment="0" applyProtection="0"/>
    <xf numFmtId="0" fontId="79" fillId="7" borderId="1" applyNumberFormat="0" applyAlignment="0" applyProtection="0"/>
    <xf numFmtId="0" fontId="80" fillId="0" borderId="6" applyNumberFormat="0" applyFill="0" applyAlignment="0" applyProtection="0"/>
    <xf numFmtId="0" fontId="81" fillId="22" borderId="0" applyNumberFormat="0" applyBorder="0" applyAlignment="0" applyProtection="0"/>
    <xf numFmtId="0" fontId="18" fillId="0" borderId="0"/>
    <xf numFmtId="0" fontId="18" fillId="0" borderId="0"/>
    <xf numFmtId="165" fontId="11" fillId="0" borderId="0"/>
    <xf numFmtId="170" fontId="19" fillId="0" borderId="0" applyProtection="0"/>
    <xf numFmtId="0" fontId="18" fillId="0" borderId="0"/>
    <xf numFmtId="0" fontId="69" fillId="23" borderId="7" applyNumberFormat="0" applyFont="0" applyAlignment="0" applyProtection="0"/>
    <xf numFmtId="0" fontId="82" fillId="20" borderId="8" applyNumberFormat="0" applyAlignment="0" applyProtection="0"/>
    <xf numFmtId="9" fontId="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83" fillId="0" borderId="0" applyNumberFormat="0" applyFont="0" applyFill="0" applyBorder="0" applyAlignment="0" applyProtection="0">
      <alignment horizontal="left"/>
    </xf>
    <xf numFmtId="15" fontId="83" fillId="0" borderId="0" applyFont="0" applyFill="0" applyBorder="0" applyAlignment="0" applyProtection="0"/>
    <xf numFmtId="4" fontId="83" fillId="0" borderId="0" applyFont="0" applyFill="0" applyBorder="0" applyAlignment="0" applyProtection="0"/>
    <xf numFmtId="0" fontId="84" fillId="0" borderId="9">
      <alignment horizontal="center"/>
    </xf>
    <xf numFmtId="3" fontId="83" fillId="0" borderId="0" applyFont="0" applyFill="0" applyBorder="0" applyAlignment="0" applyProtection="0"/>
    <xf numFmtId="0" fontId="83" fillId="24" borderId="0" applyNumberFormat="0" applyFont="0" applyBorder="0" applyAlignment="0" applyProtection="0"/>
    <xf numFmtId="0" fontId="85" fillId="0" borderId="0" applyNumberFormat="0" applyFill="0" applyBorder="0" applyAlignment="0" applyProtection="0"/>
    <xf numFmtId="0" fontId="86" fillId="0" borderId="10" applyNumberFormat="0" applyFill="0" applyAlignment="0" applyProtection="0"/>
    <xf numFmtId="0" fontId="87" fillId="0" borderId="0" applyNumberFormat="0" applyFill="0" applyBorder="0" applyAlignment="0" applyProtection="0"/>
    <xf numFmtId="43" fontId="6" fillId="0" borderId="0" applyFont="0" applyFill="0" applyBorder="0" applyAlignment="0" applyProtection="0"/>
    <xf numFmtId="177" fontId="6" fillId="0" borderId="0">
      <alignment horizontal="left" wrapText="1"/>
    </xf>
    <xf numFmtId="177" fontId="6" fillId="0" borderId="0">
      <alignment horizontal="left" wrapText="1"/>
    </xf>
    <xf numFmtId="177" fontId="6" fillId="0" borderId="0">
      <alignment horizontal="left" wrapText="1"/>
    </xf>
    <xf numFmtId="177" fontId="6" fillId="0" borderId="0">
      <alignment horizontal="left" wrapText="1"/>
    </xf>
    <xf numFmtId="177" fontId="6" fillId="0" borderId="0">
      <alignment horizontal="left" wrapText="1"/>
    </xf>
    <xf numFmtId="177" fontId="6" fillId="0" borderId="0">
      <alignment horizontal="left" wrapText="1"/>
    </xf>
    <xf numFmtId="177" fontId="6" fillId="0" borderId="0">
      <alignment horizontal="left" wrapText="1"/>
    </xf>
    <xf numFmtId="177" fontId="6" fillId="0" borderId="0">
      <alignment horizontal="left" wrapText="1"/>
    </xf>
    <xf numFmtId="177" fontId="6" fillId="0" borderId="0">
      <alignment horizontal="left" wrapText="1"/>
    </xf>
    <xf numFmtId="177" fontId="6" fillId="0" borderId="0">
      <alignment horizontal="left" wrapText="1"/>
    </xf>
    <xf numFmtId="177" fontId="6" fillId="0" borderId="0">
      <alignment horizontal="left" wrapText="1"/>
    </xf>
    <xf numFmtId="177" fontId="6" fillId="0" borderId="0">
      <alignment horizontal="left" wrapText="1"/>
    </xf>
    <xf numFmtId="177" fontId="6" fillId="0" borderId="0">
      <alignment horizontal="left" wrapText="1"/>
    </xf>
    <xf numFmtId="177" fontId="6" fillId="0" borderId="0">
      <alignment horizontal="left" wrapText="1"/>
    </xf>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69" fillId="2"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5" fillId="30" borderId="0" applyNumberFormat="0" applyBorder="0" applyAlignment="0" applyProtection="0"/>
    <xf numFmtId="0" fontId="96" fillId="2" borderId="0" applyNumberFormat="0" applyBorder="0" applyAlignment="0" applyProtection="0"/>
    <xf numFmtId="0" fontId="5" fillId="30"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96" fillId="2" borderId="0" applyNumberFormat="0" applyBorder="0" applyAlignment="0" applyProtection="0"/>
    <xf numFmtId="0" fontId="5" fillId="30" borderId="0" applyNumberFormat="0" applyBorder="0" applyAlignment="0" applyProtection="0"/>
    <xf numFmtId="0" fontId="96" fillId="2" borderId="0" applyNumberFormat="0" applyBorder="0" applyAlignment="0" applyProtection="0"/>
    <xf numFmtId="0" fontId="5" fillId="30"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69" fillId="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5" fillId="31" borderId="0" applyNumberFormat="0" applyBorder="0" applyAlignment="0" applyProtection="0"/>
    <xf numFmtId="0" fontId="96" fillId="3" borderId="0" applyNumberFormat="0" applyBorder="0" applyAlignment="0" applyProtection="0"/>
    <xf numFmtId="0" fontId="5" fillId="31"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96" fillId="3" borderId="0" applyNumberFormat="0" applyBorder="0" applyAlignment="0" applyProtection="0"/>
    <xf numFmtId="0" fontId="5" fillId="31" borderId="0" applyNumberFormat="0" applyBorder="0" applyAlignment="0" applyProtection="0"/>
    <xf numFmtId="0" fontId="96" fillId="3" borderId="0" applyNumberFormat="0" applyBorder="0" applyAlignment="0" applyProtection="0"/>
    <xf numFmtId="0" fontId="5" fillId="31"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69" fillId="4"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5" fillId="32" borderId="0" applyNumberFormat="0" applyBorder="0" applyAlignment="0" applyProtection="0"/>
    <xf numFmtId="0" fontId="96" fillId="4" borderId="0" applyNumberFormat="0" applyBorder="0" applyAlignment="0" applyProtection="0"/>
    <xf numFmtId="0" fontId="5" fillId="32"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96" fillId="4" borderId="0" applyNumberFormat="0" applyBorder="0" applyAlignment="0" applyProtection="0"/>
    <xf numFmtId="0" fontId="5" fillId="32" borderId="0" applyNumberFormat="0" applyBorder="0" applyAlignment="0" applyProtection="0"/>
    <xf numFmtId="0" fontId="96" fillId="4" borderId="0" applyNumberFormat="0" applyBorder="0" applyAlignment="0" applyProtection="0"/>
    <xf numFmtId="0" fontId="5" fillId="32"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69" fillId="5"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5" fillId="33" borderId="0" applyNumberFormat="0" applyBorder="0" applyAlignment="0" applyProtection="0"/>
    <xf numFmtId="0" fontId="96" fillId="5" borderId="0" applyNumberFormat="0" applyBorder="0" applyAlignment="0" applyProtection="0"/>
    <xf numFmtId="0" fontId="5" fillId="33"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96" fillId="5" borderId="0" applyNumberFormat="0" applyBorder="0" applyAlignment="0" applyProtection="0"/>
    <xf numFmtId="0" fontId="5" fillId="33" borderId="0" applyNumberFormat="0" applyBorder="0" applyAlignment="0" applyProtection="0"/>
    <xf numFmtId="0" fontId="96" fillId="5" borderId="0" applyNumberFormat="0" applyBorder="0" applyAlignment="0" applyProtection="0"/>
    <xf numFmtId="0" fontId="5" fillId="33"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69" fillId="6"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5" fillId="34" borderId="0" applyNumberFormat="0" applyBorder="0" applyAlignment="0" applyProtection="0"/>
    <xf numFmtId="0" fontId="96" fillId="6" borderId="0" applyNumberFormat="0" applyBorder="0" applyAlignment="0" applyProtection="0"/>
    <xf numFmtId="0" fontId="5" fillId="34"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96" fillId="6" borderId="0" applyNumberFormat="0" applyBorder="0" applyAlignment="0" applyProtection="0"/>
    <xf numFmtId="0" fontId="5" fillId="34" borderId="0" applyNumberFormat="0" applyBorder="0" applyAlignment="0" applyProtection="0"/>
    <xf numFmtId="0" fontId="96" fillId="6" borderId="0" applyNumberFormat="0" applyBorder="0" applyAlignment="0" applyProtection="0"/>
    <xf numFmtId="0" fontId="5" fillId="34"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69" fillId="7"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5" fillId="35" borderId="0" applyNumberFormat="0" applyBorder="0" applyAlignment="0" applyProtection="0"/>
    <xf numFmtId="0" fontId="96" fillId="7" borderId="0" applyNumberFormat="0" applyBorder="0" applyAlignment="0" applyProtection="0"/>
    <xf numFmtId="0" fontId="5" fillId="35"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96" fillId="7" borderId="0" applyNumberFormat="0" applyBorder="0" applyAlignment="0" applyProtection="0"/>
    <xf numFmtId="0" fontId="5" fillId="35" borderId="0" applyNumberFormat="0" applyBorder="0" applyAlignment="0" applyProtection="0"/>
    <xf numFmtId="0" fontId="96" fillId="7" borderId="0" applyNumberFormat="0" applyBorder="0" applyAlignment="0" applyProtection="0"/>
    <xf numFmtId="0" fontId="5" fillId="35"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69" fillId="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5" fillId="36" borderId="0" applyNumberFormat="0" applyBorder="0" applyAlignment="0" applyProtection="0"/>
    <xf numFmtId="0" fontId="96" fillId="8" borderId="0" applyNumberFormat="0" applyBorder="0" applyAlignment="0" applyProtection="0"/>
    <xf numFmtId="0" fontId="5" fillId="36"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96" fillId="8" borderId="0" applyNumberFormat="0" applyBorder="0" applyAlignment="0" applyProtection="0"/>
    <xf numFmtId="0" fontId="5" fillId="36" borderId="0" applyNumberFormat="0" applyBorder="0" applyAlignment="0" applyProtection="0"/>
    <xf numFmtId="0" fontId="96" fillId="8" borderId="0" applyNumberFormat="0" applyBorder="0" applyAlignment="0" applyProtection="0"/>
    <xf numFmtId="0" fontId="5" fillId="36"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69" fillId="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5" fillId="37" borderId="0" applyNumberFormat="0" applyBorder="0" applyAlignment="0" applyProtection="0"/>
    <xf numFmtId="0" fontId="96" fillId="9" borderId="0" applyNumberFormat="0" applyBorder="0" applyAlignment="0" applyProtection="0"/>
    <xf numFmtId="0" fontId="5" fillId="37"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96" fillId="9" borderId="0" applyNumberFormat="0" applyBorder="0" applyAlignment="0" applyProtection="0"/>
    <xf numFmtId="0" fontId="5" fillId="37" borderId="0" applyNumberFormat="0" applyBorder="0" applyAlignment="0" applyProtection="0"/>
    <xf numFmtId="0" fontId="96" fillId="9" borderId="0" applyNumberFormat="0" applyBorder="0" applyAlignment="0" applyProtection="0"/>
    <xf numFmtId="0" fontId="5" fillId="37"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69" fillId="1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5" fillId="38" borderId="0" applyNumberFormat="0" applyBorder="0" applyAlignment="0" applyProtection="0"/>
    <xf numFmtId="0" fontId="96" fillId="10" borderId="0" applyNumberFormat="0" applyBorder="0" applyAlignment="0" applyProtection="0"/>
    <xf numFmtId="0" fontId="5" fillId="38"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96" fillId="10" borderId="0" applyNumberFormat="0" applyBorder="0" applyAlignment="0" applyProtection="0"/>
    <xf numFmtId="0" fontId="5" fillId="38" borderId="0" applyNumberFormat="0" applyBorder="0" applyAlignment="0" applyProtection="0"/>
    <xf numFmtId="0" fontId="96" fillId="10" borderId="0" applyNumberFormat="0" applyBorder="0" applyAlignment="0" applyProtection="0"/>
    <xf numFmtId="0" fontId="5" fillId="38"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69" fillId="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5" fillId="39" borderId="0" applyNumberFormat="0" applyBorder="0" applyAlignment="0" applyProtection="0"/>
    <xf numFmtId="0" fontId="96" fillId="5" borderId="0" applyNumberFormat="0" applyBorder="0" applyAlignment="0" applyProtection="0"/>
    <xf numFmtId="0" fontId="5" fillId="39"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96" fillId="5" borderId="0" applyNumberFormat="0" applyBorder="0" applyAlignment="0" applyProtection="0"/>
    <xf numFmtId="0" fontId="5" fillId="39" borderId="0" applyNumberFormat="0" applyBorder="0" applyAlignment="0" applyProtection="0"/>
    <xf numFmtId="0" fontId="96" fillId="5" borderId="0" applyNumberFormat="0" applyBorder="0" applyAlignment="0" applyProtection="0"/>
    <xf numFmtId="0" fontId="5" fillId="39"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69" fillId="8"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5" fillId="40" borderId="0" applyNumberFormat="0" applyBorder="0" applyAlignment="0" applyProtection="0"/>
    <xf numFmtId="0" fontId="96" fillId="8" borderId="0" applyNumberFormat="0" applyBorder="0" applyAlignment="0" applyProtection="0"/>
    <xf numFmtId="0" fontId="5" fillId="40"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96" fillId="8" borderId="0" applyNumberFormat="0" applyBorder="0" applyAlignment="0" applyProtection="0"/>
    <xf numFmtId="0" fontId="5" fillId="40" borderId="0" applyNumberFormat="0" applyBorder="0" applyAlignment="0" applyProtection="0"/>
    <xf numFmtId="0" fontId="96" fillId="8" borderId="0" applyNumberFormat="0" applyBorder="0" applyAlignment="0" applyProtection="0"/>
    <xf numFmtId="0" fontId="5" fillId="40"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69" fillId="1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5" fillId="41" borderId="0" applyNumberFormat="0" applyBorder="0" applyAlignment="0" applyProtection="0"/>
    <xf numFmtId="0" fontId="96" fillId="11" borderId="0" applyNumberFormat="0" applyBorder="0" applyAlignment="0" applyProtection="0"/>
    <xf numFmtId="0" fontId="5" fillId="4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96" fillId="11" borderId="0" applyNumberFormat="0" applyBorder="0" applyAlignment="0" applyProtection="0"/>
    <xf numFmtId="0" fontId="5" fillId="41" borderId="0" applyNumberFormat="0" applyBorder="0" applyAlignment="0" applyProtection="0"/>
    <xf numFmtId="0" fontId="96" fillId="11" borderId="0" applyNumberFormat="0" applyBorder="0" applyAlignment="0" applyProtection="0"/>
    <xf numFmtId="0" fontId="5" fillId="4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70" fillId="12" borderId="0" applyNumberFormat="0" applyBorder="0" applyAlignment="0" applyProtection="0"/>
    <xf numFmtId="0" fontId="97" fillId="12" borderId="0" applyNumberFormat="0" applyBorder="0" applyAlignment="0" applyProtection="0"/>
    <xf numFmtId="0" fontId="98" fillId="4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12"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70" fillId="9" borderId="0" applyNumberFormat="0" applyBorder="0" applyAlignment="0" applyProtection="0"/>
    <xf numFmtId="0" fontId="97" fillId="9" borderId="0" applyNumberFormat="0" applyBorder="0" applyAlignment="0" applyProtection="0"/>
    <xf numFmtId="0" fontId="98" fillId="43"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9"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70" fillId="10" borderId="0" applyNumberFormat="0" applyBorder="0" applyAlignment="0" applyProtection="0"/>
    <xf numFmtId="0" fontId="97" fillId="10" borderId="0" applyNumberFormat="0" applyBorder="0" applyAlignment="0" applyProtection="0"/>
    <xf numFmtId="0" fontId="98" fillId="44"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0"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70" fillId="13" borderId="0" applyNumberFormat="0" applyBorder="0" applyAlignment="0" applyProtection="0"/>
    <xf numFmtId="0" fontId="97" fillId="13" borderId="0" applyNumberFormat="0" applyBorder="0" applyAlignment="0" applyProtection="0"/>
    <xf numFmtId="0" fontId="98" fillId="45"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70" fillId="14" borderId="0" applyNumberFormat="0" applyBorder="0" applyAlignment="0" applyProtection="0"/>
    <xf numFmtId="0" fontId="97" fillId="14" borderId="0" applyNumberFormat="0" applyBorder="0" applyAlignment="0" applyProtection="0"/>
    <xf numFmtId="0" fontId="98" fillId="46"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70" fillId="15" borderId="0" applyNumberFormat="0" applyBorder="0" applyAlignment="0" applyProtection="0"/>
    <xf numFmtId="0" fontId="97" fillId="15" borderId="0" applyNumberFormat="0" applyBorder="0" applyAlignment="0" applyProtection="0"/>
    <xf numFmtId="0" fontId="98" fillId="47"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7" fillId="15" borderId="0" applyNumberFormat="0" applyBorder="0" applyAlignment="0" applyProtection="0"/>
    <xf numFmtId="0" fontId="96" fillId="48" borderId="0" applyNumberFormat="0" applyBorder="0" applyAlignment="0" applyProtection="0"/>
    <xf numFmtId="0" fontId="96" fillId="49" borderId="0" applyNumberFormat="0" applyBorder="0" applyAlignment="0" applyProtection="0"/>
    <xf numFmtId="0" fontId="97" fillId="50"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70" fillId="16" borderId="0" applyNumberFormat="0" applyBorder="0" applyAlignment="0" applyProtection="0"/>
    <xf numFmtId="0" fontId="97" fillId="16" borderId="0" applyNumberFormat="0" applyBorder="0" applyAlignment="0" applyProtection="0"/>
    <xf numFmtId="0" fontId="98" fillId="51"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8" fillId="51"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8" fillId="51" borderId="0" applyNumberFormat="0" applyBorder="0" applyAlignment="0" applyProtection="0"/>
    <xf numFmtId="0" fontId="98" fillId="51" borderId="0" applyNumberFormat="0" applyBorder="0" applyAlignment="0" applyProtection="0"/>
    <xf numFmtId="0" fontId="98" fillId="51"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8" fillId="51" borderId="0" applyNumberFormat="0" applyBorder="0" applyAlignment="0" applyProtection="0"/>
    <xf numFmtId="0" fontId="98" fillId="51" borderId="0" applyNumberFormat="0" applyBorder="0" applyAlignment="0" applyProtection="0"/>
    <xf numFmtId="0" fontId="98" fillId="51" borderId="0" applyNumberFormat="0" applyBorder="0" applyAlignment="0" applyProtection="0"/>
    <xf numFmtId="0" fontId="98" fillId="51" borderId="0" applyNumberFormat="0" applyBorder="0" applyAlignment="0" applyProtection="0"/>
    <xf numFmtId="0" fontId="98" fillId="51" borderId="0" applyNumberFormat="0" applyBorder="0" applyAlignment="0" applyProtection="0"/>
    <xf numFmtId="0" fontId="98" fillId="51" borderId="0" applyNumberFormat="0" applyBorder="0" applyAlignment="0" applyProtection="0"/>
    <xf numFmtId="0" fontId="98" fillId="51"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6" fillId="52" borderId="0" applyNumberFormat="0" applyBorder="0" applyAlignment="0" applyProtection="0"/>
    <xf numFmtId="0" fontId="96" fillId="53" borderId="0" applyNumberFormat="0" applyBorder="0" applyAlignment="0" applyProtection="0"/>
    <xf numFmtId="0" fontId="97" fillId="54"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70" fillId="17" borderId="0" applyNumberFormat="0" applyBorder="0" applyAlignment="0" applyProtection="0"/>
    <xf numFmtId="0" fontId="97" fillId="17" borderId="0" applyNumberFormat="0" applyBorder="0" applyAlignment="0" applyProtection="0"/>
    <xf numFmtId="0" fontId="98" fillId="55"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8" fillId="55"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8" fillId="55" borderId="0" applyNumberFormat="0" applyBorder="0" applyAlignment="0" applyProtection="0"/>
    <xf numFmtId="0" fontId="98" fillId="55" borderId="0" applyNumberFormat="0" applyBorder="0" applyAlignment="0" applyProtection="0"/>
    <xf numFmtId="0" fontId="98" fillId="55"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8" fillId="55" borderId="0" applyNumberFormat="0" applyBorder="0" applyAlignment="0" applyProtection="0"/>
    <xf numFmtId="0" fontId="98" fillId="55" borderId="0" applyNumberFormat="0" applyBorder="0" applyAlignment="0" applyProtection="0"/>
    <xf numFmtId="0" fontId="98" fillId="55" borderId="0" applyNumberFormat="0" applyBorder="0" applyAlignment="0" applyProtection="0"/>
    <xf numFmtId="0" fontId="98" fillId="55" borderId="0" applyNumberFormat="0" applyBorder="0" applyAlignment="0" applyProtection="0"/>
    <xf numFmtId="0" fontId="98" fillId="55" borderId="0" applyNumberFormat="0" applyBorder="0" applyAlignment="0" applyProtection="0"/>
    <xf numFmtId="0" fontId="98" fillId="55" borderId="0" applyNumberFormat="0" applyBorder="0" applyAlignment="0" applyProtection="0"/>
    <xf numFmtId="0" fontId="98" fillId="55"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7" fillId="17" borderId="0" applyNumberFormat="0" applyBorder="0" applyAlignment="0" applyProtection="0"/>
    <xf numFmtId="0" fontId="96" fillId="56" borderId="0" applyNumberFormat="0" applyBorder="0" applyAlignment="0" applyProtection="0"/>
    <xf numFmtId="0" fontId="96" fillId="57" borderId="0" applyNumberFormat="0" applyBorder="0" applyAlignment="0" applyProtection="0"/>
    <xf numFmtId="0" fontId="97" fillId="5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70" fillId="18" borderId="0" applyNumberFormat="0" applyBorder="0" applyAlignment="0" applyProtection="0"/>
    <xf numFmtId="0" fontId="97" fillId="18" borderId="0" applyNumberFormat="0" applyBorder="0" applyAlignment="0" applyProtection="0"/>
    <xf numFmtId="0" fontId="98" fillId="59"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8" fillId="59"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8" fillId="59" borderId="0" applyNumberFormat="0" applyBorder="0" applyAlignment="0" applyProtection="0"/>
    <xf numFmtId="0" fontId="98" fillId="59" borderId="0" applyNumberFormat="0" applyBorder="0" applyAlignment="0" applyProtection="0"/>
    <xf numFmtId="0" fontId="98" fillId="59"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8" fillId="59" borderId="0" applyNumberFormat="0" applyBorder="0" applyAlignment="0" applyProtection="0"/>
    <xf numFmtId="0" fontId="98" fillId="59" borderId="0" applyNumberFormat="0" applyBorder="0" applyAlignment="0" applyProtection="0"/>
    <xf numFmtId="0" fontId="98" fillId="59" borderId="0" applyNumberFormat="0" applyBorder="0" applyAlignment="0" applyProtection="0"/>
    <xf numFmtId="0" fontId="98" fillId="59" borderId="0" applyNumberFormat="0" applyBorder="0" applyAlignment="0" applyProtection="0"/>
    <xf numFmtId="0" fontId="98" fillId="59" borderId="0" applyNumberFormat="0" applyBorder="0" applyAlignment="0" applyProtection="0"/>
    <xf numFmtId="0" fontId="98" fillId="59" borderId="0" applyNumberFormat="0" applyBorder="0" applyAlignment="0" applyProtection="0"/>
    <xf numFmtId="0" fontId="98" fillId="59"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6" fillId="52" borderId="0" applyNumberFormat="0" applyBorder="0" applyAlignment="0" applyProtection="0"/>
    <xf numFmtId="0" fontId="96" fillId="60" borderId="0" applyNumberFormat="0" applyBorder="0" applyAlignment="0" applyProtection="0"/>
    <xf numFmtId="0" fontId="97" fillId="5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70" fillId="13" borderId="0" applyNumberFormat="0" applyBorder="0" applyAlignment="0" applyProtection="0"/>
    <xf numFmtId="0" fontId="97" fillId="13" borderId="0" applyNumberFormat="0" applyBorder="0" applyAlignment="0" applyProtection="0"/>
    <xf numFmtId="0" fontId="98" fillId="61"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8" fillId="61"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6" fillId="62" borderId="0" applyNumberFormat="0" applyBorder="0" applyAlignment="0" applyProtection="0"/>
    <xf numFmtId="0" fontId="96" fillId="63" borderId="0" applyNumberFormat="0" applyBorder="0" applyAlignment="0" applyProtection="0"/>
    <xf numFmtId="0" fontId="97" fillId="50"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70" fillId="14" borderId="0" applyNumberFormat="0" applyBorder="0" applyAlignment="0" applyProtection="0"/>
    <xf numFmtId="0" fontId="97" fillId="14" borderId="0" applyNumberFormat="0" applyBorder="0" applyAlignment="0" applyProtection="0"/>
    <xf numFmtId="0" fontId="98" fillId="6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8" fillId="6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8" fillId="6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6" fillId="65" borderId="0" applyNumberFormat="0" applyBorder="0" applyAlignment="0" applyProtection="0"/>
    <xf numFmtId="0" fontId="96" fillId="66" borderId="0" applyNumberFormat="0" applyBorder="0" applyAlignment="0" applyProtection="0"/>
    <xf numFmtId="0" fontId="97" fillId="67"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70" fillId="19" borderId="0" applyNumberFormat="0" applyBorder="0" applyAlignment="0" applyProtection="0"/>
    <xf numFmtId="0" fontId="97" fillId="19" borderId="0" applyNumberFormat="0" applyBorder="0" applyAlignment="0" applyProtection="0"/>
    <xf numFmtId="0" fontId="98" fillId="68"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8" fillId="68"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7" fillId="19"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71" fillId="3" borderId="0" applyNumberFormat="0" applyBorder="0" applyAlignment="0" applyProtection="0"/>
    <xf numFmtId="0" fontId="99" fillId="3" borderId="0" applyNumberFormat="0" applyBorder="0" applyAlignment="0" applyProtection="0"/>
    <xf numFmtId="0" fontId="100" fillId="69"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72" fillId="20" borderId="1" applyNumberFormat="0" applyAlignment="0" applyProtection="0"/>
    <xf numFmtId="0" fontId="101" fillId="20" borderId="1" applyNumberFormat="0" applyAlignment="0" applyProtection="0"/>
    <xf numFmtId="0" fontId="102" fillId="70" borderId="33"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73" fillId="21" borderId="2" applyNumberFormat="0" applyAlignment="0" applyProtection="0"/>
    <xf numFmtId="0" fontId="103" fillId="21" borderId="2" applyNumberFormat="0" applyAlignment="0" applyProtection="0"/>
    <xf numFmtId="0" fontId="104" fillId="71" borderId="34"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0" fontId="103" fillId="21" borderId="2" applyNumberFormat="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6" fillId="0" borderId="0" applyFont="0" applyFill="0" applyBorder="0" applyAlignment="0" applyProtection="0"/>
    <xf numFmtId="43" fontId="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6" fillId="0" borderId="0" applyFont="0" applyFill="0" applyBorder="0" applyAlignment="0" applyProtection="0"/>
    <xf numFmtId="43" fontId="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6" fillId="0" borderId="0" applyFont="0" applyFill="0" applyBorder="0" applyAlignment="0" applyProtection="0"/>
    <xf numFmtId="43" fontId="106" fillId="0" borderId="0" applyFont="0" applyFill="0" applyBorder="0" applyAlignment="0" applyProtection="0"/>
    <xf numFmtId="43" fontId="96" fillId="0" borderId="0" applyFont="0" applyFill="0" applyBorder="0" applyAlignment="0" applyProtection="0"/>
    <xf numFmtId="43" fontId="10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106" fillId="0" borderId="0" applyFont="0" applyFill="0" applyBorder="0" applyAlignment="0" applyProtection="0"/>
    <xf numFmtId="43"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07" fillId="72" borderId="0" applyNumberFormat="0" applyBorder="0" applyAlignment="0" applyProtection="0"/>
    <xf numFmtId="0" fontId="107" fillId="73" borderId="0" applyNumberFormat="0" applyBorder="0" applyAlignment="0" applyProtection="0"/>
    <xf numFmtId="0" fontId="107" fillId="74" borderId="0" applyNumberFormat="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74"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75" fillId="4" borderId="0" applyNumberFormat="0" applyBorder="0" applyAlignment="0" applyProtection="0"/>
    <xf numFmtId="0" fontId="110" fillId="4" borderId="0" applyNumberFormat="0" applyBorder="0" applyAlignment="0" applyProtection="0"/>
    <xf numFmtId="0" fontId="111" fillId="75"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76" fillId="0" borderId="3" applyNumberFormat="0" applyFill="0" applyAlignment="0" applyProtection="0"/>
    <xf numFmtId="0" fontId="112" fillId="0" borderId="3" applyNumberFormat="0" applyFill="0" applyAlignment="0" applyProtection="0"/>
    <xf numFmtId="0" fontId="113" fillId="0" borderId="35"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2" fillId="0" borderId="3"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77" fillId="0" borderId="4" applyNumberFormat="0" applyFill="0" applyAlignment="0" applyProtection="0"/>
    <xf numFmtId="0" fontId="114" fillId="0" borderId="4" applyNumberFormat="0" applyFill="0" applyAlignment="0" applyProtection="0"/>
    <xf numFmtId="0" fontId="115" fillId="0" borderId="36"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4" fillId="0" borderId="4"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78" fillId="0" borderId="5" applyNumberFormat="0" applyFill="0" applyAlignment="0" applyProtection="0"/>
    <xf numFmtId="0" fontId="116" fillId="0" borderId="5" applyNumberFormat="0" applyFill="0" applyAlignment="0" applyProtection="0"/>
    <xf numFmtId="0" fontId="117" fillId="0" borderId="37"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5"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78"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79" fillId="7" borderId="1" applyNumberFormat="0" applyAlignment="0" applyProtection="0"/>
    <xf numFmtId="0" fontId="119" fillId="7" borderId="1" applyNumberFormat="0" applyAlignment="0" applyProtection="0"/>
    <xf numFmtId="0" fontId="120" fillId="76" borderId="33"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19" fillId="7" borderId="1" applyNumberFormat="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80" fillId="0" borderId="6" applyNumberFormat="0" applyFill="0" applyAlignment="0" applyProtection="0"/>
    <xf numFmtId="0" fontId="121" fillId="0" borderId="6" applyNumberFormat="0" applyFill="0" applyAlignment="0" applyProtection="0"/>
    <xf numFmtId="0" fontId="122" fillId="0" borderId="38"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81" fillId="22" borderId="0" applyNumberFormat="0" applyBorder="0" applyAlignment="0" applyProtection="0"/>
    <xf numFmtId="0" fontId="123" fillId="22" borderId="0" applyNumberFormat="0" applyBorder="0" applyAlignment="0" applyProtection="0"/>
    <xf numFmtId="0" fontId="124" fillId="77"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0" fontId="123" fillId="22" borderId="0" applyNumberFormat="0" applyBorder="0" applyAlignment="0" applyProtection="0"/>
    <xf numFmtId="37" fontId="125" fillId="0" borderId="0"/>
    <xf numFmtId="0" fontId="106" fillId="0" borderId="0"/>
    <xf numFmtId="0" fontId="6" fillId="0" borderId="0"/>
    <xf numFmtId="0" fontId="6" fillId="0" borderId="0"/>
    <xf numFmtId="0" fontId="6" fillId="0" borderId="0"/>
    <xf numFmtId="0" fontId="6" fillId="0" borderId="0"/>
    <xf numFmtId="0" fontId="6" fillId="0" borderId="0"/>
    <xf numFmtId="0" fontId="6" fillId="0" borderId="0"/>
    <xf numFmtId="0" fontId="106" fillId="0" borderId="0"/>
    <xf numFmtId="0" fontId="10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37"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xf numFmtId="0" fontId="6" fillId="0" borderId="0"/>
    <xf numFmtId="0" fontId="96" fillId="0" borderId="0"/>
    <xf numFmtId="0" fontId="106" fillId="0" borderId="0"/>
    <xf numFmtId="0" fontId="6" fillId="0" borderId="0"/>
    <xf numFmtId="0" fontId="6"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96" fillId="0" borderId="0"/>
    <xf numFmtId="0" fontId="6" fillId="0" borderId="0"/>
    <xf numFmtId="0" fontId="6" fillId="0" borderId="0"/>
    <xf numFmtId="0" fontId="6" fillId="0" borderId="0"/>
    <xf numFmtId="0" fontId="6" fillId="0" borderId="0"/>
    <xf numFmtId="0" fontId="83" fillId="0" borderId="0"/>
    <xf numFmtId="0" fontId="6" fillId="0" borderId="0"/>
    <xf numFmtId="0" fontId="6" fillId="0" borderId="0"/>
    <xf numFmtId="0" fontId="6" fillId="0" borderId="0"/>
    <xf numFmtId="37" fontId="10" fillId="0" borderId="0"/>
    <xf numFmtId="37" fontId="10" fillId="0" borderId="0"/>
    <xf numFmtId="0" fontId="6" fillId="0" borderId="0"/>
    <xf numFmtId="37"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xf numFmtId="0" fontId="6" fillId="0" borderId="0"/>
    <xf numFmtId="0" fontId="6" fillId="0" borderId="0"/>
    <xf numFmtId="0" fontId="9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6" fillId="0" borderId="0"/>
    <xf numFmtId="0" fontId="6" fillId="0" borderId="0"/>
    <xf numFmtId="0" fontId="12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9"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96" fillId="78" borderId="39" applyNumberFormat="0" applyFont="0" applyAlignment="0" applyProtection="0"/>
    <xf numFmtId="0" fontId="96" fillId="78" borderId="39"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96" fillId="78" borderId="39"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78" borderId="39" applyNumberFormat="0" applyFont="0" applyAlignment="0" applyProtection="0"/>
    <xf numFmtId="0" fontId="96" fillId="78" borderId="39"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96" fillId="78" borderId="39"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82" fillId="20" borderId="8" applyNumberFormat="0" applyAlignment="0" applyProtection="0"/>
    <xf numFmtId="0" fontId="127" fillId="20" borderId="8" applyNumberFormat="0" applyAlignment="0" applyProtection="0"/>
    <xf numFmtId="0" fontId="128" fillId="70" borderId="40"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0" fontId="127" fillId="20" borderId="8" applyNumberFormat="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6" fillId="0" borderId="0" applyFont="0" applyFill="0" applyBorder="0" applyAlignment="0" applyProtection="0"/>
    <xf numFmtId="9" fontId="9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6" fillId="0" borderId="0" applyFont="0" applyBorder="0" applyAlignment="0" applyProtection="0"/>
    <xf numFmtId="10" fontId="6" fillId="0" borderId="0" applyFont="0" applyBorder="0" applyAlignment="0" applyProtection="0"/>
    <xf numFmtId="10" fontId="6" fillId="0" borderId="0" applyFont="0" applyBorder="0" applyAlignment="0" applyProtection="0"/>
    <xf numFmtId="10" fontId="6" fillId="0" borderId="0" applyFont="0" applyBorder="0" applyAlignment="0" applyProtection="0"/>
    <xf numFmtId="10" fontId="6" fillId="0" borderId="0" applyFont="0" applyBorder="0" applyAlignment="0" applyProtection="0"/>
    <xf numFmtId="10" fontId="6" fillId="0" borderId="0" applyFont="0" applyBorder="0" applyAlignment="0" applyProtection="0"/>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129" fillId="0" borderId="41"/>
    <xf numFmtId="0" fontId="129" fillId="0" borderId="41"/>
    <xf numFmtId="0" fontId="129" fillId="0" borderId="41"/>
    <xf numFmtId="0" fontId="129" fillId="0" borderId="41"/>
    <xf numFmtId="0" fontId="129" fillId="0" borderId="41"/>
    <xf numFmtId="180" fontId="130" fillId="0" borderId="0" applyFont="0" applyBorder="0" applyAlignment="0" applyProtection="0"/>
    <xf numFmtId="4" fontId="106" fillId="25" borderId="8" applyNumberFormat="0" applyProtection="0">
      <alignment vertical="center"/>
    </xf>
    <xf numFmtId="4" fontId="131" fillId="25" borderId="8" applyNumberFormat="0" applyProtection="0">
      <alignment vertical="center"/>
    </xf>
    <xf numFmtId="4" fontId="106" fillId="25" borderId="8" applyNumberFormat="0" applyProtection="0">
      <alignment horizontal="left" vertical="center" indent="1"/>
    </xf>
    <xf numFmtId="4" fontId="106" fillId="25" borderId="8"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4" fontId="106" fillId="80" borderId="8" applyNumberFormat="0" applyProtection="0">
      <alignment horizontal="right" vertical="center"/>
    </xf>
    <xf numFmtId="4" fontId="106" fillId="81" borderId="8" applyNumberFormat="0" applyProtection="0">
      <alignment horizontal="right" vertical="center"/>
    </xf>
    <xf numFmtId="4" fontId="106" fillId="82" borderId="8" applyNumberFormat="0" applyProtection="0">
      <alignment horizontal="right" vertical="center"/>
    </xf>
    <xf numFmtId="4" fontId="106" fillId="83" borderId="8" applyNumberFormat="0" applyProtection="0">
      <alignment horizontal="right" vertical="center"/>
    </xf>
    <xf numFmtId="4" fontId="106" fillId="84" borderId="8" applyNumberFormat="0" applyProtection="0">
      <alignment horizontal="right" vertical="center"/>
    </xf>
    <xf numFmtId="4" fontId="106" fillId="85" borderId="8" applyNumberFormat="0" applyProtection="0">
      <alignment horizontal="right" vertical="center"/>
    </xf>
    <xf numFmtId="4" fontId="106" fillId="86" borderId="8" applyNumberFormat="0" applyProtection="0">
      <alignment horizontal="right" vertical="center"/>
    </xf>
    <xf numFmtId="4" fontId="106" fillId="87" borderId="8" applyNumberFormat="0" applyProtection="0">
      <alignment horizontal="right" vertical="center"/>
    </xf>
    <xf numFmtId="4" fontId="106" fillId="88" borderId="8" applyNumberFormat="0" applyProtection="0">
      <alignment horizontal="right" vertical="center"/>
    </xf>
    <xf numFmtId="4" fontId="132" fillId="89" borderId="8" applyNumberFormat="0" applyProtection="0">
      <alignment horizontal="left" vertical="center" indent="1"/>
    </xf>
    <xf numFmtId="4" fontId="106" fillId="90" borderId="42" applyNumberFormat="0" applyProtection="0">
      <alignment horizontal="left" vertical="center" indent="1"/>
    </xf>
    <xf numFmtId="4" fontId="133" fillId="91" borderId="0" applyNumberFormat="0" applyProtection="0">
      <alignment horizontal="left" vertical="center" indent="1"/>
    </xf>
    <xf numFmtId="4" fontId="133" fillId="91" borderId="0"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4" fontId="106" fillId="90" borderId="8" applyNumberFormat="0" applyProtection="0">
      <alignment horizontal="left" vertical="center" indent="1"/>
    </xf>
    <xf numFmtId="4" fontId="106" fillId="90" borderId="8" applyNumberFormat="0" applyProtection="0">
      <alignment horizontal="left" vertical="center" indent="1"/>
    </xf>
    <xf numFmtId="4" fontId="106" fillId="90" borderId="8" applyNumberFormat="0" applyProtection="0">
      <alignment horizontal="left" vertical="center" indent="1"/>
    </xf>
    <xf numFmtId="4" fontId="106" fillId="90" borderId="8" applyNumberFormat="0" applyProtection="0">
      <alignment horizontal="left" vertical="center" indent="1"/>
    </xf>
    <xf numFmtId="4" fontId="106" fillId="92" borderId="8" applyNumberFormat="0" applyProtection="0">
      <alignment horizontal="left" vertical="center" indent="1"/>
    </xf>
    <xf numFmtId="4" fontId="106" fillId="92" borderId="8" applyNumberFormat="0" applyProtection="0">
      <alignment horizontal="left" vertical="center" indent="1"/>
    </xf>
    <xf numFmtId="4" fontId="106" fillId="92" borderId="8" applyNumberFormat="0" applyProtection="0">
      <alignment horizontal="left" vertical="center" indent="1"/>
    </xf>
    <xf numFmtId="4" fontId="106" fillId="92" borderId="8" applyNumberFormat="0" applyProtection="0">
      <alignment horizontal="left" vertical="center" indent="1"/>
    </xf>
    <xf numFmtId="0" fontId="6" fillId="92" borderId="8" applyNumberFormat="0" applyProtection="0">
      <alignment horizontal="left" vertical="center" indent="1"/>
    </xf>
    <xf numFmtId="0" fontId="6" fillId="92" borderId="8" applyNumberFormat="0" applyProtection="0">
      <alignment horizontal="left" vertical="center" indent="1"/>
    </xf>
    <xf numFmtId="0" fontId="6" fillId="92" borderId="8" applyNumberFormat="0" applyProtection="0">
      <alignment horizontal="left" vertical="center" indent="1"/>
    </xf>
    <xf numFmtId="0" fontId="6" fillId="92" borderId="8" applyNumberFormat="0" applyProtection="0">
      <alignment horizontal="left" vertical="center" indent="1"/>
    </xf>
    <xf numFmtId="0" fontId="6" fillId="92" borderId="8" applyNumberFormat="0" applyProtection="0">
      <alignment horizontal="left" vertical="center" indent="1"/>
    </xf>
    <xf numFmtId="0" fontId="6" fillId="92" borderId="8" applyNumberFormat="0" applyProtection="0">
      <alignment horizontal="left" vertical="center" indent="1"/>
    </xf>
    <xf numFmtId="0" fontId="6" fillId="92" borderId="8" applyNumberFormat="0" applyProtection="0">
      <alignment horizontal="left" vertical="center" indent="1"/>
    </xf>
    <xf numFmtId="0" fontId="6" fillId="92" borderId="8" applyNumberFormat="0" applyProtection="0">
      <alignment horizontal="left" vertical="center" indent="1"/>
    </xf>
    <xf numFmtId="0" fontId="6" fillId="92" borderId="8" applyNumberFormat="0" applyProtection="0">
      <alignment horizontal="left" vertical="center" indent="1"/>
    </xf>
    <xf numFmtId="0" fontId="6" fillId="92" borderId="8" applyNumberFormat="0" applyProtection="0">
      <alignment horizontal="left" vertical="center" indent="1"/>
    </xf>
    <xf numFmtId="0" fontId="6" fillId="92" borderId="8" applyNumberFormat="0" applyProtection="0">
      <alignment horizontal="left" vertical="center" indent="1"/>
    </xf>
    <xf numFmtId="0" fontId="6" fillId="92" borderId="8" applyNumberFormat="0" applyProtection="0">
      <alignment horizontal="left" vertical="center" indent="1"/>
    </xf>
    <xf numFmtId="0" fontId="6" fillId="93" borderId="8" applyNumberFormat="0" applyProtection="0">
      <alignment horizontal="left" vertical="center" indent="1"/>
    </xf>
    <xf numFmtId="0" fontId="6" fillId="93" borderId="8" applyNumberFormat="0" applyProtection="0">
      <alignment horizontal="left" vertical="center" indent="1"/>
    </xf>
    <xf numFmtId="0" fontId="6" fillId="93" borderId="8" applyNumberFormat="0" applyProtection="0">
      <alignment horizontal="left" vertical="center" indent="1"/>
    </xf>
    <xf numFmtId="0" fontId="6" fillId="93" borderId="8" applyNumberFormat="0" applyProtection="0">
      <alignment horizontal="left" vertical="center" indent="1"/>
    </xf>
    <xf numFmtId="0" fontId="6" fillId="93" borderId="8" applyNumberFormat="0" applyProtection="0">
      <alignment horizontal="left" vertical="center" indent="1"/>
    </xf>
    <xf numFmtId="0" fontId="6" fillId="93" borderId="8" applyNumberFormat="0" applyProtection="0">
      <alignment horizontal="left" vertical="center" indent="1"/>
    </xf>
    <xf numFmtId="0" fontId="6" fillId="93" borderId="8" applyNumberFormat="0" applyProtection="0">
      <alignment horizontal="left" vertical="center" indent="1"/>
    </xf>
    <xf numFmtId="0" fontId="6" fillId="93" borderId="8" applyNumberFormat="0" applyProtection="0">
      <alignment horizontal="left" vertical="center" indent="1"/>
    </xf>
    <xf numFmtId="0" fontId="6" fillId="93" borderId="8" applyNumberFormat="0" applyProtection="0">
      <alignment horizontal="left" vertical="center" indent="1"/>
    </xf>
    <xf numFmtId="0" fontId="6" fillId="93" borderId="8" applyNumberFormat="0" applyProtection="0">
      <alignment horizontal="left" vertical="center" indent="1"/>
    </xf>
    <xf numFmtId="0" fontId="6" fillId="93" borderId="8" applyNumberFormat="0" applyProtection="0">
      <alignment horizontal="left" vertical="center" indent="1"/>
    </xf>
    <xf numFmtId="0" fontId="6" fillId="93" borderId="8" applyNumberFormat="0" applyProtection="0">
      <alignment horizontal="left" vertical="center" indent="1"/>
    </xf>
    <xf numFmtId="0" fontId="6" fillId="94" borderId="8" applyNumberFormat="0" applyProtection="0">
      <alignment horizontal="left" vertical="center" indent="1"/>
    </xf>
    <xf numFmtId="0" fontId="6" fillId="94" borderId="8" applyNumberFormat="0" applyProtection="0">
      <alignment horizontal="left" vertical="center" indent="1"/>
    </xf>
    <xf numFmtId="0" fontId="6" fillId="94" borderId="8" applyNumberFormat="0" applyProtection="0">
      <alignment horizontal="left" vertical="center" indent="1"/>
    </xf>
    <xf numFmtId="0" fontId="6" fillId="94" borderId="8" applyNumberFormat="0" applyProtection="0">
      <alignment horizontal="left" vertical="center" indent="1"/>
    </xf>
    <xf numFmtId="0" fontId="6" fillId="94" borderId="8" applyNumberFormat="0" applyProtection="0">
      <alignment horizontal="left" vertical="center" indent="1"/>
    </xf>
    <xf numFmtId="0" fontId="6" fillId="94" borderId="8" applyNumberFormat="0" applyProtection="0">
      <alignment horizontal="left" vertical="center" indent="1"/>
    </xf>
    <xf numFmtId="0" fontId="6" fillId="94" borderId="8" applyNumberFormat="0" applyProtection="0">
      <alignment horizontal="left" vertical="center" indent="1"/>
    </xf>
    <xf numFmtId="0" fontId="6" fillId="94" borderId="8" applyNumberFormat="0" applyProtection="0">
      <alignment horizontal="left" vertical="center" indent="1"/>
    </xf>
    <xf numFmtId="0" fontId="6" fillId="94" borderId="8" applyNumberFormat="0" applyProtection="0">
      <alignment horizontal="left" vertical="center" indent="1"/>
    </xf>
    <xf numFmtId="0" fontId="6" fillId="94" borderId="8" applyNumberFormat="0" applyProtection="0">
      <alignment horizontal="left" vertical="center" indent="1"/>
    </xf>
    <xf numFmtId="0" fontId="6" fillId="94" borderId="8" applyNumberFormat="0" applyProtection="0">
      <alignment horizontal="left" vertical="center" indent="1"/>
    </xf>
    <xf numFmtId="0" fontId="6" fillId="94" borderId="8"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0" fontId="91" fillId="95" borderId="43" applyNumberFormat="0">
      <protection locked="0"/>
    </xf>
    <xf numFmtId="0" fontId="134" fillId="96" borderId="44" applyBorder="0"/>
    <xf numFmtId="4" fontId="106" fillId="97" borderId="8" applyNumberFormat="0" applyProtection="0">
      <alignment vertical="center"/>
    </xf>
    <xf numFmtId="4" fontId="131" fillId="97" borderId="8" applyNumberFormat="0" applyProtection="0">
      <alignment vertical="center"/>
    </xf>
    <xf numFmtId="4" fontId="106" fillId="97" borderId="8" applyNumberFormat="0" applyProtection="0">
      <alignment horizontal="left" vertical="center" indent="1"/>
    </xf>
    <xf numFmtId="4" fontId="106" fillId="97" borderId="8" applyNumberFormat="0" applyProtection="0">
      <alignment horizontal="left" vertical="center" indent="1"/>
    </xf>
    <xf numFmtId="4" fontId="106" fillId="90" borderId="8" applyNumberFormat="0" applyProtection="0">
      <alignment horizontal="right" vertical="center"/>
    </xf>
    <xf numFmtId="4" fontId="131" fillId="90" borderId="8" applyNumberFormat="0" applyProtection="0">
      <alignment horizontal="right" vertical="center"/>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0" fontId="6" fillId="79" borderId="8" applyNumberFormat="0" applyProtection="0">
      <alignment horizontal="left" vertical="center" indent="1"/>
    </xf>
    <xf numFmtId="0" fontId="135" fillId="0" borderId="0"/>
    <xf numFmtId="0" fontId="91" fillId="99" borderId="26"/>
    <xf numFmtId="4" fontId="9" fillId="90" borderId="8" applyNumberFormat="0" applyProtection="0">
      <alignment horizontal="right" vertical="center"/>
    </xf>
    <xf numFmtId="0" fontId="136" fillId="0" borderId="0" applyNumberFormat="0" applyFill="0" applyBorder="0" applyAlignment="0" applyProtection="0"/>
    <xf numFmtId="177" fontId="6" fillId="0" borderId="0">
      <alignment horizontal="left" wrapText="1"/>
    </xf>
    <xf numFmtId="177" fontId="6" fillId="0" borderId="0">
      <alignment horizontal="left" wrapText="1"/>
    </xf>
    <xf numFmtId="177" fontId="6" fillId="0" borderId="0">
      <alignment horizontal="left" wrapText="1"/>
    </xf>
    <xf numFmtId="177" fontId="6" fillId="0" borderId="0">
      <alignment horizontal="left" wrapText="1"/>
    </xf>
    <xf numFmtId="177" fontId="6" fillId="0" borderId="0">
      <alignment horizontal="left" wrapText="1"/>
    </xf>
    <xf numFmtId="177" fontId="6" fillId="0" borderId="0">
      <alignment horizontal="left" wrapText="1"/>
    </xf>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37" fillId="0" borderId="0" applyNumberFormat="0" applyBorder="0" applyAlignment="0"/>
    <xf numFmtId="0" fontId="138" fillId="0" borderId="0" applyNumberFormat="0" applyBorder="0" applyAlignment="0"/>
    <xf numFmtId="0" fontId="139" fillId="0" borderId="0" applyNumberFormat="0" applyBorder="0" applyAlignment="0"/>
    <xf numFmtId="0" fontId="137" fillId="0" borderId="0" applyNumberFormat="0" applyBorder="0" applyAlignment="0"/>
    <xf numFmtId="0" fontId="140" fillId="0" borderId="46"/>
    <xf numFmtId="0" fontId="140" fillId="0" borderId="46"/>
    <xf numFmtId="0" fontId="140" fillId="0" borderId="46"/>
    <xf numFmtId="0" fontId="140" fillId="0" borderId="46"/>
    <xf numFmtId="0" fontId="140" fillId="0" borderId="46"/>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41"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86" fillId="0" borderId="10" applyNumberFormat="0" applyFill="0" applyAlignment="0" applyProtection="0"/>
    <xf numFmtId="0" fontId="107" fillId="0" borderId="10" applyNumberFormat="0" applyFill="0" applyAlignment="0" applyProtection="0"/>
    <xf numFmtId="0" fontId="142" fillId="0" borderId="47"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87"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41" fontId="6" fillId="0" borderId="0" applyFont="0" applyFill="0" applyBorder="0" applyAlignment="0" applyProtection="0"/>
    <xf numFmtId="41" fontId="4"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0" fontId="118"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0" fontId="83" fillId="0" borderId="0" applyNumberFormat="0" applyFont="0" applyFill="0" applyBorder="0" applyAlignment="0" applyProtection="0">
      <alignment horizontal="left"/>
    </xf>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15"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4" fontId="83" fillId="0" borderId="0" applyFont="0" applyFill="0" applyBorder="0" applyAlignment="0" applyProtection="0"/>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0" fontId="84" fillId="0" borderId="9">
      <alignment horizontal="center"/>
    </xf>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83" fillId="24" borderId="0" applyNumberFormat="0" applyFont="0" applyBorder="0" applyAlignment="0" applyProtection="0"/>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129" fillId="0" borderId="41"/>
    <xf numFmtId="0" fontId="6" fillId="0" borderId="0" applyNumberFormat="0" applyFill="0" applyBorder="0" applyAlignment="0" applyProtection="0"/>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4" fontId="133" fillId="98" borderId="45" applyNumberFormat="0" applyProtection="0">
      <alignment horizontal="left" vertical="center" indent="1"/>
    </xf>
    <xf numFmtId="0" fontId="135" fillId="0" borderId="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45" fillId="0" borderId="0" applyNumberFormat="0" applyBorder="0" applyAlignment="0"/>
    <xf numFmtId="0" fontId="146" fillId="0" borderId="0" applyNumberFormat="0" applyBorder="0" applyAlignment="0"/>
    <xf numFmtId="0" fontId="140" fillId="0" borderId="46"/>
    <xf numFmtId="0" fontId="140" fillId="0" borderId="46"/>
    <xf numFmtId="0" fontId="140" fillId="0" borderId="46"/>
    <xf numFmtId="0" fontId="140" fillId="0" borderId="46"/>
    <xf numFmtId="0" fontId="140" fillId="0" borderId="46"/>
    <xf numFmtId="0" fontId="140" fillId="0" borderId="46"/>
    <xf numFmtId="0" fontId="140" fillId="0" borderId="46"/>
    <xf numFmtId="0" fontId="140" fillId="0" borderId="46"/>
    <xf numFmtId="0" fontId="140" fillId="0" borderId="46"/>
    <xf numFmtId="0" fontId="140" fillId="0" borderId="46"/>
    <xf numFmtId="0" fontId="140" fillId="0" borderId="46"/>
    <xf numFmtId="0" fontId="140" fillId="0" borderId="46"/>
    <xf numFmtId="0" fontId="140" fillId="0" borderId="46"/>
    <xf numFmtId="0" fontId="140" fillId="0" borderId="46"/>
    <xf numFmtId="0" fontId="140" fillId="0" borderId="46"/>
    <xf numFmtId="0" fontId="140" fillId="0" borderId="46"/>
    <xf numFmtId="0" fontId="140" fillId="0" borderId="46"/>
    <xf numFmtId="0" fontId="140" fillId="0" borderId="46"/>
    <xf numFmtId="0" fontId="140" fillId="0" borderId="46"/>
    <xf numFmtId="0" fontId="140" fillId="0" borderId="46"/>
    <xf numFmtId="0" fontId="140" fillId="0" borderId="46"/>
    <xf numFmtId="0" fontId="6" fillId="0" borderId="0"/>
    <xf numFmtId="0" fontId="6" fillId="0" borderId="0"/>
    <xf numFmtId="0" fontId="6" fillId="0" borderId="0"/>
    <xf numFmtId="0" fontId="140" fillId="0" borderId="46"/>
    <xf numFmtId="0" fontId="140" fillId="0" borderId="46"/>
    <xf numFmtId="0" fontId="6" fillId="0" borderId="0"/>
    <xf numFmtId="0" fontId="140" fillId="0" borderId="46"/>
    <xf numFmtId="0" fontId="140" fillId="0" borderId="46"/>
    <xf numFmtId="0" fontId="6" fillId="0" borderId="0"/>
    <xf numFmtId="0" fontId="6" fillId="0" borderId="0"/>
    <xf numFmtId="0" fontId="6" fillId="0" borderId="0"/>
    <xf numFmtId="0" fontId="140" fillId="0" borderId="46"/>
    <xf numFmtId="0" fontId="140" fillId="0" borderId="46"/>
    <xf numFmtId="0" fontId="6" fillId="0" borderId="0"/>
    <xf numFmtId="0" fontId="140" fillId="0" borderId="46"/>
    <xf numFmtId="0" fontId="140" fillId="0" borderId="46"/>
    <xf numFmtId="0" fontId="6" fillId="0" borderId="0"/>
    <xf numFmtId="0" fontId="6" fillId="0" borderId="0"/>
    <xf numFmtId="0" fontId="6" fillId="0" borderId="0"/>
    <xf numFmtId="0" fontId="140" fillId="0" borderId="46"/>
    <xf numFmtId="0" fontId="140" fillId="0" borderId="46"/>
    <xf numFmtId="0" fontId="6" fillId="0" borderId="0"/>
    <xf numFmtId="0" fontId="140" fillId="0" borderId="46"/>
    <xf numFmtId="0" fontId="140" fillId="0" borderId="46"/>
    <xf numFmtId="0" fontId="6" fillId="0" borderId="0"/>
    <xf numFmtId="0" fontId="6" fillId="0" borderId="0"/>
    <xf numFmtId="0" fontId="6" fillId="0" borderId="0"/>
    <xf numFmtId="0" fontId="140" fillId="0" borderId="46"/>
    <xf numFmtId="0" fontId="140" fillId="0" borderId="46"/>
    <xf numFmtId="0" fontId="6" fillId="0" borderId="0"/>
    <xf numFmtId="0" fontId="140" fillId="0" borderId="46"/>
    <xf numFmtId="0" fontId="140" fillId="0" borderId="46"/>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140" fillId="0" borderId="46"/>
    <xf numFmtId="0" fontId="6" fillId="0" borderId="0"/>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6" fillId="0" borderId="0"/>
    <xf numFmtId="0" fontId="140" fillId="0" borderId="46"/>
    <xf numFmtId="0" fontId="6" fillId="0" borderId="0"/>
    <xf numFmtId="0" fontId="140" fillId="0" borderId="46"/>
    <xf numFmtId="0" fontId="6" fillId="0" borderId="0"/>
    <xf numFmtId="0" fontId="140" fillId="0" borderId="46"/>
    <xf numFmtId="0" fontId="6" fillId="0" borderId="0"/>
    <xf numFmtId="0" fontId="140" fillId="0" borderId="46"/>
    <xf numFmtId="0" fontId="85" fillId="0" borderId="0" applyNumberFormat="0" applyFill="0" applyBorder="0" applyAlignment="0" applyProtection="0"/>
    <xf numFmtId="0" fontId="147"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2" fillId="0" borderId="0"/>
    <xf numFmtId="0" fontId="69" fillId="2" borderId="0" applyNumberFormat="0" applyBorder="0" applyAlignment="0" applyProtection="0"/>
    <xf numFmtId="0" fontId="69" fillId="3" borderId="0" applyNumberFormat="0" applyBorder="0" applyAlignment="0" applyProtection="0"/>
    <xf numFmtId="0" fontId="69" fillId="4" borderId="0" applyNumberFormat="0" applyBorder="0" applyAlignment="0" applyProtection="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5" borderId="0" applyNumberFormat="0" applyBorder="0" applyAlignment="0" applyProtection="0"/>
    <xf numFmtId="0" fontId="69" fillId="8" borderId="0" applyNumberFormat="0" applyBorder="0" applyAlignment="0" applyProtection="0"/>
    <xf numFmtId="0" fontId="69" fillId="11" borderId="0" applyNumberFormat="0" applyBorder="0" applyAlignment="0" applyProtection="0"/>
    <xf numFmtId="0" fontId="70" fillId="12" borderId="0" applyNumberFormat="0" applyBorder="0" applyAlignment="0" applyProtection="0"/>
    <xf numFmtId="0" fontId="70" fillId="9" borderId="0" applyNumberFormat="0" applyBorder="0" applyAlignment="0" applyProtection="0"/>
    <xf numFmtId="0" fontId="70" fillId="10"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5"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9" borderId="0" applyNumberFormat="0" applyBorder="0" applyAlignment="0" applyProtection="0"/>
    <xf numFmtId="0" fontId="70" fillId="19" borderId="0" applyNumberFormat="0" applyBorder="0" applyAlignment="0" applyProtection="0"/>
    <xf numFmtId="0" fontId="70" fillId="19" borderId="0" applyNumberFormat="0" applyBorder="0" applyAlignment="0" applyProtection="0"/>
    <xf numFmtId="0" fontId="71" fillId="3" borderId="0" applyNumberFormat="0" applyBorder="0" applyAlignment="0" applyProtection="0"/>
    <xf numFmtId="0" fontId="72" fillId="20" borderId="1" applyNumberFormat="0" applyAlignment="0" applyProtection="0"/>
    <xf numFmtId="0" fontId="73" fillId="21" borderId="2" applyNumberFormat="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56" fillId="0" borderId="0" applyFont="0" applyFill="0" applyBorder="0" applyAlignment="0" applyProtection="0"/>
    <xf numFmtId="0" fontId="74" fillId="0" borderId="0" applyNumberFormat="0" applyFill="0" applyBorder="0" applyAlignment="0" applyProtection="0"/>
    <xf numFmtId="0" fontId="75" fillId="4" borderId="0" applyNumberFormat="0" applyBorder="0" applyAlignment="0" applyProtection="0"/>
    <xf numFmtId="0" fontId="76" fillId="0" borderId="3" applyNumberFormat="0" applyFill="0" applyAlignment="0" applyProtection="0"/>
    <xf numFmtId="0" fontId="77" fillId="0" borderId="4" applyNumberFormat="0" applyFill="0" applyAlignment="0" applyProtection="0"/>
    <xf numFmtId="0" fontId="78" fillId="0" borderId="5" applyNumberFormat="0" applyFill="0" applyAlignment="0" applyProtection="0"/>
    <xf numFmtId="0" fontId="78" fillId="0" borderId="0" applyNumberFormat="0" applyFill="0" applyBorder="0" applyAlignment="0" applyProtection="0"/>
    <xf numFmtId="0" fontId="79" fillId="7" borderId="1" applyNumberFormat="0" applyAlignment="0" applyProtection="0"/>
    <xf numFmtId="0" fontId="80" fillId="0" borderId="6" applyNumberFormat="0" applyFill="0" applyAlignment="0" applyProtection="0"/>
    <xf numFmtId="0" fontId="81" fillId="22" borderId="0" applyNumberFormat="0" applyBorder="0" applyAlignment="0" applyProtection="0"/>
    <xf numFmtId="0" fontId="6" fillId="0" borderId="0"/>
    <xf numFmtId="0" fontId="2" fillId="0" borderId="0"/>
    <xf numFmtId="0" fontId="2" fillId="0" borderId="0"/>
    <xf numFmtId="0" fontId="2" fillId="0" borderId="0"/>
    <xf numFmtId="0" fontId="2" fillId="0" borderId="0"/>
    <xf numFmtId="0" fontId="69" fillId="23" borderId="7" applyNumberFormat="0" applyFont="0" applyAlignment="0" applyProtection="0"/>
    <xf numFmtId="0" fontId="69" fillId="23" borderId="7" applyNumberFormat="0" applyFont="0" applyAlignment="0" applyProtection="0"/>
    <xf numFmtId="0" fontId="69" fillId="23" borderId="7" applyNumberFormat="0" applyFont="0" applyAlignment="0" applyProtection="0"/>
    <xf numFmtId="0" fontId="82" fillId="20" borderId="8" applyNumberFormat="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5" fillId="0" borderId="0" applyNumberFormat="0" applyFill="0" applyBorder="0" applyAlignment="0" applyProtection="0"/>
    <xf numFmtId="0" fontId="86" fillId="0" borderId="10" applyNumberFormat="0" applyFill="0" applyAlignment="0" applyProtection="0"/>
    <xf numFmtId="0" fontId="87" fillId="0" borderId="0" applyNumberFormat="0" applyFill="0" applyBorder="0" applyAlignment="0" applyProtection="0"/>
    <xf numFmtId="0" fontId="159" fillId="0" borderId="0"/>
    <xf numFmtId="0" fontId="1" fillId="0" borderId="0"/>
    <xf numFmtId="0" fontId="1" fillId="0" borderId="0"/>
    <xf numFmtId="0" fontId="1" fillId="0" borderId="0"/>
    <xf numFmtId="43" fontId="6" fillId="0" borderId="0" applyFont="0" applyFill="0" applyBorder="0" applyAlignment="0" applyProtection="0"/>
  </cellStyleXfs>
  <cellXfs count="1261">
    <xf numFmtId="0" fontId="0" fillId="0" borderId="0" xfId="0"/>
    <xf numFmtId="0" fontId="8" fillId="0" borderId="0" xfId="0" applyFont="1"/>
    <xf numFmtId="0" fontId="0" fillId="0" borderId="0" xfId="0" applyFill="1"/>
    <xf numFmtId="0" fontId="12" fillId="0" borderId="0" xfId="0" applyNumberFormat="1" applyFont="1" applyAlignment="1"/>
    <xf numFmtId="0" fontId="12" fillId="0" borderId="0" xfId="0" applyNumberFormat="1" applyFont="1" applyAlignment="1">
      <alignment horizontal="left"/>
    </xf>
    <xf numFmtId="3" fontId="12" fillId="0" borderId="0" xfId="0" applyNumberFormat="1" applyFont="1" applyAlignment="1"/>
    <xf numFmtId="0" fontId="12" fillId="0" borderId="0" xfId="0" applyNumberFormat="1" applyFont="1" applyAlignment="1">
      <alignment horizontal="center"/>
    </xf>
    <xf numFmtId="3" fontId="12" fillId="0" borderId="0" xfId="0" applyNumberFormat="1" applyFont="1"/>
    <xf numFmtId="169" fontId="12" fillId="0" borderId="0" xfId="0" applyNumberFormat="1" applyFont="1" applyAlignment="1"/>
    <xf numFmtId="3" fontId="12" fillId="0" borderId="0" xfId="0" applyNumberFormat="1" applyFont="1" applyFill="1" applyBorder="1"/>
    <xf numFmtId="3" fontId="12" fillId="25" borderId="0" xfId="0" applyNumberFormat="1" applyFont="1" applyFill="1" applyAlignment="1"/>
    <xf numFmtId="0" fontId="12" fillId="0" borderId="0" xfId="0" applyFont="1" applyAlignment="1"/>
    <xf numFmtId="3" fontId="12" fillId="0" borderId="0" xfId="0" applyNumberFormat="1" applyFont="1" applyFill="1" applyAlignment="1"/>
    <xf numFmtId="0" fontId="8" fillId="0" borderId="0" xfId="0" applyNumberFormat="1" applyFont="1" applyAlignment="1">
      <alignment horizontal="center"/>
    </xf>
    <xf numFmtId="3" fontId="8" fillId="0" borderId="0" xfId="0" applyNumberFormat="1" applyFont="1" applyAlignment="1"/>
    <xf numFmtId="0" fontId="8" fillId="0" borderId="0" xfId="0" applyNumberFormat="1" applyFont="1" applyAlignment="1"/>
    <xf numFmtId="168" fontId="12" fillId="0" borderId="0" xfId="0" applyNumberFormat="1" applyFont="1" applyAlignment="1">
      <alignment horizontal="center"/>
    </xf>
    <xf numFmtId="168" fontId="12" fillId="0" borderId="0" xfId="0" applyNumberFormat="1" applyFont="1" applyAlignment="1">
      <alignment horizontal="left"/>
    </xf>
    <xf numFmtId="169" fontId="12" fillId="0" borderId="0" xfId="0" applyNumberFormat="1" applyFont="1" applyAlignment="1">
      <alignment horizontal="center"/>
    </xf>
    <xf numFmtId="10" fontId="12" fillId="0" borderId="0" xfId="0" applyNumberFormat="1" applyFont="1" applyFill="1" applyAlignment="1">
      <alignment horizontal="right"/>
    </xf>
    <xf numFmtId="3" fontId="12" fillId="0" borderId="0" xfId="0" applyNumberFormat="1" applyFont="1" applyFill="1" applyAlignment="1">
      <alignment horizontal="right"/>
    </xf>
    <xf numFmtId="3" fontId="12" fillId="0" borderId="0" xfId="0" applyNumberFormat="1" applyFont="1" applyAlignment="1">
      <alignment horizontal="center"/>
    </xf>
    <xf numFmtId="3" fontId="12" fillId="0" borderId="0" xfId="0" applyNumberFormat="1" applyFont="1" applyBorder="1" applyAlignment="1">
      <alignment horizontal="center"/>
    </xf>
    <xf numFmtId="166" fontId="12" fillId="0" borderId="0" xfId="0" applyNumberFormat="1" applyFont="1" applyAlignment="1"/>
    <xf numFmtId="170" fontId="12" fillId="0" borderId="0" xfId="0" applyNumberFormat="1" applyFont="1" applyAlignment="1"/>
    <xf numFmtId="0" fontId="8" fillId="0" borderId="0" xfId="0" applyNumberFormat="1" applyFont="1" applyAlignment="1">
      <alignment horizontal="right"/>
    </xf>
    <xf numFmtId="0" fontId="8" fillId="0" borderId="0" xfId="0" applyNumberFormat="1" applyFont="1" applyFill="1" applyAlignment="1"/>
    <xf numFmtId="3" fontId="12" fillId="0" borderId="0" xfId="0" applyNumberFormat="1" applyFont="1" applyBorder="1" applyAlignment="1"/>
    <xf numFmtId="0" fontId="12" fillId="0" borderId="0" xfId="0" applyNumberFormat="1" applyFont="1" applyFill="1" applyAlignment="1"/>
    <xf numFmtId="0" fontId="12" fillId="0" borderId="0" xfId="0" applyFont="1" applyFill="1" applyAlignment="1"/>
    <xf numFmtId="3" fontId="12" fillId="0" borderId="0" xfId="0" applyNumberFormat="1" applyFont="1" applyFill="1" applyAlignment="1">
      <alignment horizontal="center"/>
    </xf>
    <xf numFmtId="0" fontId="12" fillId="0" borderId="0" xfId="0" applyNumberFormat="1" applyFont="1" applyFill="1" applyAlignment="1">
      <alignment horizontal="center"/>
    </xf>
    <xf numFmtId="3" fontId="12" fillId="0" borderId="0" xfId="0" quotePrefix="1" applyNumberFormat="1" applyFont="1" applyAlignment="1">
      <alignment horizontal="right"/>
    </xf>
    <xf numFmtId="0" fontId="10" fillId="0" borderId="0" xfId="0" applyNumberFormat="1" applyFont="1" applyAlignment="1">
      <alignment horizontal="center"/>
    </xf>
    <xf numFmtId="0" fontId="10" fillId="0" borderId="0" xfId="0" applyFont="1" applyAlignment="1"/>
    <xf numFmtId="0" fontId="19" fillId="0" borderId="0" xfId="0" applyNumberFormat="1" applyFont="1" applyFill="1"/>
    <xf numFmtId="0" fontId="15" fillId="0" borderId="0" xfId="0" applyNumberFormat="1" applyFont="1" applyFill="1" applyAlignment="1"/>
    <xf numFmtId="3" fontId="12" fillId="0" borderId="11" xfId="0" applyNumberFormat="1" applyFont="1" applyBorder="1" applyAlignment="1"/>
    <xf numFmtId="0" fontId="12" fillId="0" borderId="0" xfId="0" applyFont="1"/>
    <xf numFmtId="0" fontId="12" fillId="0" borderId="0" xfId="0" applyFont="1" applyFill="1" applyBorder="1" applyAlignment="1"/>
    <xf numFmtId="0" fontId="8" fillId="0" borderId="11" xfId="0" applyFont="1" applyBorder="1"/>
    <xf numFmtId="0" fontId="12" fillId="0" borderId="0" xfId="0" applyFont="1" applyBorder="1" applyAlignment="1"/>
    <xf numFmtId="0" fontId="12" fillId="0" borderId="0" xfId="0" applyFont="1" applyBorder="1"/>
    <xf numFmtId="0" fontId="12" fillId="0" borderId="11" xfId="0" applyNumberFormat="1" applyFont="1" applyBorder="1" applyAlignment="1"/>
    <xf numFmtId="172" fontId="8" fillId="0" borderId="0" xfId="51" applyNumberFormat="1" applyFont="1" applyAlignment="1"/>
    <xf numFmtId="0" fontId="8" fillId="0" borderId="11" xfId="0" applyNumberFormat="1" applyFont="1" applyFill="1" applyBorder="1" applyAlignment="1"/>
    <xf numFmtId="0" fontId="8" fillId="0" borderId="12" xfId="0" applyNumberFormat="1" applyFont="1" applyFill="1" applyBorder="1" applyAlignment="1"/>
    <xf numFmtId="3" fontId="12" fillId="0" borderId="12" xfId="0" applyNumberFormat="1" applyFont="1" applyBorder="1" applyAlignment="1"/>
    <xf numFmtId="3" fontId="8" fillId="0" borderId="12" xfId="0" applyNumberFormat="1" applyFont="1" applyBorder="1" applyAlignment="1"/>
    <xf numFmtId="3" fontId="12" fillId="0" borderId="0" xfId="0" applyNumberFormat="1" applyFont="1" applyFill="1" applyBorder="1" applyAlignment="1"/>
    <xf numFmtId="3" fontId="12" fillId="25" borderId="0" xfId="0" applyNumberFormat="1" applyFont="1" applyFill="1" applyBorder="1" applyAlignment="1"/>
    <xf numFmtId="0" fontId="8" fillId="0" borderId="12" xfId="0" applyFont="1" applyBorder="1"/>
    <xf numFmtId="3" fontId="8" fillId="0" borderId="12" xfId="0" applyNumberFormat="1" applyFont="1" applyBorder="1"/>
    <xf numFmtId="0" fontId="8" fillId="0" borderId="0" xfId="0" applyNumberFormat="1" applyFont="1" applyFill="1" applyAlignment="1">
      <alignment horizontal="center"/>
    </xf>
    <xf numFmtId="0" fontId="12" fillId="0" borderId="0" xfId="0" applyNumberFormat="1" applyFont="1" applyFill="1" applyBorder="1" applyAlignment="1"/>
    <xf numFmtId="0" fontId="12" fillId="0" borderId="11" xfId="0" applyNumberFormat="1" applyFont="1" applyFill="1" applyBorder="1" applyAlignment="1"/>
    <xf numFmtId="0" fontId="12" fillId="0" borderId="11" xfId="0" applyFont="1" applyFill="1" applyBorder="1"/>
    <xf numFmtId="0" fontId="8" fillId="0" borderId="0" xfId="0" applyNumberFormat="1" applyFont="1" applyFill="1" applyBorder="1" applyAlignment="1"/>
    <xf numFmtId="0" fontId="10" fillId="0" borderId="0" xfId="0" applyFont="1"/>
    <xf numFmtId="0" fontId="10" fillId="0" borderId="0" xfId="0" applyNumberFormat="1" applyFont="1" applyAlignment="1">
      <alignment horizontal="right"/>
    </xf>
    <xf numFmtId="0" fontId="10" fillId="0" borderId="0" xfId="0" applyNumberFormat="1" applyFont="1" applyAlignment="1">
      <alignment horizontal="left"/>
    </xf>
    <xf numFmtId="0" fontId="10" fillId="0" borderId="0" xfId="0" applyNumberFormat="1" applyFont="1" applyFill="1" applyAlignment="1">
      <alignment horizontal="right"/>
    </xf>
    <xf numFmtId="0" fontId="10" fillId="0" borderId="0" xfId="0" applyNumberFormat="1" applyFont="1" applyFill="1" applyAlignment="1">
      <alignment horizontal="left"/>
    </xf>
    <xf numFmtId="0" fontId="10" fillId="0" borderId="0" xfId="0" applyFont="1" applyFill="1" applyAlignment="1"/>
    <xf numFmtId="0" fontId="10" fillId="0" borderId="0" xfId="0" applyFont="1" applyFill="1"/>
    <xf numFmtId="3" fontId="22" fillId="0" borderId="0" xfId="0" applyNumberFormat="1" applyFont="1" applyFill="1" applyAlignment="1">
      <alignment horizontal="right"/>
    </xf>
    <xf numFmtId="0" fontId="10" fillId="0" borderId="11" xfId="0" applyNumberFormat="1" applyFont="1" applyFill="1" applyBorder="1" applyAlignment="1">
      <alignment horizontal="left"/>
    </xf>
    <xf numFmtId="0" fontId="10" fillId="0" borderId="11" xfId="0" applyFont="1" applyFill="1" applyBorder="1" applyAlignment="1"/>
    <xf numFmtId="0" fontId="10" fillId="0" borderId="11" xfId="0" applyFont="1" applyBorder="1"/>
    <xf numFmtId="0" fontId="10" fillId="0" borderId="11" xfId="0" applyFont="1" applyFill="1" applyBorder="1"/>
    <xf numFmtId="3" fontId="12" fillId="0" borderId="11" xfId="0" applyNumberFormat="1" applyFont="1" applyFill="1" applyBorder="1" applyAlignment="1"/>
    <xf numFmtId="0" fontId="24" fillId="0" borderId="0" xfId="0" applyNumberFormat="1" applyFont="1" applyFill="1" applyAlignment="1">
      <alignment horizontal="left"/>
    </xf>
    <xf numFmtId="0" fontId="10" fillId="0" borderId="11" xfId="0" applyFont="1" applyBorder="1" applyAlignment="1"/>
    <xf numFmtId="0" fontId="12" fillId="0" borderId="0" xfId="0" applyFont="1" applyFill="1" applyBorder="1"/>
    <xf numFmtId="0" fontId="23" fillId="0" borderId="0" xfId="0" applyNumberFormat="1" applyFont="1" applyFill="1" applyAlignment="1">
      <alignment horizontal="left"/>
    </xf>
    <xf numFmtId="3" fontId="21" fillId="0" borderId="0" xfId="0" applyNumberFormat="1" applyFont="1" applyAlignment="1">
      <alignment horizontal="right"/>
    </xf>
    <xf numFmtId="10" fontId="10" fillId="0" borderId="0" xfId="0" applyNumberFormat="1" applyFont="1" applyFill="1" applyAlignment="1">
      <alignment horizontal="right"/>
    </xf>
    <xf numFmtId="0" fontId="10" fillId="0" borderId="0" xfId="0" applyFont="1" applyBorder="1" applyAlignment="1"/>
    <xf numFmtId="172" fontId="10" fillId="0" borderId="0" xfId="0" applyNumberFormat="1" applyFont="1" applyAlignment="1">
      <alignment horizontal="right"/>
    </xf>
    <xf numFmtId="10" fontId="10" fillId="0" borderId="0" xfId="0" applyNumberFormat="1" applyFont="1" applyAlignment="1">
      <alignment horizontal="right"/>
    </xf>
    <xf numFmtId="3" fontId="22" fillId="0" borderId="0" xfId="0" applyNumberFormat="1" applyFont="1" applyBorder="1" applyAlignment="1">
      <alignment horizontal="right"/>
    </xf>
    <xf numFmtId="0" fontId="10" fillId="0" borderId="0" xfId="0" applyFont="1" applyFill="1" applyAlignment="1">
      <alignment horizontal="left"/>
    </xf>
    <xf numFmtId="0" fontId="22" fillId="0" borderId="0" xfId="0" applyNumberFormat="1" applyFont="1" applyFill="1" applyAlignment="1">
      <alignment horizontal="left"/>
    </xf>
    <xf numFmtId="0" fontId="10" fillId="0" borderId="0" xfId="0" applyFont="1" applyAlignment="1">
      <alignment horizontal="left"/>
    </xf>
    <xf numFmtId="3" fontId="10" fillId="0" borderId="11" xfId="0" applyNumberFormat="1" applyFont="1" applyBorder="1" applyAlignment="1">
      <alignment horizontal="right"/>
    </xf>
    <xf numFmtId="0" fontId="16" fillId="0" borderId="11" xfId="0" applyFont="1" applyBorder="1"/>
    <xf numFmtId="0" fontId="16" fillId="0" borderId="11" xfId="0" applyFont="1" applyBorder="1" applyAlignment="1"/>
    <xf numFmtId="3" fontId="26" fillId="0" borderId="11" xfId="0" applyNumberFormat="1" applyFont="1" applyBorder="1" applyAlignment="1">
      <alignment horizontal="right"/>
    </xf>
    <xf numFmtId="3" fontId="16" fillId="0" borderId="11" xfId="0" applyNumberFormat="1" applyFont="1" applyBorder="1"/>
    <xf numFmtId="0" fontId="16" fillId="0" borderId="11" xfId="0" applyFont="1" applyBorder="1" applyAlignment="1">
      <alignment horizontal="left"/>
    </xf>
    <xf numFmtId="0" fontId="16" fillId="0" borderId="0" xfId="0" applyFont="1"/>
    <xf numFmtId="3" fontId="23" fillId="0" borderId="11" xfId="0" applyNumberFormat="1" applyFont="1" applyBorder="1" applyAlignment="1">
      <alignment horizontal="right"/>
    </xf>
    <xf numFmtId="3" fontId="8" fillId="0" borderId="11" xfId="0" applyNumberFormat="1" applyFont="1" applyBorder="1" applyAlignment="1">
      <alignment horizontal="right"/>
    </xf>
    <xf numFmtId="0" fontId="10" fillId="0" borderId="0" xfId="0" applyFont="1" applyAlignment="1">
      <alignment horizontal="right"/>
    </xf>
    <xf numFmtId="172" fontId="21" fillId="0" borderId="0" xfId="0" applyNumberFormat="1" applyFont="1" applyAlignment="1">
      <alignment horizontal="right"/>
    </xf>
    <xf numFmtId="3" fontId="22" fillId="0" borderId="0" xfId="0" applyNumberFormat="1" applyFont="1" applyAlignment="1">
      <alignment horizontal="right"/>
    </xf>
    <xf numFmtId="3" fontId="16" fillId="0" borderId="12" xfId="0" applyNumberFormat="1" applyFont="1" applyBorder="1" applyAlignment="1">
      <alignment horizontal="right"/>
    </xf>
    <xf numFmtId="166" fontId="8" fillId="0" borderId="0" xfId="0" applyNumberFormat="1" applyFont="1" applyAlignment="1"/>
    <xf numFmtId="0" fontId="10" fillId="0" borderId="0" xfId="0" applyNumberFormat="1" applyFont="1" applyFill="1" applyAlignment="1">
      <alignment horizontal="center"/>
    </xf>
    <xf numFmtId="0" fontId="10" fillId="0" borderId="0" xfId="0" applyNumberFormat="1" applyFont="1" applyBorder="1" applyAlignment="1">
      <alignment horizontal="center"/>
    </xf>
    <xf numFmtId="0" fontId="10" fillId="0" borderId="0" xfId="0" applyNumberFormat="1" applyFont="1" applyBorder="1" applyAlignment="1">
      <alignment horizontal="left"/>
    </xf>
    <xf numFmtId="0" fontId="10" fillId="0" borderId="0" xfId="0" applyFont="1" applyFill="1" applyBorder="1" applyAlignment="1"/>
    <xf numFmtId="3" fontId="21" fillId="0" borderId="0" xfId="0" applyNumberFormat="1" applyFont="1" applyBorder="1" applyAlignment="1">
      <alignment horizontal="right"/>
    </xf>
    <xf numFmtId="0" fontId="10" fillId="0" borderId="0" xfId="0" applyFont="1" applyBorder="1"/>
    <xf numFmtId="3" fontId="21" fillId="0" borderId="11" xfId="0" applyNumberFormat="1" applyFont="1" applyBorder="1" applyAlignment="1">
      <alignment horizontal="right"/>
    </xf>
    <xf numFmtId="0" fontId="8" fillId="0" borderId="0" xfId="0" applyNumberFormat="1" applyFont="1" applyBorder="1" applyAlignment="1"/>
    <xf numFmtId="3" fontId="8" fillId="0" borderId="0" xfId="0" applyNumberFormat="1" applyFont="1" applyBorder="1" applyAlignment="1"/>
    <xf numFmtId="3" fontId="8" fillId="0" borderId="0" xfId="0" quotePrefix="1" applyNumberFormat="1" applyFont="1" applyBorder="1" applyAlignment="1">
      <alignment horizontal="right"/>
    </xf>
    <xf numFmtId="168" fontId="12" fillId="0" borderId="0" xfId="0" applyNumberFormat="1" applyFont="1" applyBorder="1" applyAlignment="1">
      <alignment horizontal="left"/>
    </xf>
    <xf numFmtId="3" fontId="10" fillId="0" borderId="0" xfId="0" applyNumberFormat="1" applyFont="1"/>
    <xf numFmtId="0" fontId="8" fillId="0" borderId="11" xfId="0" applyNumberFormat="1" applyFont="1" applyBorder="1" applyAlignment="1"/>
    <xf numFmtId="0" fontId="28" fillId="26" borderId="0" xfId="0" applyFont="1" applyFill="1" applyBorder="1" applyAlignment="1"/>
    <xf numFmtId="0" fontId="23" fillId="0" borderId="0" xfId="0" applyNumberFormat="1" applyFont="1" applyFill="1" applyBorder="1" applyAlignment="1">
      <alignment horizontal="left"/>
    </xf>
    <xf numFmtId="0" fontId="23" fillId="0" borderId="11" xfId="0" applyNumberFormat="1" applyFont="1" applyFill="1" applyBorder="1" applyAlignment="1">
      <alignment horizontal="left"/>
    </xf>
    <xf numFmtId="0" fontId="28" fillId="26" borderId="0" xfId="0" applyFont="1" applyFill="1" applyBorder="1" applyAlignment="1">
      <alignment horizontal="left"/>
    </xf>
    <xf numFmtId="0" fontId="10" fillId="0" borderId="0" xfId="0" applyFont="1" applyAlignment="1">
      <alignment horizontal="center"/>
    </xf>
    <xf numFmtId="0" fontId="12" fillId="0" borderId="0" xfId="0" applyFont="1" applyAlignment="1">
      <alignment horizontal="center"/>
    </xf>
    <xf numFmtId="0" fontId="10" fillId="0" borderId="0" xfId="0" applyFont="1" applyFill="1" applyAlignment="1">
      <alignment horizontal="center"/>
    </xf>
    <xf numFmtId="0" fontId="22" fillId="0" borderId="14" xfId="0" applyNumberFormat="1" applyFont="1" applyFill="1" applyBorder="1" applyAlignment="1">
      <alignment horizontal="left"/>
    </xf>
    <xf numFmtId="0" fontId="10" fillId="0" borderId="14" xfId="0" applyFont="1" applyFill="1" applyBorder="1" applyAlignment="1">
      <alignment horizontal="left"/>
    </xf>
    <xf numFmtId="0" fontId="10" fillId="0" borderId="14" xfId="0" applyNumberFormat="1" applyFont="1" applyBorder="1" applyAlignment="1">
      <alignment horizontal="left"/>
    </xf>
    <xf numFmtId="3" fontId="21" fillId="0" borderId="14" xfId="0" applyNumberFormat="1" applyFont="1" applyBorder="1" applyAlignment="1">
      <alignment horizontal="right"/>
    </xf>
    <xf numFmtId="0" fontId="23" fillId="0" borderId="0" xfId="0" applyNumberFormat="1" applyFont="1" applyAlignment="1">
      <alignment horizontal="left"/>
    </xf>
    <xf numFmtId="0" fontId="22" fillId="0" borderId="0" xfId="0" applyNumberFormat="1" applyFont="1" applyFill="1" applyBorder="1" applyAlignment="1">
      <alignment horizontal="left"/>
    </xf>
    <xf numFmtId="0" fontId="10" fillId="0" borderId="0" xfId="0" applyFont="1" applyFill="1" applyBorder="1" applyAlignment="1">
      <alignment horizontal="left"/>
    </xf>
    <xf numFmtId="3" fontId="23" fillId="0" borderId="11" xfId="0" applyNumberFormat="1" applyFont="1" applyFill="1" applyBorder="1" applyAlignment="1">
      <alignment horizontal="right"/>
    </xf>
    <xf numFmtId="0" fontId="12" fillId="0" borderId="0" xfId="0" applyFont="1" applyFill="1" applyAlignment="1">
      <alignment horizontal="center"/>
    </xf>
    <xf numFmtId="0" fontId="10" fillId="0" borderId="14" xfId="0" applyFont="1" applyBorder="1" applyAlignment="1"/>
    <xf numFmtId="172" fontId="10" fillId="0" borderId="14" xfId="0" applyNumberFormat="1" applyFont="1" applyBorder="1" applyAlignment="1">
      <alignment horizontal="right"/>
    </xf>
    <xf numFmtId="0" fontId="23" fillId="0" borderId="12" xfId="0" applyNumberFormat="1" applyFont="1" applyBorder="1" applyAlignment="1">
      <alignment horizontal="left"/>
    </xf>
    <xf numFmtId="0" fontId="16" fillId="0" borderId="12" xfId="0" applyFont="1" applyBorder="1" applyAlignment="1"/>
    <xf numFmtId="0" fontId="16" fillId="0" borderId="12" xfId="0" applyFont="1" applyBorder="1" applyAlignment="1">
      <alignment horizontal="right"/>
    </xf>
    <xf numFmtId="0" fontId="8" fillId="0" borderId="0" xfId="0" applyNumberFormat="1" applyFont="1" applyAlignment="1">
      <alignment horizontal="left"/>
    </xf>
    <xf numFmtId="0" fontId="15" fillId="0" borderId="0" xfId="0" applyNumberFormat="1" applyFont="1" applyFill="1" applyAlignment="1">
      <alignment horizontal="center"/>
    </xf>
    <xf numFmtId="0" fontId="16" fillId="0" borderId="11" xfId="0" applyFont="1" applyFill="1" applyBorder="1"/>
    <xf numFmtId="0" fontId="10" fillId="0" borderId="0" xfId="0" applyFont="1" applyFill="1" applyAlignment="1">
      <alignment horizontal="right"/>
    </xf>
    <xf numFmtId="0" fontId="10" fillId="0" borderId="0" xfId="0" applyFont="1" applyFill="1" applyBorder="1"/>
    <xf numFmtId="0" fontId="8" fillId="0" borderId="12" xfId="0" applyFont="1" applyBorder="1" applyAlignment="1"/>
    <xf numFmtId="172" fontId="8" fillId="0" borderId="12" xfId="51" applyNumberFormat="1" applyFont="1" applyBorder="1" applyAlignment="1"/>
    <xf numFmtId="0" fontId="10" fillId="0" borderId="12" xfId="0" applyFont="1" applyBorder="1"/>
    <xf numFmtId="3" fontId="12" fillId="0" borderId="14" xfId="0" applyNumberFormat="1" applyFont="1" applyBorder="1" applyAlignment="1"/>
    <xf numFmtId="3" fontId="12" fillId="0" borderId="14" xfId="0" applyNumberFormat="1" applyFont="1" applyBorder="1" applyAlignment="1">
      <alignment horizontal="right"/>
    </xf>
    <xf numFmtId="3" fontId="12" fillId="0" borderId="14" xfId="0" applyNumberFormat="1" applyFont="1" applyFill="1" applyBorder="1" applyAlignment="1"/>
    <xf numFmtId="3" fontId="12" fillId="25" borderId="14" xfId="0" applyNumberFormat="1" applyFont="1" applyFill="1" applyBorder="1" applyAlignment="1"/>
    <xf numFmtId="168" fontId="8" fillId="0" borderId="12" xfId="0" applyNumberFormat="1" applyFont="1" applyBorder="1" applyAlignment="1">
      <alignment horizontal="left"/>
    </xf>
    <xf numFmtId="169" fontId="8" fillId="0" borderId="12" xfId="0" applyNumberFormat="1" applyFont="1" applyBorder="1" applyAlignment="1">
      <alignment horizontal="center"/>
    </xf>
    <xf numFmtId="0" fontId="10" fillId="0" borderId="0" xfId="0" applyFont="1" applyFill="1" applyBorder="1" applyAlignment="1">
      <alignment horizontal="center" wrapText="1"/>
    </xf>
    <xf numFmtId="0" fontId="10" fillId="26" borderId="0" xfId="0" applyFont="1" applyFill="1" applyBorder="1" applyAlignment="1"/>
    <xf numFmtId="0" fontId="10" fillId="26" borderId="0" xfId="0" applyFont="1" applyFill="1" applyBorder="1"/>
    <xf numFmtId="0" fontId="10" fillId="0" borderId="12" xfId="0" applyFont="1" applyFill="1" applyBorder="1" applyAlignment="1"/>
    <xf numFmtId="0" fontId="10" fillId="0" borderId="12" xfId="0" applyFont="1" applyBorder="1" applyAlignment="1"/>
    <xf numFmtId="0" fontId="27" fillId="0" borderId="0" xfId="0" applyFont="1" applyFill="1" applyBorder="1" applyAlignment="1">
      <alignment horizontal="center"/>
    </xf>
    <xf numFmtId="0" fontId="28" fillId="0" borderId="0" xfId="0" applyFont="1" applyFill="1" applyBorder="1" applyAlignment="1"/>
    <xf numFmtId="0" fontId="29" fillId="26" borderId="0" xfId="0" applyFont="1" applyFill="1" applyAlignment="1">
      <alignment horizontal="left"/>
    </xf>
    <xf numFmtId="0" fontId="29" fillId="26" borderId="0" xfId="0" applyFont="1" applyFill="1" applyAlignment="1"/>
    <xf numFmtId="0" fontId="23" fillId="26" borderId="0" xfId="0" applyNumberFormat="1" applyFont="1" applyFill="1" applyAlignment="1">
      <alignment horizontal="left"/>
    </xf>
    <xf numFmtId="0" fontId="10" fillId="26" borderId="0" xfId="0" applyFont="1" applyFill="1" applyAlignment="1"/>
    <xf numFmtId="0" fontId="10" fillId="26" borderId="0" xfId="0" applyFont="1" applyFill="1"/>
    <xf numFmtId="0" fontId="10" fillId="26" borderId="0" xfId="0" applyFont="1" applyFill="1" applyBorder="1" applyAlignment="1">
      <alignment horizontal="center" wrapText="1"/>
    </xf>
    <xf numFmtId="164" fontId="10" fillId="25" borderId="0" xfId="28" applyNumberFormat="1" applyFont="1" applyFill="1" applyBorder="1"/>
    <xf numFmtId="0" fontId="10" fillId="0" borderId="0" xfId="0" applyNumberFormat="1" applyFont="1" applyBorder="1"/>
    <xf numFmtId="0" fontId="8" fillId="0" borderId="0" xfId="0" applyFont="1" applyBorder="1" applyAlignment="1"/>
    <xf numFmtId="172" fontId="10" fillId="0" borderId="0" xfId="0" applyNumberFormat="1" applyFont="1" applyBorder="1" applyAlignment="1">
      <alignment horizontal="right"/>
    </xf>
    <xf numFmtId="0" fontId="22" fillId="0" borderId="0" xfId="0" applyFont="1" applyAlignment="1"/>
    <xf numFmtId="37" fontId="23" fillId="0" borderId="0" xfId="0" applyNumberFormat="1" applyFont="1" applyBorder="1" applyAlignment="1">
      <alignment horizontal="right"/>
    </xf>
    <xf numFmtId="3" fontId="8" fillId="0" borderId="0" xfId="0" applyNumberFormat="1" applyFont="1" applyFill="1" applyBorder="1" applyAlignment="1"/>
    <xf numFmtId="169" fontId="8" fillId="0" borderId="12" xfId="0" applyNumberFormat="1" applyFont="1" applyBorder="1" applyAlignment="1"/>
    <xf numFmtId="168" fontId="8" fillId="0" borderId="0" xfId="0" applyNumberFormat="1" applyFont="1" applyBorder="1" applyAlignment="1">
      <alignment horizontal="left"/>
    </xf>
    <xf numFmtId="173" fontId="12" fillId="0" borderId="0" xfId="51" applyNumberFormat="1" applyFont="1" applyFill="1" applyAlignment="1">
      <alignment horizontal="right"/>
    </xf>
    <xf numFmtId="43" fontId="10" fillId="0" borderId="0" xfId="0" applyNumberFormat="1" applyFont="1"/>
    <xf numFmtId="174" fontId="10" fillId="0" borderId="0" xfId="51" applyNumberFormat="1" applyFont="1"/>
    <xf numFmtId="43" fontId="10" fillId="0" borderId="0" xfId="28" applyFont="1"/>
    <xf numFmtId="0" fontId="8" fillId="0" borderId="11" xfId="0" applyNumberFormat="1" applyFont="1" applyBorder="1" applyAlignment="1">
      <alignment horizontal="left"/>
    </xf>
    <xf numFmtId="0" fontId="8" fillId="0" borderId="11" xfId="0" applyFont="1" applyFill="1" applyBorder="1" applyAlignment="1"/>
    <xf numFmtId="0" fontId="8" fillId="0" borderId="11" xfId="0" applyFont="1" applyBorder="1" applyAlignment="1"/>
    <xf numFmtId="3" fontId="8" fillId="0" borderId="11" xfId="0" applyNumberFormat="1" applyFont="1" applyBorder="1"/>
    <xf numFmtId="37" fontId="22" fillId="0" borderId="0" xfId="0" applyNumberFormat="1" applyFont="1" applyBorder="1" applyAlignment="1">
      <alignment horizontal="left"/>
    </xf>
    <xf numFmtId="0" fontId="10" fillId="26" borderId="0" xfId="0" applyNumberFormat="1" applyFont="1" applyFill="1" applyAlignment="1">
      <alignment horizontal="center"/>
    </xf>
    <xf numFmtId="0" fontId="28" fillId="26" borderId="0" xfId="0" applyNumberFormat="1" applyFont="1" applyFill="1" applyAlignment="1">
      <alignment horizontal="left"/>
    </xf>
    <xf numFmtId="0" fontId="16" fillId="0" borderId="0" xfId="0" applyFont="1" applyFill="1" applyBorder="1"/>
    <xf numFmtId="3" fontId="23" fillId="0" borderId="0" xfId="0" applyNumberFormat="1" applyFont="1" applyBorder="1" applyAlignment="1">
      <alignment horizontal="right"/>
    </xf>
    <xf numFmtId="0" fontId="9" fillId="0" borderId="0" xfId="0" applyFont="1"/>
    <xf numFmtId="0" fontId="30" fillId="0" borderId="15" xfId="0" applyNumberFormat="1" applyFont="1" applyBorder="1" applyAlignment="1">
      <alignment horizontal="center"/>
    </xf>
    <xf numFmtId="0" fontId="31" fillId="0" borderId="15" xfId="0" applyNumberFormat="1" applyFont="1" applyFill="1" applyBorder="1" applyAlignment="1"/>
    <xf numFmtId="0" fontId="31" fillId="0" borderId="15" xfId="0" applyFont="1" applyFill="1" applyBorder="1" applyAlignment="1"/>
    <xf numFmtId="0" fontId="30" fillId="0" borderId="15" xfId="0" applyFont="1" applyBorder="1" applyAlignment="1"/>
    <xf numFmtId="0" fontId="20" fillId="0" borderId="16" xfId="0" applyNumberFormat="1" applyFont="1" applyBorder="1" applyAlignment="1">
      <alignment horizontal="center"/>
    </xf>
    <xf numFmtId="0" fontId="20" fillId="0" borderId="15" xfId="0" applyNumberFormat="1" applyFont="1" applyBorder="1" applyAlignment="1">
      <alignment horizontal="left"/>
    </xf>
    <xf numFmtId="0" fontId="20" fillId="0" borderId="15" xfId="0" applyFont="1" applyFill="1" applyBorder="1"/>
    <xf numFmtId="0" fontId="20" fillId="0" borderId="15" xfId="0" applyFont="1" applyBorder="1" applyAlignment="1"/>
    <xf numFmtId="164" fontId="10" fillId="0" borderId="0" xfId="28" applyNumberFormat="1" applyFont="1"/>
    <xf numFmtId="3" fontId="21" fillId="0" borderId="0" xfId="0" applyNumberFormat="1" applyFont="1" applyFill="1" applyAlignment="1">
      <alignment horizontal="right"/>
    </xf>
    <xf numFmtId="0" fontId="10" fillId="0" borderId="14" xfId="0" applyNumberFormat="1" applyFont="1" applyFill="1" applyBorder="1" applyAlignment="1">
      <alignment horizontal="left"/>
    </xf>
    <xf numFmtId="10" fontId="12" fillId="0" borderId="0" xfId="51" applyNumberFormat="1" applyFont="1" applyAlignment="1"/>
    <xf numFmtId="0" fontId="8" fillId="0" borderId="15" xfId="0" applyFont="1" applyBorder="1"/>
    <xf numFmtId="0" fontId="22" fillId="0" borderId="0" xfId="0" applyFont="1" applyBorder="1" applyAlignment="1"/>
    <xf numFmtId="0" fontId="20" fillId="0" borderId="0" xfId="0" applyNumberFormat="1" applyFont="1" applyBorder="1" applyAlignment="1">
      <alignment horizontal="center"/>
    </xf>
    <xf numFmtId="0" fontId="20" fillId="0" borderId="15" xfId="0" applyNumberFormat="1" applyFont="1" applyBorder="1" applyAlignment="1">
      <alignment horizontal="center"/>
    </xf>
    <xf numFmtId="0" fontId="8" fillId="0" borderId="0" xfId="0" applyNumberFormat="1" applyFont="1" applyBorder="1" applyAlignment="1">
      <alignment horizontal="left"/>
    </xf>
    <xf numFmtId="0" fontId="12" fillId="0" borderId="0" xfId="0" applyNumberFormat="1" applyFont="1" applyFill="1" applyAlignment="1">
      <alignment horizontal="left"/>
    </xf>
    <xf numFmtId="0" fontId="12" fillId="0" borderId="14" xfId="0" applyNumberFormat="1" applyFont="1" applyFill="1" applyBorder="1" applyAlignment="1"/>
    <xf numFmtId="0" fontId="12" fillId="0" borderId="0" xfId="0" applyNumberFormat="1" applyFont="1" applyBorder="1" applyAlignment="1">
      <alignment horizontal="left"/>
    </xf>
    <xf numFmtId="3" fontId="12" fillId="0" borderId="0" xfId="0" applyNumberFormat="1" applyFont="1" applyAlignment="1">
      <alignment horizontal="left"/>
    </xf>
    <xf numFmtId="164" fontId="8" fillId="0" borderId="12" xfId="28" applyNumberFormat="1" applyFont="1" applyFill="1" applyBorder="1" applyAlignment="1">
      <alignment horizontal="right"/>
    </xf>
    <xf numFmtId="0" fontId="10" fillId="0" borderId="14" xfId="0" applyNumberFormat="1" applyFont="1" applyBorder="1" applyAlignment="1">
      <alignment horizontal="center"/>
    </xf>
    <xf numFmtId="0" fontId="12" fillId="0" borderId="14" xfId="0" applyNumberFormat="1" applyFont="1" applyBorder="1" applyAlignment="1">
      <alignment horizontal="left"/>
    </xf>
    <xf numFmtId="0" fontId="12" fillId="0" borderId="14" xfId="0" applyNumberFormat="1" applyFont="1" applyBorder="1" applyAlignment="1"/>
    <xf numFmtId="166" fontId="12" fillId="0" borderId="14" xfId="0" applyNumberFormat="1" applyFont="1" applyBorder="1" applyAlignment="1"/>
    <xf numFmtId="0" fontId="15" fillId="0" borderId="0" xfId="0" applyFont="1" applyFill="1" applyAlignment="1">
      <alignment horizontal="center"/>
    </xf>
    <xf numFmtId="0" fontId="23" fillId="0" borderId="0" xfId="0" applyNumberFormat="1" applyFont="1" applyFill="1" applyBorder="1" applyAlignment="1">
      <alignment horizontal="center"/>
    </xf>
    <xf numFmtId="0" fontId="23" fillId="26" borderId="0" xfId="0" applyNumberFormat="1" applyFont="1" applyFill="1" applyBorder="1" applyAlignment="1">
      <alignment horizontal="center"/>
    </xf>
    <xf numFmtId="0" fontId="10" fillId="0" borderId="0" xfId="0" applyFont="1" applyBorder="1" applyAlignment="1">
      <alignment horizontal="center"/>
    </xf>
    <xf numFmtId="3" fontId="12" fillId="0" borderId="11" xfId="0" applyNumberFormat="1" applyFont="1" applyBorder="1" applyAlignment="1">
      <alignment horizontal="center"/>
    </xf>
    <xf numFmtId="3" fontId="12" fillId="0" borderId="12" xfId="0" applyNumberFormat="1" applyFont="1" applyFill="1" applyBorder="1" applyAlignment="1">
      <alignment horizontal="center"/>
    </xf>
    <xf numFmtId="0" fontId="13" fillId="0" borderId="0" xfId="0" applyFont="1" applyFill="1" applyAlignment="1">
      <alignment horizontal="center"/>
    </xf>
    <xf numFmtId="0" fontId="12" fillId="0" borderId="0" xfId="0" applyFont="1" applyFill="1" applyBorder="1" applyAlignment="1">
      <alignment horizontal="center"/>
    </xf>
    <xf numFmtId="0" fontId="12" fillId="0" borderId="11" xfId="0" applyFont="1" applyFill="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3" fontId="12" fillId="0" borderId="11" xfId="0" applyNumberFormat="1" applyFont="1" applyFill="1" applyBorder="1" applyAlignment="1">
      <alignment horizontal="center"/>
    </xf>
    <xf numFmtId="0" fontId="8" fillId="0" borderId="12" xfId="0" applyFont="1" applyBorder="1" applyAlignment="1">
      <alignment horizontal="center"/>
    </xf>
    <xf numFmtId="0" fontId="10" fillId="0" borderId="11" xfId="0" applyNumberFormat="1" applyFont="1" applyBorder="1" applyAlignment="1">
      <alignment horizontal="center"/>
    </xf>
    <xf numFmtId="0" fontId="10" fillId="0" borderId="14" xfId="0" applyNumberFormat="1" applyFont="1" applyFill="1" applyBorder="1" applyAlignment="1">
      <alignment horizontal="center"/>
    </xf>
    <xf numFmtId="0" fontId="16" fillId="0" borderId="11" xfId="0" applyNumberFormat="1" applyFont="1" applyBorder="1" applyAlignment="1">
      <alignment horizontal="center"/>
    </xf>
    <xf numFmtId="0" fontId="16" fillId="0" borderId="11" xfId="0" applyFont="1" applyBorder="1" applyAlignment="1">
      <alignment horizontal="center"/>
    </xf>
    <xf numFmtId="0" fontId="23" fillId="26" borderId="0" xfId="0" applyNumberFormat="1" applyFont="1" applyFill="1" applyAlignment="1">
      <alignment horizontal="center"/>
    </xf>
    <xf numFmtId="0" fontId="23" fillId="0" borderId="0" xfId="0" applyNumberFormat="1" applyFont="1" applyFill="1" applyAlignment="1">
      <alignment horizontal="center"/>
    </xf>
    <xf numFmtId="0" fontId="12" fillId="0" borderId="0" xfId="0" applyNumberFormat="1" applyFont="1" applyFill="1" applyBorder="1" applyAlignment="1">
      <alignment horizontal="center"/>
    </xf>
    <xf numFmtId="0" fontId="10" fillId="0" borderId="11" xfId="0" applyFont="1" applyFill="1" applyBorder="1" applyAlignment="1">
      <alignment horizontal="center"/>
    </xf>
    <xf numFmtId="3" fontId="12" fillId="0" borderId="12" xfId="0" applyNumberFormat="1" applyFont="1" applyBorder="1" applyAlignment="1">
      <alignment horizontal="center"/>
    </xf>
    <xf numFmtId="0" fontId="10" fillId="0" borderId="14" xfId="0" applyFont="1" applyBorder="1" applyAlignment="1">
      <alignment horizontal="center"/>
    </xf>
    <xf numFmtId="0" fontId="16" fillId="0" borderId="12" xfId="0" applyNumberFormat="1" applyFont="1" applyBorder="1" applyAlignment="1">
      <alignment horizontal="center"/>
    </xf>
    <xf numFmtId="0" fontId="16" fillId="0" borderId="0" xfId="0" applyFont="1" applyBorder="1" applyAlignment="1">
      <alignment horizontal="center"/>
    </xf>
    <xf numFmtId="0" fontId="12" fillId="0" borderId="0" xfId="0" applyFont="1" applyBorder="1" applyAlignment="1">
      <alignment horizontal="center"/>
    </xf>
    <xf numFmtId="0" fontId="8" fillId="0" borderId="0" xfId="0" applyFont="1" applyBorder="1" applyAlignment="1">
      <alignment horizontal="center"/>
    </xf>
    <xf numFmtId="3" fontId="8" fillId="0" borderId="12" xfId="0" applyNumberFormat="1" applyFont="1" applyBorder="1" applyAlignment="1">
      <alignment horizontal="center"/>
    </xf>
    <xf numFmtId="0" fontId="10" fillId="0" borderId="0" xfId="0" applyNumberFormat="1" applyFont="1" applyFill="1" applyBorder="1" applyAlignment="1">
      <alignment horizontal="center"/>
    </xf>
    <xf numFmtId="3" fontId="8" fillId="0" borderId="11" xfId="0" applyNumberFormat="1" applyFont="1" applyBorder="1" applyAlignment="1">
      <alignment horizontal="center"/>
    </xf>
    <xf numFmtId="3" fontId="31" fillId="0" borderId="15" xfId="0" applyNumberFormat="1" applyFont="1" applyBorder="1" applyAlignment="1">
      <alignment horizontal="center"/>
    </xf>
    <xf numFmtId="0" fontId="20" fillId="0" borderId="15" xfId="0" applyFont="1" applyBorder="1" applyAlignment="1">
      <alignment horizontal="center"/>
    </xf>
    <xf numFmtId="0" fontId="25" fillId="0" borderId="0" xfId="0" applyFont="1" applyBorder="1" applyAlignment="1">
      <alignment horizontal="center"/>
    </xf>
    <xf numFmtId="3" fontId="12" fillId="26" borderId="0" xfId="0" applyNumberFormat="1" applyFont="1" applyFill="1" applyAlignment="1">
      <alignment horizontal="center"/>
    </xf>
    <xf numFmtId="0" fontId="12" fillId="0" borderId="0" xfId="0" applyNumberFormat="1" applyFont="1" applyBorder="1" applyAlignment="1"/>
    <xf numFmtId="0" fontId="10" fillId="0" borderId="14" xfId="0" applyFont="1" applyFill="1" applyBorder="1" applyAlignment="1"/>
    <xf numFmtId="0" fontId="13" fillId="0" borderId="0" xfId="0" applyFont="1" applyFill="1" applyBorder="1" applyAlignment="1">
      <alignment horizontal="center"/>
    </xf>
    <xf numFmtId="0" fontId="32" fillId="0" borderId="0" xfId="0" applyFont="1" applyBorder="1" applyAlignment="1"/>
    <xf numFmtId="0" fontId="33" fillId="0" borderId="0" xfId="0" applyFont="1" applyBorder="1" applyAlignment="1">
      <alignment horizontal="center"/>
    </xf>
    <xf numFmtId="37" fontId="32" fillId="0" borderId="0" xfId="0" applyNumberFormat="1" applyFont="1" applyBorder="1" applyAlignment="1">
      <alignment horizontal="left"/>
    </xf>
    <xf numFmtId="0" fontId="32" fillId="0" borderId="0" xfId="0" applyFont="1" applyFill="1" applyAlignment="1">
      <alignment horizontal="left"/>
    </xf>
    <xf numFmtId="0" fontId="32" fillId="0" borderId="0" xfId="0" applyNumberFormat="1" applyFont="1" applyFill="1"/>
    <xf numFmtId="0" fontId="32" fillId="0" borderId="0" xfId="0" applyFont="1" applyFill="1" applyAlignment="1"/>
    <xf numFmtId="0" fontId="13" fillId="0" borderId="11" xfId="0" applyFont="1" applyFill="1" applyBorder="1" applyAlignment="1"/>
    <xf numFmtId="0" fontId="13" fillId="0" borderId="14" xfId="0" applyFont="1" applyFill="1" applyBorder="1" applyAlignment="1"/>
    <xf numFmtId="0" fontId="13" fillId="0" borderId="14" xfId="0" applyFont="1" applyFill="1" applyBorder="1" applyAlignment="1">
      <alignment horizontal="center"/>
    </xf>
    <xf numFmtId="173" fontId="12" fillId="0" borderId="0" xfId="51" applyNumberFormat="1" applyFont="1" applyAlignment="1"/>
    <xf numFmtId="171" fontId="22" fillId="0" borderId="0" xfId="51" applyNumberFormat="1" applyFont="1" applyAlignment="1">
      <alignment horizontal="right"/>
    </xf>
    <xf numFmtId="3" fontId="12" fillId="0" borderId="14" xfId="0" applyNumberFormat="1" applyFont="1" applyFill="1" applyBorder="1" applyAlignment="1">
      <alignment horizontal="center"/>
    </xf>
    <xf numFmtId="0" fontId="10" fillId="0" borderId="0" xfId="0" applyFont="1" applyFill="1" applyBorder="1" applyAlignment="1">
      <alignment horizontal="center"/>
    </xf>
    <xf numFmtId="0" fontId="13" fillId="0" borderId="0" xfId="0" applyFont="1" applyFill="1" applyAlignment="1">
      <alignment horizontal="left"/>
    </xf>
    <xf numFmtId="0" fontId="30" fillId="0" borderId="0" xfId="0" applyNumberFormat="1" applyFont="1" applyBorder="1" applyAlignment="1">
      <alignment horizontal="center"/>
    </xf>
    <xf numFmtId="0" fontId="31" fillId="0" borderId="0" xfId="0" applyNumberFormat="1" applyFont="1" applyFill="1" applyBorder="1" applyAlignment="1"/>
    <xf numFmtId="0" fontId="31" fillId="0" borderId="0" xfId="0" applyFont="1" applyFill="1" applyBorder="1" applyAlignment="1"/>
    <xf numFmtId="3" fontId="31" fillId="0" borderId="0" xfId="0" applyNumberFormat="1" applyFont="1" applyBorder="1" applyAlignment="1">
      <alignment horizontal="center"/>
    </xf>
    <xf numFmtId="0" fontId="30" fillId="0" borderId="0" xfId="0" applyFont="1" applyBorder="1" applyAlignment="1"/>
    <xf numFmtId="0" fontId="31" fillId="0" borderId="14" xfId="0" applyFont="1" applyFill="1" applyBorder="1" applyAlignment="1"/>
    <xf numFmtId="3" fontId="31" fillId="0" borderId="14" xfId="0" applyNumberFormat="1" applyFont="1" applyBorder="1" applyAlignment="1">
      <alignment horizontal="center"/>
    </xf>
    <xf numFmtId="3" fontId="31" fillId="0" borderId="0" xfId="0" applyNumberFormat="1" applyFont="1" applyFill="1" applyBorder="1" applyAlignment="1">
      <alignment horizontal="center"/>
    </xf>
    <xf numFmtId="0" fontId="32" fillId="0" borderId="0" xfId="0" applyFont="1" applyAlignment="1"/>
    <xf numFmtId="10" fontId="12" fillId="0" borderId="0" xfId="51" applyNumberFormat="1" applyFont="1" applyFill="1" applyBorder="1"/>
    <xf numFmtId="3" fontId="12" fillId="0" borderId="14" xfId="0" applyNumberFormat="1" applyFont="1" applyFill="1" applyBorder="1"/>
    <xf numFmtId="0" fontId="8" fillId="0" borderId="0" xfId="0" applyFont="1" applyFill="1"/>
    <xf numFmtId="0" fontId="16" fillId="0" borderId="0" xfId="0" applyNumberFormat="1" applyFont="1" applyFill="1" applyAlignment="1">
      <alignment horizontal="right"/>
    </xf>
    <xf numFmtId="0" fontId="16" fillId="0" borderId="11" xfId="0" applyNumberFormat="1" applyFont="1" applyFill="1" applyBorder="1" applyAlignment="1">
      <alignment horizontal="left"/>
    </xf>
    <xf numFmtId="0" fontId="8" fillId="0" borderId="0" xfId="0" applyFont="1" applyFill="1" applyBorder="1"/>
    <xf numFmtId="3" fontId="8" fillId="0" borderId="0" xfId="0" applyNumberFormat="1" applyFont="1" applyFill="1" applyBorder="1"/>
    <xf numFmtId="10" fontId="12" fillId="0" borderId="0" xfId="51" applyNumberFormat="1" applyFont="1" applyFill="1" applyAlignment="1"/>
    <xf numFmtId="3" fontId="12" fillId="25" borderId="14" xfId="0" applyNumberFormat="1" applyFont="1" applyFill="1" applyBorder="1" applyAlignment="1">
      <alignment horizontal="right"/>
    </xf>
    <xf numFmtId="10" fontId="14" fillId="0" borderId="0" xfId="0" applyNumberFormat="1" applyFont="1" applyFill="1" applyAlignment="1">
      <alignment horizontal="right"/>
    </xf>
    <xf numFmtId="3" fontId="15" fillId="0" borderId="0" xfId="0" applyNumberFormat="1" applyFont="1" applyBorder="1" applyAlignment="1"/>
    <xf numFmtId="3" fontId="35" fillId="0" borderId="0" xfId="0" applyNumberFormat="1" applyFont="1" applyBorder="1" applyAlignment="1">
      <alignment horizontal="right"/>
    </xf>
    <xf numFmtId="3" fontId="25" fillId="0" borderId="0" xfId="0" applyNumberFormat="1" applyFont="1" applyBorder="1" applyAlignment="1">
      <alignment horizontal="right"/>
    </xf>
    <xf numFmtId="0" fontId="15" fillId="0" borderId="0" xfId="0" applyNumberFormat="1" applyFont="1" applyFill="1" applyBorder="1" applyAlignment="1">
      <alignment horizontal="center"/>
    </xf>
    <xf numFmtId="0" fontId="0" fillId="25" borderId="0" xfId="0" applyFill="1"/>
    <xf numFmtId="0" fontId="36" fillId="0" borderId="0" xfId="0" applyFont="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8" fillId="0" borderId="0" xfId="0" applyFont="1" applyFill="1"/>
    <xf numFmtId="0" fontId="0" fillId="0" borderId="0" xfId="0" applyAlignment="1">
      <alignment wrapText="1"/>
    </xf>
    <xf numFmtId="0" fontId="0" fillId="0" borderId="0" xfId="0" applyAlignment="1"/>
    <xf numFmtId="164" fontId="6" fillId="0" borderId="0" xfId="28" applyNumberFormat="1" applyAlignment="1"/>
    <xf numFmtId="0" fontId="36" fillId="0" borderId="0" xfId="0" applyFont="1" applyFill="1" applyAlignment="1">
      <alignment horizontal="center"/>
    </xf>
    <xf numFmtId="0" fontId="38" fillId="0" borderId="0" xfId="0" applyFont="1" applyAlignment="1">
      <alignment horizontal="left"/>
    </xf>
    <xf numFmtId="0" fontId="38" fillId="0" borderId="0" xfId="0" applyFont="1"/>
    <xf numFmtId="0" fontId="40" fillId="0" borderId="0" xfId="0" applyFont="1"/>
    <xf numFmtId="0" fontId="40" fillId="0" borderId="0" xfId="0" applyFont="1" applyBorder="1"/>
    <xf numFmtId="0" fontId="40" fillId="0" borderId="0" xfId="0" applyFont="1" applyFill="1" applyBorder="1"/>
    <xf numFmtId="0" fontId="39" fillId="0" borderId="0" xfId="0" applyFont="1" applyBorder="1"/>
    <xf numFmtId="0" fontId="36" fillId="0" borderId="0" xfId="0" applyFont="1" applyAlignment="1">
      <alignment horizontal="center"/>
    </xf>
    <xf numFmtId="0" fontId="0" fillId="0" borderId="0" xfId="0" applyAlignment="1">
      <alignment horizontal="right"/>
    </xf>
    <xf numFmtId="0" fontId="36" fillId="0" borderId="0" xfId="0" applyFont="1" applyFill="1" applyAlignment="1">
      <alignment horizontal="right"/>
    </xf>
    <xf numFmtId="0" fontId="0" fillId="25" borderId="0" xfId="0" applyFill="1" applyAlignment="1">
      <alignment horizontal="right" wrapText="1"/>
    </xf>
    <xf numFmtId="0" fontId="0" fillId="0" borderId="0" xfId="0" applyAlignment="1">
      <alignment horizontal="right" wrapText="1"/>
    </xf>
    <xf numFmtId="0" fontId="0" fillId="25" borderId="0" xfId="0" applyFill="1" applyAlignment="1">
      <alignment horizontal="right"/>
    </xf>
    <xf numFmtId="0" fontId="18" fillId="25" borderId="0" xfId="0" applyFont="1" applyFill="1"/>
    <xf numFmtId="0" fontId="17" fillId="0" borderId="0" xfId="0" applyFont="1"/>
    <xf numFmtId="0" fontId="36" fillId="0" borderId="0" xfId="0" applyNumberFormat="1" applyFont="1" applyFill="1" applyBorder="1" applyAlignment="1">
      <alignment horizontal="center"/>
    </xf>
    <xf numFmtId="0" fontId="36" fillId="0" borderId="0" xfId="0" applyFont="1" applyBorder="1" applyAlignment="1">
      <alignment horizontal="center"/>
    </xf>
    <xf numFmtId="0" fontId="42" fillId="0" borderId="0" xfId="0" applyFont="1" applyAlignment="1">
      <alignment horizontal="center"/>
    </xf>
    <xf numFmtId="0" fontId="17" fillId="0" borderId="0" xfId="0" applyFont="1" applyFill="1"/>
    <xf numFmtId="164" fontId="8" fillId="0" borderId="0" xfId="28" applyNumberFormat="1" applyFont="1" applyAlignment="1"/>
    <xf numFmtId="164" fontId="8" fillId="25" borderId="0" xfId="28" applyNumberFormat="1" applyFont="1" applyFill="1"/>
    <xf numFmtId="37" fontId="23" fillId="25" borderId="0" xfId="0" applyNumberFormat="1" applyFont="1" applyFill="1" applyBorder="1" applyAlignment="1">
      <alignment horizontal="right"/>
    </xf>
    <xf numFmtId="0" fontId="34" fillId="0" borderId="0" xfId="0" applyFont="1" applyFill="1" applyBorder="1" applyAlignment="1">
      <alignment horizontal="left"/>
    </xf>
    <xf numFmtId="0" fontId="23" fillId="0" borderId="0" xfId="0" applyFont="1" applyFill="1" applyBorder="1" applyAlignment="1"/>
    <xf numFmtId="0" fontId="16" fillId="0" borderId="0" xfId="0" applyFont="1" applyFill="1" applyBorder="1" applyAlignment="1"/>
    <xf numFmtId="0" fontId="8" fillId="0" borderId="0" xfId="0" applyFont="1" applyFill="1" applyBorder="1" applyAlignment="1">
      <alignment horizontal="center" wrapText="1"/>
    </xf>
    <xf numFmtId="0" fontId="16" fillId="0" borderId="0" xfId="0" applyFont="1" applyFill="1" applyBorder="1" applyAlignment="1">
      <alignment horizontal="center" wrapText="1"/>
    </xf>
    <xf numFmtId="0" fontId="16" fillId="0" borderId="0" xfId="0" applyFont="1" applyFill="1"/>
    <xf numFmtId="0" fontId="10" fillId="0" borderId="0" xfId="0" applyFont="1" applyAlignment="1">
      <alignment wrapText="1"/>
    </xf>
    <xf numFmtId="0" fontId="10" fillId="25" borderId="0" xfId="0" applyFont="1" applyFill="1"/>
    <xf numFmtId="0" fontId="10" fillId="0" borderId="14" xfId="0" applyFont="1" applyBorder="1"/>
    <xf numFmtId="10" fontId="10" fillId="0" borderId="0" xfId="51" applyNumberFormat="1" applyFont="1" applyFill="1"/>
    <xf numFmtId="43" fontId="0" fillId="0" borderId="0" xfId="0" applyNumberFormat="1"/>
    <xf numFmtId="0" fontId="0" fillId="0" borderId="17" xfId="0" applyBorder="1"/>
    <xf numFmtId="0" fontId="0" fillId="0" borderId="0" xfId="0" applyBorder="1"/>
    <xf numFmtId="0" fontId="0" fillId="0" borderId="18" xfId="0" applyBorder="1"/>
    <xf numFmtId="0" fontId="0" fillId="0" borderId="9" xfId="0" applyBorder="1"/>
    <xf numFmtId="0" fontId="0" fillId="0" borderId="19" xfId="0" applyBorder="1"/>
    <xf numFmtId="0" fontId="7" fillId="0" borderId="0" xfId="0" applyFont="1" applyAlignment="1">
      <alignment horizontal="left"/>
    </xf>
    <xf numFmtId="0" fontId="16" fillId="0" borderId="0" xfId="0" applyNumberFormat="1" applyFont="1" applyFill="1" applyBorder="1" applyAlignment="1">
      <alignment horizontal="left"/>
    </xf>
    <xf numFmtId="0" fontId="16" fillId="0" borderId="0" xfId="0" applyFont="1" applyBorder="1" applyAlignment="1">
      <alignment horizontal="left"/>
    </xf>
    <xf numFmtId="0" fontId="16" fillId="0" borderId="0" xfId="0" applyFont="1" applyBorder="1"/>
    <xf numFmtId="0" fontId="10" fillId="25" borderId="14" xfId="0" applyFont="1" applyFill="1" applyBorder="1"/>
    <xf numFmtId="3" fontId="8" fillId="0" borderId="11" xfId="0" applyNumberFormat="1" applyFont="1" applyFill="1" applyBorder="1" applyAlignment="1">
      <alignment horizontal="right"/>
    </xf>
    <xf numFmtId="3" fontId="8" fillId="0" borderId="11" xfId="0" applyNumberFormat="1" applyFont="1" applyBorder="1" applyAlignment="1"/>
    <xf numFmtId="3" fontId="8" fillId="25" borderId="11" xfId="0" applyNumberFormat="1" applyFont="1" applyFill="1" applyBorder="1" applyAlignment="1"/>
    <xf numFmtId="3" fontId="8" fillId="0" borderId="11" xfId="0" applyNumberFormat="1" applyFont="1" applyFill="1" applyBorder="1" applyAlignment="1"/>
    <xf numFmtId="164" fontId="8" fillId="0" borderId="0" xfId="28" applyNumberFormat="1" applyFont="1" applyFill="1" applyAlignment="1"/>
    <xf numFmtId="164" fontId="12" fillId="25" borderId="0" xfId="28" applyNumberFormat="1" applyFont="1" applyFill="1" applyAlignment="1"/>
    <xf numFmtId="170" fontId="32" fillId="0" borderId="0" xfId="47" applyFont="1" applyFill="1" applyAlignment="1" applyProtection="1">
      <protection locked="0"/>
    </xf>
    <xf numFmtId="3" fontId="23" fillId="0" borderId="0" xfId="0" applyNumberFormat="1" applyFont="1" applyFill="1" applyAlignment="1">
      <alignment horizontal="right"/>
    </xf>
    <xf numFmtId="3" fontId="20" fillId="0" borderId="15" xfId="0" applyNumberFormat="1" applyFont="1" applyBorder="1" applyAlignment="1"/>
    <xf numFmtId="3" fontId="22" fillId="25" borderId="14" xfId="0" applyNumberFormat="1" applyFont="1" applyFill="1" applyBorder="1" applyAlignment="1">
      <alignment horizontal="right"/>
    </xf>
    <xf numFmtId="10" fontId="19" fillId="0" borderId="0" xfId="0" applyNumberFormat="1" applyFont="1" applyFill="1"/>
    <xf numFmtId="0" fontId="41" fillId="0" borderId="0" xfId="0" applyFont="1" applyFill="1" applyAlignment="1">
      <alignment horizontal="center"/>
    </xf>
    <xf numFmtId="0" fontId="10" fillId="0" borderId="14" xfId="0" applyFont="1" applyFill="1" applyBorder="1" applyAlignment="1">
      <alignment horizontal="center"/>
    </xf>
    <xf numFmtId="0" fontId="18" fillId="0" borderId="0" xfId="0" applyNumberFormat="1" applyFont="1" applyFill="1" applyBorder="1" applyAlignment="1">
      <alignment horizontal="left"/>
    </xf>
    <xf numFmtId="0" fontId="43" fillId="0" borderId="0" xfId="0" applyFont="1" applyBorder="1" applyAlignment="1">
      <alignment horizontal="center"/>
    </xf>
    <xf numFmtId="0" fontId="43" fillId="0" borderId="0" xfId="0" applyNumberFormat="1" applyFont="1" applyBorder="1" applyAlignment="1">
      <alignment horizontal="left"/>
    </xf>
    <xf numFmtId="0" fontId="32" fillId="0" borderId="0" xfId="0" applyFont="1" applyFill="1" applyBorder="1"/>
    <xf numFmtId="0" fontId="32" fillId="0" borderId="0" xfId="0" applyFont="1" applyBorder="1" applyAlignment="1">
      <alignment horizontal="center"/>
    </xf>
    <xf numFmtId="0" fontId="46" fillId="0" borderId="0" xfId="0" applyFont="1" applyFill="1" applyBorder="1" applyAlignment="1">
      <alignment horizontal="center"/>
    </xf>
    <xf numFmtId="0" fontId="32" fillId="0" borderId="0" xfId="0" applyFont="1" applyFill="1" applyBorder="1" applyAlignment="1"/>
    <xf numFmtId="3" fontId="32" fillId="0" borderId="0" xfId="0" applyNumberFormat="1" applyFont="1" applyBorder="1" applyAlignment="1">
      <alignment horizontal="center"/>
    </xf>
    <xf numFmtId="0" fontId="45" fillId="0" borderId="0" xfId="0" applyNumberFormat="1" applyFont="1" applyFill="1" applyBorder="1" applyAlignment="1">
      <alignment horizontal="left"/>
    </xf>
    <xf numFmtId="3" fontId="32" fillId="0" borderId="0" xfId="0" applyNumberFormat="1" applyFont="1" applyFill="1" applyBorder="1" applyAlignment="1"/>
    <xf numFmtId="0" fontId="32" fillId="0" borderId="0" xfId="0" applyNumberFormat="1" applyFont="1" applyFill="1" applyBorder="1" applyAlignment="1"/>
    <xf numFmtId="0" fontId="46" fillId="0" borderId="0" xfId="0" applyFont="1" applyFill="1" applyBorder="1"/>
    <xf numFmtId="3" fontId="46" fillId="0" borderId="0" xfId="0" applyNumberFormat="1" applyFont="1" applyFill="1" applyBorder="1" applyAlignment="1">
      <alignment horizontal="center"/>
    </xf>
    <xf numFmtId="0" fontId="32" fillId="0" borderId="0" xfId="0" applyFont="1" applyFill="1" applyBorder="1" applyAlignment="1">
      <alignment horizontal="left"/>
    </xf>
    <xf numFmtId="0" fontId="32" fillId="0" borderId="0" xfId="0" applyNumberFormat="1" applyFont="1" applyBorder="1" applyAlignment="1">
      <alignment horizontal="center"/>
    </xf>
    <xf numFmtId="0" fontId="45" fillId="0" borderId="0" xfId="0" applyFont="1" applyBorder="1" applyAlignment="1">
      <alignment horizontal="left"/>
    </xf>
    <xf numFmtId="0" fontId="32" fillId="0" borderId="0" xfId="0" applyNumberFormat="1" applyFont="1" applyFill="1" applyBorder="1" applyAlignment="1">
      <alignment horizontal="left"/>
    </xf>
    <xf numFmtId="0" fontId="32" fillId="0" borderId="0" xfId="0" applyNumberFormat="1" applyFont="1" applyBorder="1" applyAlignment="1">
      <alignment horizontal="left"/>
    </xf>
    <xf numFmtId="168" fontId="45" fillId="0" borderId="0" xfId="0" applyNumberFormat="1" applyFont="1" applyBorder="1" applyAlignment="1">
      <alignment horizontal="left"/>
    </xf>
    <xf numFmtId="0" fontId="32" fillId="0" borderId="0" xfId="0" applyFont="1" applyBorder="1"/>
    <xf numFmtId="0" fontId="47" fillId="0" borderId="0" xfId="0" applyNumberFormat="1" applyFont="1" applyBorder="1" applyAlignment="1">
      <alignment horizontal="center"/>
    </xf>
    <xf numFmtId="0" fontId="45" fillId="0" borderId="0" xfId="0" applyNumberFormat="1" applyFont="1" applyBorder="1" applyAlignment="1">
      <alignment horizontal="left"/>
    </xf>
    <xf numFmtId="0" fontId="47" fillId="0" borderId="0" xfId="0" applyNumberFormat="1" applyFont="1" applyFill="1" applyBorder="1" applyAlignment="1"/>
    <xf numFmtId="0" fontId="47" fillId="0" borderId="0" xfId="0" applyFont="1" applyFill="1" applyBorder="1" applyAlignment="1"/>
    <xf numFmtId="3" fontId="47" fillId="0" borderId="0" xfId="0" applyNumberFormat="1" applyFont="1" applyBorder="1" applyAlignment="1">
      <alignment horizontal="center"/>
    </xf>
    <xf numFmtId="0" fontId="32" fillId="0" borderId="0" xfId="0" applyNumberFormat="1" applyFont="1" applyFill="1" applyBorder="1" applyAlignment="1">
      <alignment horizontal="center"/>
    </xf>
    <xf numFmtId="0" fontId="45" fillId="0" borderId="0" xfId="0" applyNumberFormat="1" applyFont="1" applyFill="1" applyBorder="1" applyAlignment="1"/>
    <xf numFmtId="0" fontId="46" fillId="0" borderId="0" xfId="0" applyFont="1" applyBorder="1" applyAlignment="1">
      <alignment horizontal="center"/>
    </xf>
    <xf numFmtId="3" fontId="32" fillId="0" borderId="20" xfId="0" applyNumberFormat="1" applyFont="1" applyBorder="1" applyAlignment="1"/>
    <xf numFmtId="0" fontId="32" fillId="0" borderId="17" xfId="0" applyNumberFormat="1" applyFont="1" applyBorder="1" applyAlignment="1">
      <alignment horizontal="center"/>
    </xf>
    <xf numFmtId="0" fontId="32" fillId="0" borderId="17" xfId="0" applyFont="1" applyBorder="1" applyAlignment="1">
      <alignment horizontal="center"/>
    </xf>
    <xf numFmtId="0" fontId="32" fillId="0" borderId="20" xfId="0" applyFont="1" applyBorder="1"/>
    <xf numFmtId="0" fontId="32" fillId="0" borderId="20" xfId="0" applyFont="1" applyBorder="1" applyAlignment="1"/>
    <xf numFmtId="3" fontId="32" fillId="0" borderId="0" xfId="0" applyNumberFormat="1" applyFont="1" applyFill="1" applyBorder="1" applyAlignment="1">
      <alignment horizontal="center"/>
    </xf>
    <xf numFmtId="0" fontId="32" fillId="0" borderId="17" xfId="0" applyNumberFormat="1" applyFont="1" applyFill="1" applyBorder="1" applyAlignment="1">
      <alignment horizontal="center"/>
    </xf>
    <xf numFmtId="3" fontId="32" fillId="0" borderId="20" xfId="0" applyNumberFormat="1" applyFont="1" applyFill="1" applyBorder="1" applyAlignment="1"/>
    <xf numFmtId="0" fontId="32" fillId="0" borderId="17" xfId="0" applyFont="1" applyFill="1" applyBorder="1" applyAlignment="1">
      <alignment horizontal="center"/>
    </xf>
    <xf numFmtId="0" fontId="32" fillId="0" borderId="0" xfId="0" applyNumberFormat="1" applyFont="1" applyFill="1" applyBorder="1" applyAlignment="1">
      <alignment horizontal="right"/>
    </xf>
    <xf numFmtId="0" fontId="32" fillId="0" borderId="20" xfId="0" applyNumberFormat="1" applyFont="1" applyFill="1" applyBorder="1" applyAlignment="1">
      <alignment horizontal="left"/>
    </xf>
    <xf numFmtId="0" fontId="32" fillId="0" borderId="0" xfId="0" applyFont="1" applyBorder="1" applyAlignment="1">
      <alignment horizontal="left"/>
    </xf>
    <xf numFmtId="0" fontId="45" fillId="0" borderId="17" xfId="0" applyFont="1" applyBorder="1"/>
    <xf numFmtId="0" fontId="45" fillId="0" borderId="0" xfId="0" applyFont="1" applyBorder="1"/>
    <xf numFmtId="3" fontId="46" fillId="0" borderId="0" xfId="0" applyNumberFormat="1" applyFont="1" applyBorder="1" applyAlignment="1">
      <alignment horizontal="center"/>
    </xf>
    <xf numFmtId="0" fontId="32" fillId="0" borderId="20" xfId="0" applyFont="1" applyFill="1" applyBorder="1" applyAlignment="1"/>
    <xf numFmtId="0" fontId="32" fillId="0" borderId="20" xfId="0" applyNumberFormat="1" applyFont="1" applyFill="1" applyBorder="1" applyAlignment="1"/>
    <xf numFmtId="0" fontId="32" fillId="0" borderId="0" xfId="0" applyNumberFormat="1" applyFont="1" applyBorder="1" applyAlignment="1">
      <alignment horizontal="right"/>
    </xf>
    <xf numFmtId="0" fontId="46" fillId="0" borderId="0" xfId="0" applyNumberFormat="1" applyFont="1" applyFill="1" applyBorder="1" applyAlignment="1">
      <alignment horizontal="center"/>
    </xf>
    <xf numFmtId="0" fontId="32" fillId="0" borderId="20" xfId="0" applyNumberFormat="1" applyFont="1" applyBorder="1" applyAlignment="1"/>
    <xf numFmtId="0" fontId="47" fillId="0" borderId="17" xfId="0" applyNumberFormat="1" applyFont="1" applyBorder="1" applyAlignment="1">
      <alignment horizontal="center"/>
    </xf>
    <xf numFmtId="3" fontId="45" fillId="0" borderId="20" xfId="0" applyNumberFormat="1" applyFont="1" applyBorder="1" applyAlignment="1"/>
    <xf numFmtId="0" fontId="46" fillId="0" borderId="0" xfId="0" applyFont="1" applyFill="1" applyBorder="1" applyAlignment="1"/>
    <xf numFmtId="0" fontId="46" fillId="0" borderId="0" xfId="0" applyNumberFormat="1" applyFont="1" applyBorder="1" applyAlignment="1">
      <alignment horizontal="center"/>
    </xf>
    <xf numFmtId="0" fontId="32" fillId="0" borderId="18" xfId="0" applyNumberFormat="1" applyFont="1" applyFill="1" applyBorder="1" applyAlignment="1">
      <alignment horizontal="center"/>
    </xf>
    <xf numFmtId="0" fontId="32" fillId="0" borderId="9" xfId="0" applyNumberFormat="1" applyFont="1" applyBorder="1" applyAlignment="1">
      <alignment horizontal="center"/>
    </xf>
    <xf numFmtId="0" fontId="32" fillId="0" borderId="9" xfId="0" applyFont="1" applyBorder="1" applyAlignment="1"/>
    <xf numFmtId="0" fontId="32" fillId="0" borderId="9" xfId="0" applyNumberFormat="1" applyFont="1" applyFill="1" applyBorder="1" applyAlignment="1">
      <alignment horizontal="center"/>
    </xf>
    <xf numFmtId="0" fontId="32" fillId="0" borderId="9" xfId="0" applyFont="1" applyFill="1" applyBorder="1" applyAlignment="1"/>
    <xf numFmtId="0" fontId="49" fillId="0" borderId="0" xfId="0" applyFont="1" applyFill="1" applyBorder="1" applyAlignment="1">
      <alignment horizontal="left"/>
    </xf>
    <xf numFmtId="0" fontId="32" fillId="0" borderId="9" xfId="0" applyNumberFormat="1" applyFont="1" applyFill="1" applyBorder="1" applyAlignment="1">
      <alignment horizontal="right"/>
    </xf>
    <xf numFmtId="0" fontId="32" fillId="0" borderId="9" xfId="0" applyNumberFormat="1" applyFont="1" applyFill="1" applyBorder="1" applyAlignment="1">
      <alignment horizontal="left"/>
    </xf>
    <xf numFmtId="0" fontId="46" fillId="0" borderId="9" xfId="0" applyNumberFormat="1" applyFont="1" applyFill="1" applyBorder="1" applyAlignment="1">
      <alignment horizontal="center"/>
    </xf>
    <xf numFmtId="0" fontId="32" fillId="0" borderId="19" xfId="0" applyNumberFormat="1" applyFont="1" applyFill="1" applyBorder="1" applyAlignment="1">
      <alignment horizontal="left"/>
    </xf>
    <xf numFmtId="0" fontId="46" fillId="0" borderId="9" xfId="0" applyFont="1" applyFill="1" applyBorder="1" applyAlignment="1">
      <alignment horizontal="center"/>
    </xf>
    <xf numFmtId="0" fontId="32" fillId="0" borderId="9" xfId="0" applyFont="1" applyBorder="1"/>
    <xf numFmtId="0" fontId="32" fillId="0" borderId="19" xfId="0" applyNumberFormat="1" applyFont="1" applyFill="1" applyBorder="1" applyAlignment="1"/>
    <xf numFmtId="0" fontId="32" fillId="0" borderId="18" xfId="0" applyNumberFormat="1" applyFont="1" applyBorder="1" applyAlignment="1">
      <alignment horizontal="center"/>
    </xf>
    <xf numFmtId="170" fontId="32" fillId="0" borderId="9" xfId="0" applyNumberFormat="1" applyFont="1" applyBorder="1" applyAlignment="1"/>
    <xf numFmtId="0" fontId="46" fillId="0" borderId="9" xfId="0" applyFont="1" applyFill="1" applyBorder="1" applyAlignment="1"/>
    <xf numFmtId="0" fontId="32" fillId="0" borderId="20" xfId="0" applyNumberFormat="1" applyFont="1" applyFill="1" applyBorder="1" applyAlignment="1">
      <alignment horizontal="center"/>
    </xf>
    <xf numFmtId="0" fontId="32" fillId="0" borderId="19" xfId="0" applyNumberFormat="1" applyFont="1" applyFill="1" applyBorder="1" applyAlignment="1">
      <alignment horizontal="center"/>
    </xf>
    <xf numFmtId="0" fontId="40" fillId="0" borderId="20" xfId="0" applyFont="1" applyBorder="1"/>
    <xf numFmtId="0" fontId="40" fillId="0" borderId="9" xfId="0" applyFont="1" applyBorder="1"/>
    <xf numFmtId="0" fontId="40" fillId="0" borderId="17" xfId="0" applyFont="1" applyBorder="1"/>
    <xf numFmtId="0" fontId="40" fillId="0" borderId="0" xfId="0" applyFont="1" applyFill="1" applyBorder="1" applyAlignment="1">
      <alignment horizontal="center" wrapText="1"/>
    </xf>
    <xf numFmtId="0" fontId="43" fillId="0" borderId="0" xfId="0" applyFont="1" applyFill="1" applyBorder="1" applyAlignment="1">
      <alignment horizontal="center" wrapText="1"/>
    </xf>
    <xf numFmtId="0" fontId="40" fillId="0" borderId="18" xfId="0" applyFont="1" applyBorder="1"/>
    <xf numFmtId="0" fontId="40" fillId="0" borderId="19" xfId="0" applyFont="1" applyBorder="1"/>
    <xf numFmtId="0" fontId="50" fillId="0" borderId="0" xfId="0" applyFont="1"/>
    <xf numFmtId="0" fontId="39" fillId="27" borderId="13" xfId="0" applyFont="1" applyFill="1" applyBorder="1" applyAlignment="1">
      <alignment horizontal="center" wrapText="1"/>
    </xf>
    <xf numFmtId="0" fontId="39" fillId="0" borderId="9" xfId="0" applyFont="1" applyBorder="1"/>
    <xf numFmtId="0" fontId="48" fillId="27" borderId="21" xfId="0" applyFont="1" applyFill="1" applyBorder="1" applyAlignment="1">
      <alignment horizontal="center"/>
    </xf>
    <xf numFmtId="0" fontId="48" fillId="27" borderId="13" xfId="0" applyFont="1" applyFill="1" applyBorder="1" applyAlignment="1">
      <alignment horizontal="center"/>
    </xf>
    <xf numFmtId="0" fontId="28" fillId="26" borderId="0" xfId="0" applyFont="1" applyFill="1" applyBorder="1" applyAlignment="1">
      <alignment horizontal="center"/>
    </xf>
    <xf numFmtId="0" fontId="44" fillId="27" borderId="13" xfId="0" applyFont="1" applyFill="1" applyBorder="1" applyAlignment="1">
      <alignment horizontal="center"/>
    </xf>
    <xf numFmtId="0" fontId="44" fillId="27" borderId="22" xfId="0" applyFont="1" applyFill="1" applyBorder="1" applyAlignment="1">
      <alignment horizontal="center"/>
    </xf>
    <xf numFmtId="0" fontId="40" fillId="0" borderId="0" xfId="0" applyFont="1" applyBorder="1" applyAlignment="1"/>
    <xf numFmtId="0" fontId="40" fillId="0" borderId="20" xfId="0" applyFont="1" applyBorder="1" applyAlignment="1"/>
    <xf numFmtId="0" fontId="40" fillId="0" borderId="0" xfId="0" applyFont="1" applyFill="1" applyBorder="1" applyAlignment="1">
      <alignment horizontal="center"/>
    </xf>
    <xf numFmtId="0" fontId="40" fillId="0" borderId="20" xfId="0" applyFont="1" applyFill="1" applyBorder="1" applyAlignment="1">
      <alignment horizontal="center"/>
    </xf>
    <xf numFmtId="0" fontId="40" fillId="0" borderId="9" xfId="0" applyFont="1" applyBorder="1" applyAlignment="1"/>
    <xf numFmtId="0" fontId="40" fillId="0" borderId="19" xfId="0" applyFont="1" applyBorder="1" applyAlignment="1"/>
    <xf numFmtId="0" fontId="14" fillId="27" borderId="13" xfId="0" applyFont="1" applyFill="1" applyBorder="1" applyAlignment="1">
      <alignment horizontal="center"/>
    </xf>
    <xf numFmtId="2" fontId="32" fillId="0" borderId="0" xfId="0" applyNumberFormat="1" applyFont="1" applyFill="1" applyBorder="1" applyAlignment="1">
      <alignment horizontal="center"/>
    </xf>
    <xf numFmtId="0" fontId="45" fillId="0" borderId="0" xfId="0" applyFont="1" applyFill="1" applyBorder="1" applyAlignment="1">
      <alignment horizontal="center"/>
    </xf>
    <xf numFmtId="2" fontId="45" fillId="0" borderId="17" xfId="0" applyNumberFormat="1" applyFont="1" applyFill="1" applyBorder="1" applyAlignment="1">
      <alignment horizontal="center"/>
    </xf>
    <xf numFmtId="0" fontId="43" fillId="0" borderId="0" xfId="0" applyFont="1" applyBorder="1"/>
    <xf numFmtId="0" fontId="12" fillId="0" borderId="0" xfId="0" applyFont="1" applyFill="1" applyBorder="1" applyAlignment="1">
      <alignment horizontal="left"/>
    </xf>
    <xf numFmtId="0" fontId="33" fillId="0" borderId="0" xfId="0" applyFont="1" applyFill="1" applyBorder="1" applyAlignment="1">
      <alignment horizontal="center"/>
    </xf>
    <xf numFmtId="37" fontId="32" fillId="0" borderId="0" xfId="0" applyNumberFormat="1" applyFont="1" applyFill="1" applyBorder="1" applyAlignment="1">
      <alignment horizontal="left"/>
    </xf>
    <xf numFmtId="0" fontId="51" fillId="0" borderId="0" xfId="0" applyFont="1" applyFill="1" applyAlignment="1"/>
    <xf numFmtId="0" fontId="25" fillId="0" borderId="0" xfId="0" applyFont="1" applyFill="1" applyBorder="1" applyAlignment="1">
      <alignment horizontal="center"/>
    </xf>
    <xf numFmtId="0" fontId="10" fillId="0" borderId="14" xfId="0" applyFont="1" applyFill="1" applyBorder="1"/>
    <xf numFmtId="0" fontId="14" fillId="0" borderId="0" xfId="0" applyFont="1"/>
    <xf numFmtId="0" fontId="40" fillId="0" borderId="21" xfId="0" applyFont="1" applyBorder="1"/>
    <xf numFmtId="0" fontId="43" fillId="0" borderId="21" xfId="0" applyFont="1" applyBorder="1" applyAlignment="1">
      <alignment horizontal="center"/>
    </xf>
    <xf numFmtId="0" fontId="43" fillId="0" borderId="13" xfId="0" applyFont="1" applyBorder="1" applyAlignment="1">
      <alignment horizontal="center"/>
    </xf>
    <xf numFmtId="0" fontId="43" fillId="0" borderId="22" xfId="0" applyFont="1" applyBorder="1" applyAlignment="1">
      <alignment horizontal="center"/>
    </xf>
    <xf numFmtId="0" fontId="40" fillId="0" borderId="0" xfId="0" applyFont="1" applyBorder="1" applyAlignment="1">
      <alignment horizontal="center"/>
    </xf>
    <xf numFmtId="0" fontId="40" fillId="0" borderId="20" xfId="0" applyFont="1" applyBorder="1" applyAlignment="1">
      <alignment horizontal="center"/>
    </xf>
    <xf numFmtId="0" fontId="40" fillId="0" borderId="9" xfId="0" applyFont="1" applyBorder="1" applyAlignment="1">
      <alignment horizontal="center"/>
    </xf>
    <xf numFmtId="0" fontId="43" fillId="0" borderId="23" xfId="0" applyFont="1" applyBorder="1" applyAlignment="1">
      <alignment horizontal="center"/>
    </xf>
    <xf numFmtId="0" fontId="40" fillId="0" borderId="24" xfId="0" applyFont="1" applyBorder="1" applyAlignment="1">
      <alignment horizontal="center"/>
    </xf>
    <xf numFmtId="164" fontId="40" fillId="0" borderId="0" xfId="0" applyNumberFormat="1" applyFont="1" applyBorder="1"/>
    <xf numFmtId="167" fontId="40" fillId="0" borderId="20" xfId="0" applyNumberFormat="1" applyFont="1" applyBorder="1"/>
    <xf numFmtId="167" fontId="40" fillId="0" borderId="0" xfId="0" applyNumberFormat="1" applyFont="1" applyBorder="1"/>
    <xf numFmtId="164" fontId="40" fillId="0" borderId="17" xfId="0" applyNumberFormat="1" applyFont="1" applyBorder="1"/>
    <xf numFmtId="164" fontId="43" fillId="0" borderId="24" xfId="0" applyNumberFormat="1" applyFont="1" applyBorder="1"/>
    <xf numFmtId="164" fontId="43" fillId="0" borderId="0" xfId="0" applyNumberFormat="1" applyFont="1" applyBorder="1"/>
    <xf numFmtId="164" fontId="43" fillId="0" borderId="25" xfId="0" applyNumberFormat="1" applyFont="1" applyBorder="1"/>
    <xf numFmtId="164" fontId="43" fillId="0" borderId="9" xfId="0" applyNumberFormat="1" applyFont="1" applyBorder="1"/>
    <xf numFmtId="167" fontId="40" fillId="0" borderId="9" xfId="0" applyNumberFormat="1" applyFont="1" applyBorder="1"/>
    <xf numFmtId="0" fontId="40" fillId="0" borderId="0" xfId="0" applyFont="1" applyAlignment="1">
      <alignment horizontal="center"/>
    </xf>
    <xf numFmtId="0" fontId="43" fillId="0" borderId="23" xfId="0" applyFont="1" applyFill="1" applyBorder="1" applyAlignment="1">
      <alignment horizontal="center"/>
    </xf>
    <xf numFmtId="0" fontId="40" fillId="0" borderId="17" xfId="0" applyFont="1" applyFill="1" applyBorder="1"/>
    <xf numFmtId="37" fontId="22" fillId="0" borderId="0" xfId="0" applyNumberFormat="1" applyFont="1" applyFill="1" applyBorder="1" applyAlignment="1">
      <alignment horizontal="left"/>
    </xf>
    <xf numFmtId="0" fontId="22" fillId="0" borderId="0" xfId="0" applyFont="1" applyFill="1" applyBorder="1" applyAlignment="1"/>
    <xf numFmtId="0" fontId="8"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0" fontId="40" fillId="0" borderId="22" xfId="0" applyFont="1" applyBorder="1"/>
    <xf numFmtId="0" fontId="40" fillId="0" borderId="20" xfId="0" applyFont="1" applyFill="1" applyBorder="1"/>
    <xf numFmtId="164" fontId="52" fillId="25" borderId="0" xfId="28" applyNumberFormat="1" applyFont="1" applyFill="1"/>
    <xf numFmtId="0" fontId="54" fillId="26" borderId="0" xfId="0" applyFont="1" applyFill="1"/>
    <xf numFmtId="0" fontId="55" fillId="0" borderId="0" xfId="0" applyNumberFormat="1" applyFont="1" applyFill="1" applyBorder="1" applyAlignment="1">
      <alignment horizontal="center"/>
    </xf>
    <xf numFmtId="3" fontId="10" fillId="0" borderId="0" xfId="0" applyNumberFormat="1" applyFont="1" applyAlignment="1">
      <alignment horizontal="center"/>
    </xf>
    <xf numFmtId="0" fontId="47" fillId="0" borderId="0" xfId="0" applyFont="1" applyAlignment="1">
      <alignment horizontal="center"/>
    </xf>
    <xf numFmtId="0" fontId="40" fillId="0" borderId="0" xfId="0" applyFont="1" applyAlignment="1">
      <alignment horizontal="right"/>
    </xf>
    <xf numFmtId="0" fontId="16" fillId="0" borderId="20" xfId="0" applyFont="1" applyBorder="1"/>
    <xf numFmtId="0" fontId="10" fillId="28" borderId="13" xfId="0" applyFont="1" applyFill="1" applyBorder="1" applyAlignment="1"/>
    <xf numFmtId="0" fontId="10" fillId="28" borderId="13" xfId="0" applyFont="1" applyFill="1" applyBorder="1" applyAlignment="1">
      <alignment horizontal="center"/>
    </xf>
    <xf numFmtId="0" fontId="10" fillId="28" borderId="22" xfId="0" applyFont="1" applyFill="1" applyBorder="1"/>
    <xf numFmtId="0" fontId="34" fillId="28" borderId="18" xfId="0" applyFont="1" applyFill="1" applyBorder="1" applyAlignment="1">
      <alignment horizontal="left"/>
    </xf>
    <xf numFmtId="0" fontId="23" fillId="28" borderId="9" xfId="0" applyFont="1" applyFill="1" applyBorder="1" applyAlignment="1"/>
    <xf numFmtId="0" fontId="16" fillId="28" borderId="9" xfId="0" applyFont="1" applyFill="1" applyBorder="1" applyAlignment="1"/>
    <xf numFmtId="0" fontId="23" fillId="28" borderId="9" xfId="0" applyNumberFormat="1" applyFont="1" applyFill="1" applyBorder="1" applyAlignment="1">
      <alignment horizontal="center"/>
    </xf>
    <xf numFmtId="0" fontId="8" fillId="28" borderId="19" xfId="0" applyFont="1" applyFill="1" applyBorder="1" applyAlignment="1">
      <alignment horizontal="center" wrapText="1"/>
    </xf>
    <xf numFmtId="0" fontId="34" fillId="28" borderId="21" xfId="0" applyFont="1" applyFill="1" applyBorder="1" applyAlignment="1">
      <alignment horizontal="left"/>
    </xf>
    <xf numFmtId="0" fontId="20" fillId="0" borderId="0" xfId="0" applyFont="1" applyAlignment="1">
      <alignment horizontal="center"/>
    </xf>
    <xf numFmtId="165" fontId="12" fillId="0" borderId="14" xfId="46" applyFont="1" applyFill="1" applyBorder="1" applyAlignment="1">
      <alignment vertical="center"/>
    </xf>
    <xf numFmtId="0" fontId="12" fillId="0" borderId="14" xfId="0" applyFont="1" applyFill="1" applyBorder="1" applyAlignment="1"/>
    <xf numFmtId="0" fontId="12" fillId="0" borderId="0" xfId="0" applyFont="1" applyFill="1"/>
    <xf numFmtId="0" fontId="22" fillId="0" borderId="0" xfId="0" applyFont="1" applyFill="1" applyAlignment="1"/>
    <xf numFmtId="3" fontId="8" fillId="0" borderId="0" xfId="0" applyNumberFormat="1" applyFont="1" applyFill="1" applyAlignment="1"/>
    <xf numFmtId="173" fontId="12" fillId="0" borderId="0" xfId="51" applyNumberFormat="1" applyFont="1" applyBorder="1" applyAlignment="1"/>
    <xf numFmtId="0" fontId="0" fillId="0" borderId="0" xfId="0" applyFill="1" applyAlignment="1">
      <alignment wrapText="1"/>
    </xf>
    <xf numFmtId="37" fontId="0" fillId="0" borderId="0" xfId="0" applyNumberFormat="1" applyFill="1"/>
    <xf numFmtId="37" fontId="0" fillId="0" borderId="0" xfId="0" applyNumberFormat="1" applyAlignment="1">
      <alignment horizontal="right" wrapText="1"/>
    </xf>
    <xf numFmtId="172" fontId="0" fillId="25" borderId="0" xfId="0" applyNumberFormat="1" applyFill="1" applyAlignment="1">
      <alignment horizontal="center" wrapText="1"/>
    </xf>
    <xf numFmtId="37" fontId="0" fillId="0" borderId="0" xfId="0" applyNumberFormat="1" applyFill="1" applyAlignment="1">
      <alignment horizontal="right" wrapText="1"/>
    </xf>
    <xf numFmtId="0" fontId="9" fillId="0" borderId="0" xfId="0" applyFont="1" applyFill="1"/>
    <xf numFmtId="0" fontId="42" fillId="0" borderId="0" xfId="0" applyFont="1" applyAlignment="1">
      <alignment horizontal="right"/>
    </xf>
    <xf numFmtId="0" fontId="7" fillId="0" borderId="0" xfId="0" applyFont="1" applyAlignment="1"/>
    <xf numFmtId="0" fontId="0" fillId="0" borderId="0" xfId="0" applyAlignment="1">
      <alignment horizontal="left"/>
    </xf>
    <xf numFmtId="0" fontId="57" fillId="0" borderId="0" xfId="0" applyFont="1"/>
    <xf numFmtId="0" fontId="57" fillId="0" borderId="0" xfId="0" applyFont="1" applyAlignment="1"/>
    <xf numFmtId="0" fontId="0" fillId="0" borderId="0" xfId="0" applyAlignment="1">
      <alignment horizontal="left" vertical="center"/>
    </xf>
    <xf numFmtId="0" fontId="58" fillId="0" borderId="0" xfId="0" applyFont="1" applyAlignment="1"/>
    <xf numFmtId="0" fontId="18" fillId="0" borderId="0" xfId="0" applyFont="1" applyFill="1" applyAlignment="1"/>
    <xf numFmtId="0" fontId="18" fillId="0" borderId="0" xfId="0" applyFont="1"/>
    <xf numFmtId="0" fontId="18" fillId="0" borderId="0" xfId="0" applyFont="1" applyAlignment="1"/>
    <xf numFmtId="0" fontId="0" fillId="0" borderId="0" xfId="0" applyAlignment="1">
      <alignment vertical="top"/>
    </xf>
    <xf numFmtId="164" fontId="0" fillId="0" borderId="0" xfId="28" applyNumberFormat="1" applyFont="1" applyAlignment="1"/>
    <xf numFmtId="164" fontId="6" fillId="25" borderId="0" xfId="28" applyNumberFormat="1" applyFill="1" applyAlignment="1"/>
    <xf numFmtId="164" fontId="6" fillId="25" borderId="0" xfId="28" applyNumberFormat="1" applyFont="1" applyFill="1" applyAlignment="1">
      <alignment wrapText="1"/>
    </xf>
    <xf numFmtId="164" fontId="18" fillId="25" borderId="0" xfId="28" applyNumberFormat="1" applyFont="1" applyFill="1" applyBorder="1" applyAlignment="1">
      <alignment wrapText="1"/>
    </xf>
    <xf numFmtId="164" fontId="6" fillId="0" borderId="0" xfId="28" applyNumberFormat="1" applyFill="1" applyBorder="1" applyAlignment="1">
      <alignment wrapText="1"/>
    </xf>
    <xf numFmtId="164" fontId="0" fillId="0" borderId="0" xfId="28" applyNumberFormat="1" applyFont="1" applyAlignment="1">
      <alignment vertical="center" wrapText="1"/>
    </xf>
    <xf numFmtId="164" fontId="6" fillId="25" borderId="0" xfId="28" applyNumberFormat="1" applyFill="1" applyAlignment="1">
      <alignment wrapText="1"/>
    </xf>
    <xf numFmtId="164" fontId="0" fillId="25" borderId="0" xfId="28" applyNumberFormat="1" applyFont="1" applyFill="1" applyAlignment="1">
      <alignment wrapText="1"/>
    </xf>
    <xf numFmtId="164" fontId="6" fillId="25" borderId="0" xfId="28" applyNumberFormat="1" applyFill="1" applyAlignment="1">
      <alignment vertical="center" wrapText="1"/>
    </xf>
    <xf numFmtId="164" fontId="0" fillId="25" borderId="0" xfId="28" applyNumberFormat="1" applyFont="1" applyFill="1" applyAlignment="1"/>
    <xf numFmtId="164" fontId="0" fillId="0" borderId="0" xfId="28" applyNumberFormat="1" applyFont="1" applyFill="1" applyAlignment="1"/>
    <xf numFmtId="164" fontId="0" fillId="0" borderId="0" xfId="28" applyNumberFormat="1" applyFont="1" applyFill="1" applyBorder="1" applyAlignment="1"/>
    <xf numFmtId="164" fontId="0" fillId="0" borderId="0" xfId="28" applyNumberFormat="1" applyFont="1" applyBorder="1" applyAlignment="1"/>
    <xf numFmtId="3" fontId="40" fillId="0" borderId="0" xfId="0" applyNumberFormat="1" applyFont="1" applyBorder="1" applyAlignment="1">
      <alignment horizontal="center"/>
    </xf>
    <xf numFmtId="3" fontId="40" fillId="0" borderId="9" xfId="0" applyNumberFormat="1" applyFont="1" applyBorder="1" applyAlignment="1">
      <alignment horizontal="center"/>
    </xf>
    <xf numFmtId="0" fontId="13" fillId="0" borderId="14" xfId="0" applyFont="1" applyBorder="1" applyAlignment="1">
      <alignment horizontal="center"/>
    </xf>
    <xf numFmtId="0" fontId="12" fillId="0" borderId="0" xfId="0" applyNumberFormat="1" applyFont="1" applyFill="1" applyBorder="1" applyAlignment="1">
      <alignment horizontal="left"/>
    </xf>
    <xf numFmtId="0" fontId="12" fillId="0" borderId="14" xfId="0" applyNumberFormat="1" applyFont="1" applyFill="1" applyBorder="1" applyAlignment="1">
      <alignment horizontal="left"/>
    </xf>
    <xf numFmtId="0" fontId="0" fillId="0" borderId="9" xfId="0" applyFill="1" applyBorder="1"/>
    <xf numFmtId="0" fontId="43" fillId="0" borderId="0" xfId="0" applyFont="1" applyFill="1" applyBorder="1" applyAlignment="1">
      <alignment horizontal="center"/>
    </xf>
    <xf numFmtId="0" fontId="40" fillId="0" borderId="9" xfId="0" applyFont="1" applyFill="1" applyBorder="1"/>
    <xf numFmtId="0" fontId="36" fillId="0" borderId="0" xfId="0" applyFont="1" applyFill="1"/>
    <xf numFmtId="0" fontId="12" fillId="0" borderId="0" xfId="0" applyFont="1" applyFill="1" applyAlignment="1">
      <alignment horizontal="left"/>
    </xf>
    <xf numFmtId="0" fontId="12" fillId="0" borderId="14" xfId="0" applyFont="1" applyFill="1" applyBorder="1" applyAlignment="1">
      <alignment horizontal="left"/>
    </xf>
    <xf numFmtId="164" fontId="0" fillId="0" borderId="0" xfId="28" applyNumberFormat="1" applyFont="1" applyAlignment="1">
      <alignment horizontal="right"/>
    </xf>
    <xf numFmtId="0" fontId="40" fillId="0" borderId="0" xfId="0" applyFont="1" applyBorder="1" applyAlignment="1">
      <alignment horizontal="left" wrapText="1"/>
    </xf>
    <xf numFmtId="0" fontId="40" fillId="0" borderId="0" xfId="0" applyFont="1" applyBorder="1" applyAlignment="1">
      <alignment wrapText="1"/>
    </xf>
    <xf numFmtId="168" fontId="40" fillId="0" borderId="9" xfId="51" applyNumberFormat="1" applyFont="1" applyBorder="1" applyAlignment="1">
      <alignment horizontal="center"/>
    </xf>
    <xf numFmtId="2" fontId="6" fillId="0" borderId="0" xfId="0" applyNumberFormat="1" applyFont="1" applyFill="1" applyBorder="1" applyAlignment="1">
      <alignment horizontal="center"/>
    </xf>
    <xf numFmtId="0" fontId="6" fillId="0" borderId="0" xfId="0" applyFont="1" applyFill="1" applyBorder="1" applyAlignment="1">
      <alignment horizontal="center"/>
    </xf>
    <xf numFmtId="3" fontId="46" fillId="0" borderId="20" xfId="0" applyNumberFormat="1" applyFont="1" applyFill="1" applyBorder="1" applyAlignment="1"/>
    <xf numFmtId="0" fontId="46" fillId="0" borderId="0" xfId="0" applyFont="1" applyFill="1" applyBorder="1" applyAlignment="1">
      <alignment horizontal="right"/>
    </xf>
    <xf numFmtId="3" fontId="32" fillId="0" borderId="20" xfId="0" applyNumberFormat="1" applyFont="1" applyFill="1" applyBorder="1" applyAlignment="1">
      <alignment horizontal="left"/>
    </xf>
    <xf numFmtId="0" fontId="32" fillId="0" borderId="20" xfId="0" applyFont="1" applyBorder="1" applyAlignment="1">
      <alignment horizontal="left"/>
    </xf>
    <xf numFmtId="3" fontId="32" fillId="0" borderId="20" xfId="0" applyNumberFormat="1" applyFont="1" applyBorder="1" applyAlignment="1">
      <alignment horizontal="left"/>
    </xf>
    <xf numFmtId="0" fontId="32" fillId="0" borderId="9" xfId="0" applyNumberFormat="1" applyFont="1" applyBorder="1" applyAlignment="1">
      <alignment horizontal="left"/>
    </xf>
    <xf numFmtId="0" fontId="32" fillId="0" borderId="19" xfId="0" applyNumberFormat="1" applyFont="1" applyBorder="1" applyAlignment="1">
      <alignment horizontal="left"/>
    </xf>
    <xf numFmtId="0" fontId="46" fillId="0" borderId="9" xfId="0" applyNumberFormat="1" applyFont="1" applyBorder="1" applyAlignment="1">
      <alignment horizontal="center"/>
    </xf>
    <xf numFmtId="164" fontId="40" fillId="0" borderId="9" xfId="0" applyNumberFormat="1" applyFont="1" applyBorder="1" applyAlignment="1">
      <alignment horizontal="center"/>
    </xf>
    <xf numFmtId="167" fontId="0" fillId="25" borderId="0" xfId="0" applyNumberFormat="1" applyFill="1"/>
    <xf numFmtId="164" fontId="18" fillId="0" borderId="0" xfId="0" applyNumberFormat="1" applyFont="1"/>
    <xf numFmtId="37" fontId="0" fillId="25" borderId="0" xfId="0" applyNumberFormat="1" applyFill="1" applyAlignment="1">
      <alignment horizontal="left" wrapText="1"/>
    </xf>
    <xf numFmtId="37" fontId="18" fillId="25" borderId="0" xfId="0" applyNumberFormat="1" applyFont="1" applyFill="1"/>
    <xf numFmtId="37" fontId="0" fillId="0" borderId="0" xfId="0" applyNumberFormat="1" applyFill="1" applyAlignment="1">
      <alignment horizontal="left" vertical="center" wrapText="1"/>
    </xf>
    <xf numFmtId="41" fontId="0" fillId="0" borderId="0" xfId="0" applyNumberFormat="1" applyFill="1" applyAlignment="1">
      <alignment horizontal="right"/>
    </xf>
    <xf numFmtId="41" fontId="0" fillId="25" borderId="0" xfId="0" applyNumberFormat="1" applyFill="1" applyAlignment="1">
      <alignment horizontal="right"/>
    </xf>
    <xf numFmtId="37" fontId="0" fillId="25" borderId="0" xfId="0" applyNumberFormat="1" applyFill="1" applyAlignment="1">
      <alignment horizontal="left" vertical="center" wrapText="1"/>
    </xf>
    <xf numFmtId="41" fontId="0" fillId="0" borderId="0" xfId="0" applyNumberFormat="1" applyFill="1" applyBorder="1" applyAlignment="1">
      <alignment horizontal="right"/>
    </xf>
    <xf numFmtId="0" fontId="9" fillId="0" borderId="0" xfId="0" applyFont="1" applyFill="1" applyBorder="1"/>
    <xf numFmtId="0" fontId="18" fillId="0" borderId="0" xfId="0" applyFont="1" applyAlignment="1">
      <alignment horizontal="left" vertical="center" wrapText="1"/>
    </xf>
    <xf numFmtId="0" fontId="18" fillId="0" borderId="0" xfId="0" applyFont="1" applyAlignment="1">
      <alignment horizontal="left" wrapText="1"/>
    </xf>
    <xf numFmtId="3" fontId="40" fillId="0" borderId="17" xfId="0" applyNumberFormat="1" applyFont="1" applyBorder="1" applyAlignment="1">
      <alignment horizontal="right"/>
    </xf>
    <xf numFmtId="164" fontId="40" fillId="0" borderId="18" xfId="28" applyNumberFormat="1" applyFont="1" applyFill="1" applyBorder="1" applyAlignment="1">
      <alignment horizontal="right"/>
    </xf>
    <xf numFmtId="0" fontId="43" fillId="0" borderId="17" xfId="0" applyFont="1" applyBorder="1" applyAlignment="1">
      <alignment horizontal="center"/>
    </xf>
    <xf numFmtId="164" fontId="40" fillId="0" borderId="18" xfId="0" applyNumberFormat="1" applyFont="1" applyBorder="1" applyAlignment="1">
      <alignment horizontal="center"/>
    </xf>
    <xf numFmtId="164" fontId="32" fillId="0" borderId="0" xfId="0" applyNumberFormat="1" applyFont="1" applyFill="1" applyBorder="1" applyAlignment="1">
      <alignment horizontal="center"/>
    </xf>
    <xf numFmtId="164" fontId="43" fillId="0" borderId="18" xfId="28" applyNumberFormat="1" applyFont="1" applyBorder="1" applyAlignment="1">
      <alignment horizontal="center"/>
    </xf>
    <xf numFmtId="3" fontId="40" fillId="0" borderId="0" xfId="0" applyNumberFormat="1" applyFont="1" applyFill="1" applyBorder="1" applyAlignment="1">
      <alignment horizontal="center"/>
    </xf>
    <xf numFmtId="3" fontId="40" fillId="0" borderId="9" xfId="0" applyNumberFormat="1" applyFont="1" applyFill="1" applyBorder="1" applyAlignment="1">
      <alignment horizontal="center"/>
    </xf>
    <xf numFmtId="3" fontId="13" fillId="0" borderId="14" xfId="0" applyNumberFormat="1" applyFont="1" applyFill="1" applyBorder="1" applyAlignment="1">
      <alignment horizontal="center"/>
    </xf>
    <xf numFmtId="0" fontId="39" fillId="27" borderId="21" xfId="0" applyFont="1" applyFill="1" applyBorder="1" applyAlignment="1">
      <alignment horizontal="center" wrapText="1"/>
    </xf>
    <xf numFmtId="3" fontId="40" fillId="0" borderId="17" xfId="0" applyNumberFormat="1" applyFont="1" applyBorder="1" applyAlignment="1">
      <alignment horizontal="center"/>
    </xf>
    <xf numFmtId="0" fontId="40" fillId="0" borderId="20" xfId="0" applyFont="1" applyBorder="1" applyAlignment="1">
      <alignment wrapText="1"/>
    </xf>
    <xf numFmtId="3" fontId="40" fillId="0" borderId="18" xfId="0" applyNumberFormat="1" applyFont="1" applyBorder="1" applyAlignment="1">
      <alignment horizontal="center"/>
    </xf>
    <xf numFmtId="0" fontId="57" fillId="0" borderId="0" xfId="0" applyFont="1" applyFill="1"/>
    <xf numFmtId="0" fontId="40" fillId="25" borderId="17" xfId="0" applyFont="1" applyFill="1" applyBorder="1" applyAlignment="1">
      <alignment horizontal="center"/>
    </xf>
    <xf numFmtId="0" fontId="0" fillId="0" borderId="0" xfId="0" applyAlignment="1">
      <alignment horizontal="left" indent="1"/>
    </xf>
    <xf numFmtId="3" fontId="43" fillId="0" borderId="0" xfId="0" applyNumberFormat="1" applyFont="1" applyBorder="1" applyAlignment="1">
      <alignment horizontal="center"/>
    </xf>
    <xf numFmtId="3" fontId="40" fillId="0" borderId="18" xfId="28" applyNumberFormat="1" applyFont="1" applyBorder="1" applyAlignment="1">
      <alignment horizontal="center"/>
    </xf>
    <xf numFmtId="3" fontId="40" fillId="0" borderId="9" xfId="28" applyNumberFormat="1" applyFont="1" applyBorder="1" applyAlignment="1">
      <alignment horizontal="center"/>
    </xf>
    <xf numFmtId="0" fontId="0" fillId="0" borderId="0" xfId="0" applyFill="1" applyAlignment="1">
      <alignment horizontal="left" wrapText="1"/>
    </xf>
    <xf numFmtId="0" fontId="0" fillId="0" borderId="0" xfId="0" applyFill="1" applyAlignment="1">
      <alignment horizontal="left" vertical="center" wrapText="1"/>
    </xf>
    <xf numFmtId="164" fontId="6" fillId="0" borderId="0" xfId="28" applyNumberFormat="1" applyFill="1" applyAlignment="1"/>
    <xf numFmtId="3" fontId="16" fillId="0" borderId="0" xfId="0" applyNumberFormat="1" applyFont="1" applyFill="1" applyBorder="1" applyAlignment="1"/>
    <xf numFmtId="0" fontId="40" fillId="0" borderId="20" xfId="0" applyFont="1" applyFill="1" applyBorder="1" applyAlignment="1">
      <alignment horizontal="center" wrapText="1"/>
    </xf>
    <xf numFmtId="164" fontId="32" fillId="0" borderId="20" xfId="28" applyNumberFormat="1" applyFont="1" applyFill="1" applyBorder="1" applyAlignment="1">
      <alignment horizontal="center"/>
    </xf>
    <xf numFmtId="164" fontId="32" fillId="0" borderId="0" xfId="28" applyNumberFormat="1" applyFont="1" applyFill="1" applyBorder="1" applyAlignment="1">
      <alignment horizontal="center"/>
    </xf>
    <xf numFmtId="10" fontId="32" fillId="0" borderId="0" xfId="0" applyNumberFormat="1" applyFont="1" applyFill="1" applyBorder="1" applyAlignment="1">
      <alignment horizontal="center"/>
    </xf>
    <xf numFmtId="164" fontId="32" fillId="0" borderId="20" xfId="28" applyNumberFormat="1" applyFont="1" applyFill="1" applyBorder="1" applyAlignment="1">
      <alignment horizontal="left"/>
    </xf>
    <xf numFmtId="3" fontId="8" fillId="0" borderId="0" xfId="0" applyNumberFormat="1" applyFont="1" applyFill="1" applyBorder="1" applyAlignment="1">
      <alignment horizontal="right"/>
    </xf>
    <xf numFmtId="164" fontId="40" fillId="0" borderId="17" xfId="0" applyNumberFormat="1" applyFont="1" applyBorder="1" applyAlignment="1">
      <alignment horizontal="center"/>
    </xf>
    <xf numFmtId="0" fontId="43" fillId="25" borderId="0" xfId="0" applyFont="1" applyFill="1" applyBorder="1" applyAlignment="1">
      <alignment horizontal="center"/>
    </xf>
    <xf numFmtId="3" fontId="12" fillId="26" borderId="0" xfId="0" applyNumberFormat="1" applyFont="1" applyFill="1" applyBorder="1" applyAlignment="1"/>
    <xf numFmtId="0" fontId="7" fillId="0" borderId="0" xfId="0" applyFont="1" applyBorder="1"/>
    <xf numFmtId="164" fontId="45" fillId="0" borderId="0" xfId="28" applyNumberFormat="1" applyFont="1" applyBorder="1"/>
    <xf numFmtId="164" fontId="45" fillId="0" borderId="20" xfId="28" applyNumberFormat="1" applyFont="1" applyBorder="1"/>
    <xf numFmtId="0" fontId="18" fillId="0" borderId="0" xfId="0" applyFont="1" applyBorder="1"/>
    <xf numFmtId="168" fontId="32" fillId="0" borderId="0" xfId="51" applyNumberFormat="1" applyFont="1"/>
    <xf numFmtId="164" fontId="40" fillId="0" borderId="0" xfId="0" applyNumberFormat="1" applyFont="1" applyBorder="1" applyAlignment="1">
      <alignment horizontal="center"/>
    </xf>
    <xf numFmtId="168" fontId="32" fillId="0" borderId="0" xfId="51" applyNumberFormat="1" applyFont="1" applyFill="1" applyBorder="1" applyAlignment="1">
      <alignment horizontal="right"/>
    </xf>
    <xf numFmtId="10" fontId="10" fillId="0" borderId="0" xfId="51" applyNumberFormat="1" applyFont="1" applyAlignment="1"/>
    <xf numFmtId="164" fontId="43" fillId="0" borderId="0" xfId="0" applyNumberFormat="1" applyFont="1" applyFill="1" applyBorder="1" applyAlignment="1">
      <alignment horizontal="center" wrapText="1"/>
    </xf>
    <xf numFmtId="0" fontId="0" fillId="0" borderId="0" xfId="0" applyFill="1" applyAlignment="1">
      <alignment horizontal="left"/>
    </xf>
    <xf numFmtId="0" fontId="60" fillId="0" borderId="0" xfId="0" applyFont="1" applyAlignment="1">
      <alignment horizontal="center"/>
    </xf>
    <xf numFmtId="9" fontId="40" fillId="0" borderId="0" xfId="51" applyFont="1" applyBorder="1" applyAlignment="1">
      <alignment horizontal="center"/>
    </xf>
    <xf numFmtId="10" fontId="40" fillId="0" borderId="0" xfId="51" applyNumberFormat="1" applyFont="1" applyBorder="1" applyAlignment="1">
      <alignment horizontal="center"/>
    </xf>
    <xf numFmtId="164" fontId="40" fillId="0" borderId="18" xfId="0" applyNumberFormat="1" applyFont="1" applyFill="1" applyBorder="1" applyAlignment="1">
      <alignment horizontal="center"/>
    </xf>
    <xf numFmtId="164" fontId="40" fillId="27" borderId="17" xfId="0" applyNumberFormat="1" applyFont="1" applyFill="1" applyBorder="1" applyAlignment="1">
      <alignment horizontal="center"/>
    </xf>
    <xf numFmtId="164" fontId="40" fillId="27" borderId="18" xfId="0" applyNumberFormat="1" applyFont="1" applyFill="1" applyBorder="1" applyAlignment="1">
      <alignment horizontal="center"/>
    </xf>
    <xf numFmtId="0" fontId="13" fillId="0" borderId="0" xfId="0" applyFont="1" applyFill="1" applyBorder="1" applyAlignment="1">
      <alignment horizontal="right"/>
    </xf>
    <xf numFmtId="164" fontId="0" fillId="0" borderId="0" xfId="28" applyNumberFormat="1" applyFont="1" applyFill="1"/>
    <xf numFmtId="164" fontId="0" fillId="0" borderId="0" xfId="28" applyNumberFormat="1" applyFont="1" applyFill="1" applyAlignment="1">
      <alignment horizontal="right"/>
    </xf>
    <xf numFmtId="164" fontId="0" fillId="0" borderId="0" xfId="28" applyNumberFormat="1" applyFont="1" applyFill="1" applyBorder="1" applyAlignment="1">
      <alignment horizontal="right"/>
    </xf>
    <xf numFmtId="9" fontId="0" fillId="0" borderId="0" xfId="51" applyFont="1"/>
    <xf numFmtId="164" fontId="32" fillId="0" borderId="0" xfId="28" applyNumberFormat="1" applyFont="1" applyBorder="1"/>
    <xf numFmtId="168" fontId="32" fillId="0" borderId="0" xfId="0" applyNumberFormat="1" applyFont="1" applyBorder="1"/>
    <xf numFmtId="9" fontId="43" fillId="0" borderId="0" xfId="0" applyNumberFormat="1" applyFont="1" applyBorder="1"/>
    <xf numFmtId="164" fontId="43" fillId="0" borderId="0" xfId="28" applyNumberFormat="1" applyFont="1" applyFill="1" applyBorder="1" applyAlignment="1">
      <alignment horizontal="center" wrapText="1"/>
    </xf>
    <xf numFmtId="0" fontId="49" fillId="0" borderId="21" xfId="0" applyNumberFormat="1" applyFont="1" applyFill="1" applyBorder="1" applyAlignment="1">
      <alignment horizontal="left"/>
    </xf>
    <xf numFmtId="0" fontId="32" fillId="0" borderId="13" xfId="0" applyNumberFormat="1" applyFont="1" applyFill="1" applyBorder="1" applyAlignment="1">
      <alignment horizontal="center"/>
    </xf>
    <xf numFmtId="0" fontId="46" fillId="0" borderId="13" xfId="0" applyNumberFormat="1" applyFont="1" applyFill="1" applyBorder="1" applyAlignment="1">
      <alignment horizontal="center"/>
    </xf>
    <xf numFmtId="0" fontId="32" fillId="0" borderId="22" xfId="0" applyNumberFormat="1" applyFont="1" applyFill="1" applyBorder="1" applyAlignment="1">
      <alignment horizontal="center"/>
    </xf>
    <xf numFmtId="0" fontId="40" fillId="0" borderId="13" xfId="0" applyFont="1" applyBorder="1"/>
    <xf numFmtId="0" fontId="39" fillId="0" borderId="13" xfId="0" applyFont="1" applyBorder="1"/>
    <xf numFmtId="167" fontId="40" fillId="0" borderId="17" xfId="32" applyNumberFormat="1" applyFont="1" applyBorder="1"/>
    <xf numFmtId="167" fontId="40" fillId="0" borderId="9" xfId="32" applyNumberFormat="1" applyFont="1" applyBorder="1"/>
    <xf numFmtId="0" fontId="13" fillId="0" borderId="0" xfId="0" applyFont="1" applyAlignment="1">
      <alignment horizontal="center"/>
    </xf>
    <xf numFmtId="3" fontId="22" fillId="0" borderId="0" xfId="0" applyNumberFormat="1" applyFont="1" applyFill="1" applyBorder="1" applyAlignment="1">
      <alignment horizontal="right"/>
    </xf>
    <xf numFmtId="4" fontId="21" fillId="0" borderId="0" xfId="0" applyNumberFormat="1" applyFont="1" applyFill="1" applyAlignment="1">
      <alignment horizontal="right"/>
    </xf>
    <xf numFmtId="3" fontId="12" fillId="0" borderId="12" xfId="0" applyNumberFormat="1" applyFont="1" applyFill="1" applyBorder="1" applyAlignment="1"/>
    <xf numFmtId="0" fontId="8" fillId="0" borderId="12" xfId="0" applyFont="1" applyFill="1" applyBorder="1"/>
    <xf numFmtId="3" fontId="8" fillId="0" borderId="12" xfId="0" applyNumberFormat="1" applyFont="1" applyFill="1" applyBorder="1"/>
    <xf numFmtId="0" fontId="12" fillId="0" borderId="11" xfId="0" applyFont="1" applyFill="1" applyBorder="1" applyAlignment="1"/>
    <xf numFmtId="0" fontId="56" fillId="0" borderId="0" xfId="0" applyFont="1" applyFill="1" applyBorder="1"/>
    <xf numFmtId="0" fontId="0" fillId="0" borderId="0" xfId="0" applyFill="1" applyAlignment="1">
      <alignment horizontal="right"/>
    </xf>
    <xf numFmtId="37" fontId="36" fillId="0" borderId="0" xfId="0" applyNumberFormat="1" applyFont="1" applyFill="1"/>
    <xf numFmtId="41" fontId="0" fillId="0" borderId="14" xfId="0" applyNumberFormat="1" applyFill="1" applyBorder="1" applyAlignment="1">
      <alignment horizontal="right"/>
    </xf>
    <xf numFmtId="37" fontId="18" fillId="0" borderId="0" xfId="0" applyNumberFormat="1" applyFont="1" applyFill="1"/>
    <xf numFmtId="0" fontId="0" fillId="0" borderId="0" xfId="0" applyFill="1" applyAlignment="1"/>
    <xf numFmtId="0" fontId="18" fillId="0" borderId="0" xfId="0" applyFont="1" applyFill="1" applyAlignment="1">
      <alignment vertical="center" wrapText="1"/>
    </xf>
    <xf numFmtId="0" fontId="32" fillId="0" borderId="0" xfId="0" applyFont="1" applyFill="1" applyAlignment="1">
      <alignment vertical="center" wrapText="1"/>
    </xf>
    <xf numFmtId="164" fontId="32" fillId="0" borderId="0" xfId="28" applyNumberFormat="1" applyFont="1" applyFill="1" applyAlignment="1">
      <alignment vertical="center" wrapText="1"/>
    </xf>
    <xf numFmtId="164" fontId="32" fillId="0" borderId="0" xfId="28" applyNumberFormat="1" applyFont="1" applyFill="1" applyAlignment="1"/>
    <xf numFmtId="164" fontId="64" fillId="0" borderId="0" xfId="28" applyNumberFormat="1" applyFont="1" applyFill="1" applyAlignment="1"/>
    <xf numFmtId="0" fontId="64" fillId="0" borderId="0" xfId="0" applyFont="1" applyFill="1"/>
    <xf numFmtId="0" fontId="0" fillId="0" borderId="0" xfId="0" applyBorder="1" applyAlignment="1">
      <alignment horizontal="center"/>
    </xf>
    <xf numFmtId="0" fontId="0" fillId="0" borderId="20" xfId="0" applyBorder="1" applyAlignment="1">
      <alignment horizontal="center"/>
    </xf>
    <xf numFmtId="0" fontId="43" fillId="0" borderId="20" xfId="0" applyFont="1" applyBorder="1" applyAlignment="1">
      <alignment horizontal="center"/>
    </xf>
    <xf numFmtId="0" fontId="45" fillId="0" borderId="0" xfId="0" applyNumberFormat="1" applyFont="1" applyFill="1" applyBorder="1" applyAlignment="1">
      <alignment horizontal="center"/>
    </xf>
    <xf numFmtId="0" fontId="32" fillId="0" borderId="0" xfId="0" applyNumberFormat="1" applyFont="1" applyFill="1" applyAlignment="1">
      <alignment horizontal="center"/>
    </xf>
    <xf numFmtId="0" fontId="6" fillId="0" borderId="0" xfId="0" applyFont="1" applyFill="1" applyAlignment="1"/>
    <xf numFmtId="164" fontId="32" fillId="25" borderId="0" xfId="28" applyNumberFormat="1" applyFont="1" applyFill="1" applyAlignment="1">
      <alignment vertical="center" wrapText="1"/>
    </xf>
    <xf numFmtId="0" fontId="13" fillId="0" borderId="0" xfId="0" applyFont="1" applyAlignment="1">
      <alignment horizontal="left"/>
    </xf>
    <xf numFmtId="168" fontId="32" fillId="0" borderId="9" xfId="51" applyNumberFormat="1" applyFont="1" applyFill="1" applyBorder="1" applyAlignment="1">
      <alignment horizontal="right"/>
    </xf>
    <xf numFmtId="164" fontId="32" fillId="0" borderId="0" xfId="28" applyNumberFormat="1" applyFont="1" applyFill="1" applyBorder="1"/>
    <xf numFmtId="0" fontId="47" fillId="0" borderId="0" xfId="0" applyFont="1" applyFill="1" applyBorder="1" applyAlignment="1">
      <alignment horizontal="center"/>
    </xf>
    <xf numFmtId="0" fontId="0" fillId="0" borderId="0" xfId="0" applyFill="1" applyBorder="1" applyAlignment="1">
      <alignment horizontal="right"/>
    </xf>
    <xf numFmtId="164" fontId="0" fillId="0" borderId="0" xfId="28" applyNumberFormat="1" applyFont="1" applyFill="1" applyBorder="1"/>
    <xf numFmtId="0" fontId="0" fillId="0" borderId="20" xfId="0" applyFill="1" applyBorder="1"/>
    <xf numFmtId="164" fontId="0" fillId="0" borderId="0" xfId="0" applyNumberFormat="1"/>
    <xf numFmtId="164" fontId="0" fillId="0" borderId="0" xfId="0" applyNumberFormat="1" applyFill="1"/>
    <xf numFmtId="0" fontId="6" fillId="0" borderId="0" xfId="0" applyFont="1" applyFill="1" applyAlignment="1">
      <alignment vertical="top"/>
    </xf>
    <xf numFmtId="0" fontId="66" fillId="0" borderId="11" xfId="0" applyNumberFormat="1" applyFont="1" applyFill="1" applyBorder="1" applyAlignment="1">
      <alignment horizontal="center"/>
    </xf>
    <xf numFmtId="0" fontId="13" fillId="0" borderId="0" xfId="0" applyNumberFormat="1" applyFont="1" applyAlignment="1"/>
    <xf numFmtId="0" fontId="45" fillId="0" borderId="20" xfId="0" applyNumberFormat="1" applyFont="1" applyFill="1" applyBorder="1" applyAlignment="1">
      <alignment horizontal="center"/>
    </xf>
    <xf numFmtId="0" fontId="18" fillId="0" borderId="0" xfId="0" applyFont="1" applyFill="1" applyBorder="1"/>
    <xf numFmtId="0" fontId="18" fillId="25" borderId="0" xfId="0" applyNumberFormat="1" applyFont="1" applyFill="1" applyBorder="1" applyAlignment="1">
      <alignment horizontal="left"/>
    </xf>
    <xf numFmtId="0" fontId="40" fillId="0" borderId="0" xfId="0" applyFont="1" applyFill="1" applyBorder="1" applyAlignment="1">
      <alignment horizontal="centerContinuous"/>
    </xf>
    <xf numFmtId="0" fontId="40" fillId="0" borderId="20" xfId="0" applyFont="1" applyFill="1" applyBorder="1" applyAlignment="1">
      <alignment horizontal="centerContinuous"/>
    </xf>
    <xf numFmtId="0" fontId="46" fillId="0" borderId="0" xfId="0" applyNumberFormat="1" applyFont="1" applyFill="1" applyBorder="1" applyAlignment="1">
      <alignment horizontal="left"/>
    </xf>
    <xf numFmtId="164" fontId="19" fillId="0" borderId="0" xfId="0" applyNumberFormat="1" applyFont="1" applyFill="1"/>
    <xf numFmtId="9" fontId="19" fillId="0" borderId="0" xfId="0" applyNumberFormat="1" applyFont="1" applyFill="1"/>
    <xf numFmtId="0" fontId="33" fillId="0" borderId="0" xfId="0" applyNumberFormat="1" applyFont="1" applyFill="1"/>
    <xf numFmtId="0" fontId="40" fillId="0" borderId="21" xfId="0" applyFont="1" applyFill="1" applyBorder="1"/>
    <xf numFmtId="0" fontId="0" fillId="0" borderId="17" xfId="0" applyFill="1" applyBorder="1"/>
    <xf numFmtId="0" fontId="0" fillId="0" borderId="18" xfId="0" applyFill="1" applyBorder="1"/>
    <xf numFmtId="0" fontId="45" fillId="0" borderId="17" xfId="0" applyNumberFormat="1" applyFont="1" applyFill="1" applyBorder="1" applyAlignment="1">
      <alignment horizontal="center"/>
    </xf>
    <xf numFmtId="0" fontId="45" fillId="0" borderId="17" xfId="0" applyFont="1" applyFill="1" applyBorder="1"/>
    <xf numFmtId="166" fontId="12" fillId="0" borderId="0" xfId="0" applyNumberFormat="1" applyFont="1" applyFill="1" applyAlignment="1"/>
    <xf numFmtId="0" fontId="0" fillId="0" borderId="0" xfId="0" applyFill="1" applyAlignment="1">
      <alignment vertical="top"/>
    </xf>
    <xf numFmtId="0" fontId="18" fillId="0" borderId="0" xfId="0" applyFont="1" applyFill="1" applyAlignment="1">
      <alignment wrapText="1"/>
    </xf>
    <xf numFmtId="0" fontId="0" fillId="0" borderId="0" xfId="0" applyFill="1" applyAlignment="1">
      <alignment horizontal="center" vertical="top"/>
    </xf>
    <xf numFmtId="164" fontId="18" fillId="25" borderId="0" xfId="28" applyNumberFormat="1" applyFont="1" applyFill="1" applyAlignment="1"/>
    <xf numFmtId="0" fontId="8" fillId="0" borderId="0" xfId="0" applyNumberFormat="1" applyFont="1" applyFill="1" applyAlignment="1">
      <alignment horizontal="left"/>
    </xf>
    <xf numFmtId="0" fontId="20" fillId="0" borderId="16" xfId="0" applyNumberFormat="1" applyFont="1" applyFill="1" applyBorder="1" applyAlignment="1">
      <alignment horizontal="center"/>
    </xf>
    <xf numFmtId="0" fontId="20" fillId="0" borderId="15" xfId="0" applyNumberFormat="1" applyFont="1" applyFill="1" applyBorder="1" applyAlignment="1">
      <alignment horizontal="center"/>
    </xf>
    <xf numFmtId="0" fontId="38" fillId="0" borderId="0" xfId="0" applyFont="1" applyFill="1" applyAlignment="1">
      <alignment horizontal="left"/>
    </xf>
    <xf numFmtId="0" fontId="20" fillId="0" borderId="0" xfId="0" applyNumberFormat="1" applyFont="1" applyFill="1" applyBorder="1" applyAlignment="1">
      <alignment horizontal="center"/>
    </xf>
    <xf numFmtId="0" fontId="65" fillId="0" borderId="0" xfId="0" applyNumberFormat="1" applyFont="1" applyFill="1" applyBorder="1" applyAlignment="1">
      <alignment horizontal="left"/>
    </xf>
    <xf numFmtId="3" fontId="12" fillId="0" borderId="14" xfId="0" applyNumberFormat="1" applyFont="1" applyFill="1" applyBorder="1" applyAlignment="1">
      <alignment horizontal="right"/>
    </xf>
    <xf numFmtId="166" fontId="12" fillId="25" borderId="0" xfId="0" applyNumberFormat="1" applyFont="1" applyFill="1" applyAlignment="1"/>
    <xf numFmtId="164" fontId="12" fillId="0" borderId="0" xfId="28" applyNumberFormat="1" applyFont="1" applyFill="1" applyAlignment="1"/>
    <xf numFmtId="164" fontId="8" fillId="0" borderId="0" xfId="28" applyNumberFormat="1" applyFont="1" applyFill="1" applyBorder="1" applyAlignment="1"/>
    <xf numFmtId="0" fontId="34" fillId="0" borderId="0" xfId="0" applyFont="1" applyAlignment="1">
      <alignment horizontal="center"/>
    </xf>
    <xf numFmtId="10" fontId="45" fillId="0" borderId="0" xfId="28" applyNumberFormat="1" applyFont="1" applyBorder="1"/>
    <xf numFmtId="10" fontId="19" fillId="25" borderId="0" xfId="0" applyNumberFormat="1" applyFont="1" applyFill="1"/>
    <xf numFmtId="10" fontId="40" fillId="0" borderId="18" xfId="51" applyNumberFormat="1" applyFont="1" applyFill="1" applyBorder="1" applyAlignment="1">
      <alignment horizontal="center"/>
    </xf>
    <xf numFmtId="168" fontId="40" fillId="0" borderId="9" xfId="51" applyNumberFormat="1" applyFont="1" applyFill="1" applyBorder="1" applyAlignment="1">
      <alignment horizontal="center"/>
    </xf>
    <xf numFmtId="9" fontId="40" fillId="0" borderId="9" xfId="51" applyFont="1" applyFill="1" applyBorder="1" applyAlignment="1">
      <alignment horizontal="center"/>
    </xf>
    <xf numFmtId="171" fontId="40" fillId="0" borderId="9" xfId="51" applyNumberFormat="1" applyFont="1" applyFill="1" applyBorder="1" applyAlignment="1">
      <alignment horizontal="center"/>
    </xf>
    <xf numFmtId="10" fontId="40" fillId="0" borderId="9" xfId="0" applyNumberFormat="1" applyFont="1" applyBorder="1" applyAlignment="1">
      <alignment horizontal="center"/>
    </xf>
    <xf numFmtId="9" fontId="32" fillId="0" borderId="0" xfId="51" applyFont="1" applyFill="1" applyBorder="1" applyAlignment="1">
      <alignment horizontal="right"/>
    </xf>
    <xf numFmtId="37" fontId="7" fillId="25" borderId="0" xfId="0" applyNumberFormat="1" applyFont="1" applyFill="1" applyAlignment="1">
      <alignment horizontal="right" wrapText="1"/>
    </xf>
    <xf numFmtId="164" fontId="18" fillId="0" borderId="0" xfId="28" applyNumberFormat="1" applyFont="1"/>
    <xf numFmtId="164" fontId="0" fillId="0" borderId="0" xfId="0" quotePrefix="1" applyNumberFormat="1"/>
    <xf numFmtId="0" fontId="0" fillId="0" borderId="0" xfId="0" quotePrefix="1"/>
    <xf numFmtId="0" fontId="67" fillId="0" borderId="0" xfId="0" applyFont="1" applyAlignment="1">
      <alignment wrapText="1"/>
    </xf>
    <xf numFmtId="164" fontId="32" fillId="0" borderId="0" xfId="0" applyNumberFormat="1" applyFont="1" applyBorder="1"/>
    <xf numFmtId="167" fontId="12" fillId="25" borderId="0" xfId="0" applyNumberFormat="1" applyFont="1" applyFill="1" applyAlignment="1"/>
    <xf numFmtId="167" fontId="12" fillId="0" borderId="0" xfId="0" applyNumberFormat="1" applyFont="1" applyFill="1" applyAlignment="1"/>
    <xf numFmtId="167" fontId="12" fillId="25" borderId="0" xfId="0" applyNumberFormat="1" applyFont="1" applyFill="1" applyBorder="1" applyAlignment="1"/>
    <xf numFmtId="167" fontId="0" fillId="0" borderId="0" xfId="32" applyNumberFormat="1" applyFont="1"/>
    <xf numFmtId="3" fontId="40" fillId="0" borderId="17" xfId="0" applyNumberFormat="1" applyFont="1" applyFill="1" applyBorder="1" applyAlignment="1">
      <alignment horizontal="center"/>
    </xf>
    <xf numFmtId="10" fontId="32" fillId="0" borderId="19" xfId="0" applyNumberFormat="1" applyFont="1" applyBorder="1" applyAlignment="1">
      <alignment horizontal="left"/>
    </xf>
    <xf numFmtId="164" fontId="57" fillId="0" borderId="0" xfId="0" applyNumberFormat="1" applyFont="1" applyFill="1"/>
    <xf numFmtId="164" fontId="18" fillId="0" borderId="0" xfId="0" applyNumberFormat="1" applyFont="1" applyFill="1"/>
    <xf numFmtId="0" fontId="0" fillId="0" borderId="0" xfId="0" applyFill="1" applyAlignment="1">
      <alignment horizontal="center"/>
    </xf>
    <xf numFmtId="164" fontId="18" fillId="0" borderId="0" xfId="28" applyNumberFormat="1" applyFont="1" applyFill="1" applyBorder="1" applyAlignment="1">
      <alignment wrapText="1"/>
    </xf>
    <xf numFmtId="41" fontId="0" fillId="0" borderId="0" xfId="0" applyNumberFormat="1"/>
    <xf numFmtId="10" fontId="12" fillId="0" borderId="0" xfId="0" applyNumberFormat="1" applyFont="1" applyAlignment="1"/>
    <xf numFmtId="164" fontId="9" fillId="0" borderId="0" xfId="0" applyNumberFormat="1" applyFont="1" applyFill="1"/>
    <xf numFmtId="0" fontId="40" fillId="0" borderId="20" xfId="0" applyFont="1" applyBorder="1" applyAlignment="1">
      <alignment horizontal="center" wrapText="1"/>
    </xf>
    <xf numFmtId="0" fontId="18" fillId="0" borderId="0" xfId="44"/>
    <xf numFmtId="0" fontId="17" fillId="0" borderId="0" xfId="44" applyFont="1"/>
    <xf numFmtId="0" fontId="18" fillId="0" borderId="0" xfId="44" applyAlignment="1">
      <alignment horizontal="center"/>
    </xf>
    <xf numFmtId="0" fontId="61" fillId="0" borderId="0" xfId="44" applyFont="1"/>
    <xf numFmtId="0" fontId="52" fillId="0" borderId="0" xfId="44" applyFont="1" applyAlignment="1">
      <alignment horizontal="center"/>
    </xf>
    <xf numFmtId="0" fontId="52" fillId="0" borderId="0" xfId="44" applyFont="1"/>
    <xf numFmtId="0" fontId="68" fillId="0" borderId="0" xfId="44" applyFont="1"/>
    <xf numFmtId="0" fontId="53" fillId="0" borderId="0" xfId="44" applyFont="1" applyAlignment="1">
      <alignment horizontal="left"/>
    </xf>
    <xf numFmtId="0" fontId="52" fillId="0" borderId="0" xfId="44" applyFont="1" applyFill="1" applyAlignment="1">
      <alignment horizontal="center"/>
    </xf>
    <xf numFmtId="0" fontId="52" fillId="0" borderId="0" xfId="44" applyFont="1" applyAlignment="1">
      <alignment horizontal="left"/>
    </xf>
    <xf numFmtId="16" fontId="52" fillId="0" borderId="0" xfId="44" applyNumberFormat="1" applyFont="1" applyAlignment="1">
      <alignment horizontal="center"/>
    </xf>
    <xf numFmtId="0" fontId="18" fillId="0" borderId="0" xfId="44" applyAlignment="1"/>
    <xf numFmtId="0" fontId="53" fillId="0" borderId="0" xfId="44" applyFont="1" applyFill="1" applyAlignment="1">
      <alignment horizontal="left"/>
    </xf>
    <xf numFmtId="164" fontId="52" fillId="0" borderId="0" xfId="29" applyNumberFormat="1" applyFont="1"/>
    <xf numFmtId="0" fontId="62" fillId="0" borderId="0" xfId="44" applyFont="1" applyFill="1" applyAlignment="1">
      <alignment horizontal="left"/>
    </xf>
    <xf numFmtId="0" fontId="52" fillId="0" borderId="0" xfId="48" applyFont="1" applyBorder="1" applyAlignment="1">
      <alignment horizontal="center"/>
    </xf>
    <xf numFmtId="164" fontId="52" fillId="25" borderId="0" xfId="29" applyNumberFormat="1" applyFont="1" applyFill="1"/>
    <xf numFmtId="0" fontId="52" fillId="25" borderId="0" xfId="44" applyFont="1" applyFill="1"/>
    <xf numFmtId="164" fontId="52" fillId="0" borderId="0" xfId="44" applyNumberFormat="1" applyFont="1"/>
    <xf numFmtId="164" fontId="52" fillId="0" borderId="0" xfId="29" applyNumberFormat="1" applyFont="1" applyFill="1"/>
    <xf numFmtId="43" fontId="52" fillId="0" borderId="0" xfId="44" applyNumberFormat="1" applyFont="1"/>
    <xf numFmtId="167" fontId="52" fillId="0" borderId="0" xfId="44" applyNumberFormat="1" applyFont="1"/>
    <xf numFmtId="167" fontId="52" fillId="0" borderId="0" xfId="33" applyNumberFormat="1" applyFont="1"/>
    <xf numFmtId="0" fontId="52" fillId="0" borderId="0" xfId="44" applyFont="1" applyBorder="1" applyAlignment="1">
      <alignment horizontal="center"/>
    </xf>
    <xf numFmtId="0" fontId="52" fillId="0" borderId="0" xfId="44" applyFont="1" applyBorder="1"/>
    <xf numFmtId="0" fontId="63" fillId="0" borderId="0" xfId="44" applyFont="1" applyBorder="1"/>
    <xf numFmtId="167" fontId="52" fillId="0" borderId="0" xfId="33" applyNumberFormat="1" applyFont="1" applyFill="1" applyAlignment="1">
      <alignment horizontal="left"/>
    </xf>
    <xf numFmtId="167" fontId="52" fillId="0" borderId="0" xfId="33" applyNumberFormat="1" applyFont="1" applyAlignment="1">
      <alignment horizontal="left"/>
    </xf>
    <xf numFmtId="0" fontId="52" fillId="0" borderId="0" xfId="44" applyFont="1" applyFill="1" applyAlignment="1"/>
    <xf numFmtId="0" fontId="18" fillId="0" borderId="0" xfId="44" applyFont="1" applyFill="1" applyAlignment="1"/>
    <xf numFmtId="0" fontId="18" fillId="0" borderId="0" xfId="44" applyAlignment="1">
      <alignment wrapText="1"/>
    </xf>
    <xf numFmtId="0" fontId="52" fillId="0" borderId="0" xfId="44" applyFont="1" applyFill="1"/>
    <xf numFmtId="167" fontId="52" fillId="27" borderId="0" xfId="44" applyNumberFormat="1" applyFont="1" applyFill="1"/>
    <xf numFmtId="0" fontId="52" fillId="0" borderId="0" xfId="33" applyNumberFormat="1" applyFont="1" applyFill="1" applyAlignment="1">
      <alignment horizontal="left"/>
    </xf>
    <xf numFmtId="164" fontId="62" fillId="0" borderId="0" xfId="44" applyNumberFormat="1" applyFont="1" applyFill="1"/>
    <xf numFmtId="0" fontId="62" fillId="0" borderId="0" xfId="44" applyFont="1" applyFill="1"/>
    <xf numFmtId="164" fontId="52" fillId="0" borderId="0" xfId="44" applyNumberFormat="1" applyFont="1" applyFill="1"/>
    <xf numFmtId="164" fontId="52" fillId="0" borderId="0" xfId="44" applyNumberFormat="1" applyFont="1" applyAlignment="1">
      <alignment horizontal="left"/>
    </xf>
    <xf numFmtId="0" fontId="52" fillId="0" borderId="0" xfId="44" applyNumberFormat="1" applyFont="1" applyAlignment="1">
      <alignment horizontal="left"/>
    </xf>
    <xf numFmtId="164" fontId="52" fillId="0" borderId="0" xfId="44" applyNumberFormat="1" applyFont="1" applyAlignment="1">
      <alignment horizontal="center"/>
    </xf>
    <xf numFmtId="0" fontId="52" fillId="0" borderId="0" xfId="44" applyFont="1" applyFill="1" applyAlignment="1">
      <alignment horizontal="left"/>
    </xf>
    <xf numFmtId="172" fontId="52" fillId="0" borderId="0" xfId="52" applyNumberFormat="1" applyFont="1"/>
    <xf numFmtId="172" fontId="52" fillId="0" borderId="0" xfId="44" applyNumberFormat="1" applyFont="1"/>
    <xf numFmtId="0" fontId="52" fillId="0" borderId="0" xfId="44" applyFont="1" applyAlignment="1">
      <alignment horizontal="center" wrapText="1"/>
    </xf>
    <xf numFmtId="168" fontId="52" fillId="0" borderId="0" xfId="52" applyNumberFormat="1" applyFont="1"/>
    <xf numFmtId="0" fontId="32" fillId="0" borderId="0" xfId="44" applyFont="1" applyAlignment="1">
      <alignment horizontal="center"/>
    </xf>
    <xf numFmtId="0" fontId="32" fillId="0" borderId="0" xfId="44" applyFont="1"/>
    <xf numFmtId="0" fontId="18" fillId="0" borderId="0" xfId="44" applyFill="1" applyBorder="1" applyAlignment="1">
      <alignment horizontal="center"/>
    </xf>
    <xf numFmtId="0" fontId="18" fillId="0" borderId="0" xfId="44" applyFill="1" applyBorder="1"/>
    <xf numFmtId="164" fontId="18" fillId="0" borderId="0" xfId="31" applyNumberFormat="1"/>
    <xf numFmtId="164" fontId="18" fillId="0" borderId="0" xfId="31" applyNumberFormat="1" applyFill="1"/>
    <xf numFmtId="172" fontId="18" fillId="0" borderId="0" xfId="53" applyNumberFormat="1"/>
    <xf numFmtId="0" fontId="40" fillId="0" borderId="22" xfId="0" applyFont="1" applyBorder="1" applyAlignment="1">
      <alignment horizontal="center"/>
    </xf>
    <xf numFmtId="0" fontId="18" fillId="0" borderId="0" xfId="48" applyAlignment="1">
      <alignment horizontal="left" vertical="center" wrapText="1"/>
    </xf>
    <xf numFmtId="164" fontId="40" fillId="0" borderId="20" xfId="31" applyNumberFormat="1" applyFont="1" applyBorder="1" applyAlignment="1">
      <alignment horizontal="center"/>
    </xf>
    <xf numFmtId="0" fontId="18" fillId="0" borderId="0" xfId="48" applyFill="1" applyAlignment="1">
      <alignment horizontal="left" vertical="center" wrapText="1"/>
    </xf>
    <xf numFmtId="172" fontId="40" fillId="0" borderId="17" xfId="0" applyNumberFormat="1" applyFont="1" applyBorder="1"/>
    <xf numFmtId="164" fontId="40" fillId="0" borderId="20" xfId="31" applyNumberFormat="1" applyFont="1" applyBorder="1"/>
    <xf numFmtId="0" fontId="18" fillId="0" borderId="0" xfId="48" applyFont="1" applyFill="1" applyAlignment="1">
      <alignment horizontal="left" vertical="center" wrapText="1"/>
    </xf>
    <xf numFmtId="172" fontId="40" fillId="0" borderId="17" xfId="51" applyNumberFormat="1" applyFont="1" applyBorder="1"/>
    <xf numFmtId="172" fontId="40" fillId="0" borderId="0" xfId="51" applyNumberFormat="1" applyFont="1" applyBorder="1"/>
    <xf numFmtId="172" fontId="40" fillId="0" borderId="20" xfId="51" applyNumberFormat="1" applyFont="1" applyBorder="1"/>
    <xf numFmtId="0" fontId="18" fillId="0" borderId="0" xfId="48" applyFont="1" applyFill="1" applyAlignment="1">
      <alignment wrapText="1"/>
    </xf>
    <xf numFmtId="164" fontId="52" fillId="25" borderId="17" xfId="31" applyNumberFormat="1" applyFont="1" applyFill="1" applyBorder="1"/>
    <xf numFmtId="164" fontId="88" fillId="0" borderId="0" xfId="31" applyNumberFormat="1" applyFont="1" applyBorder="1"/>
    <xf numFmtId="164" fontId="88" fillId="0" borderId="20" xfId="31" applyNumberFormat="1" applyFont="1" applyBorder="1"/>
    <xf numFmtId="164" fontId="40" fillId="25" borderId="17" xfId="31" applyNumberFormat="1" applyFont="1" applyFill="1" applyBorder="1"/>
    <xf numFmtId="164" fontId="40" fillId="0" borderId="0" xfId="31" applyNumberFormat="1" applyFont="1" applyBorder="1"/>
    <xf numFmtId="164" fontId="40" fillId="0" borderId="17" xfId="31" applyNumberFormat="1" applyFont="1" applyBorder="1"/>
    <xf numFmtId="0" fontId="40" fillId="0" borderId="0" xfId="48" applyFont="1" applyFill="1" applyBorder="1" applyAlignment="1">
      <alignment wrapText="1"/>
    </xf>
    <xf numFmtId="43" fontId="40" fillId="25" borderId="17" xfId="31" applyNumberFormat="1" applyFont="1" applyFill="1" applyBorder="1"/>
    <xf numFmtId="43" fontId="40" fillId="0" borderId="0" xfId="31" applyNumberFormat="1" applyFont="1" applyFill="1" applyBorder="1"/>
    <xf numFmtId="43" fontId="40" fillId="0" borderId="20" xfId="31" applyNumberFormat="1" applyFont="1" applyFill="1" applyBorder="1"/>
    <xf numFmtId="164" fontId="40" fillId="0" borderId="0" xfId="31" applyNumberFormat="1" applyFont="1" applyFill="1" applyBorder="1"/>
    <xf numFmtId="164" fontId="40" fillId="0" borderId="20" xfId="31" applyNumberFormat="1" applyFont="1" applyFill="1" applyBorder="1"/>
    <xf numFmtId="0" fontId="40" fillId="0" borderId="19" xfId="0" applyFont="1" applyBorder="1" applyAlignment="1">
      <alignment horizontal="center"/>
    </xf>
    <xf numFmtId="164" fontId="40" fillId="0" borderId="18" xfId="31" applyNumberFormat="1" applyFont="1" applyBorder="1"/>
    <xf numFmtId="164" fontId="40" fillId="0" borderId="9" xfId="31" applyNumberFormat="1" applyFont="1" applyBorder="1"/>
    <xf numFmtId="164" fontId="40" fillId="0" borderId="19" xfId="31" applyNumberFormat="1" applyFont="1" applyBorder="1"/>
    <xf numFmtId="164" fontId="43" fillId="0" borderId="22" xfId="31" applyNumberFormat="1" applyFont="1" applyBorder="1" applyAlignment="1">
      <alignment horizontal="center"/>
    </xf>
    <xf numFmtId="0" fontId="43" fillId="0" borderId="20" xfId="0" applyFont="1" applyFill="1" applyBorder="1" applyAlignment="1">
      <alignment horizontal="center"/>
    </xf>
    <xf numFmtId="167" fontId="40" fillId="0" borderId="24" xfId="34" applyNumberFormat="1" applyFont="1" applyBorder="1"/>
    <xf numFmtId="164" fontId="43" fillId="0" borderId="20" xfId="31" applyNumberFormat="1" applyFont="1" applyBorder="1"/>
    <xf numFmtId="164" fontId="43" fillId="0" borderId="19" xfId="31" applyNumberFormat="1" applyFont="1" applyBorder="1"/>
    <xf numFmtId="167" fontId="40" fillId="0" borderId="25" xfId="34" applyNumberFormat="1" applyFont="1" applyBorder="1"/>
    <xf numFmtId="164" fontId="40" fillId="0" borderId="0" xfId="31" applyNumberFormat="1" applyFont="1"/>
    <xf numFmtId="167" fontId="40" fillId="0" borderId="0" xfId="34" applyNumberFormat="1" applyFont="1"/>
    <xf numFmtId="164" fontId="18" fillId="0" borderId="0" xfId="31" applyNumberFormat="1" applyFill="1" applyBorder="1"/>
    <xf numFmtId="168" fontId="0" fillId="0" borderId="0" xfId="51" applyNumberFormat="1" applyFont="1" applyAlignment="1">
      <alignment horizontal="right"/>
    </xf>
    <xf numFmtId="172" fontId="18" fillId="0" borderId="0" xfId="53" applyNumberFormat="1" applyAlignment="1">
      <alignment horizontal="right"/>
    </xf>
    <xf numFmtId="172" fontId="0" fillId="0" borderId="0" xfId="51" applyNumberFormat="1" applyFont="1" applyAlignment="1">
      <alignment horizontal="right"/>
    </xf>
    <xf numFmtId="164" fontId="68" fillId="29" borderId="0" xfId="28" applyNumberFormat="1" applyFont="1" applyFill="1" applyAlignment="1"/>
    <xf numFmtId="172" fontId="52" fillId="25" borderId="0" xfId="51" applyNumberFormat="1" applyFont="1" applyFill="1" applyAlignment="1">
      <alignment horizontal="right" indent="1"/>
    </xf>
    <xf numFmtId="164" fontId="52" fillId="29" borderId="0" xfId="33" applyNumberFormat="1" applyFont="1" applyFill="1" applyAlignment="1">
      <alignment horizontal="left"/>
    </xf>
    <xf numFmtId="0" fontId="20" fillId="0" borderId="0" xfId="0" applyFont="1" applyAlignment="1"/>
    <xf numFmtId="0" fontId="8" fillId="0" borderId="0" xfId="0" applyFont="1" applyAlignment="1">
      <alignment horizontal="center"/>
    </xf>
    <xf numFmtId="167" fontId="10" fillId="25" borderId="0" xfId="32" applyNumberFormat="1" applyFont="1" applyFill="1"/>
    <xf numFmtId="3" fontId="16" fillId="0" borderId="15" xfId="0" applyNumberFormat="1" applyFont="1" applyBorder="1"/>
    <xf numFmtId="3" fontId="16" fillId="0" borderId="0" xfId="0" applyNumberFormat="1" applyFont="1" applyBorder="1"/>
    <xf numFmtId="3" fontId="8" fillId="0" borderId="15" xfId="0" applyNumberFormat="1" applyFont="1" applyBorder="1"/>
    <xf numFmtId="37" fontId="8" fillId="0" borderId="15" xfId="0" applyNumberFormat="1" applyFont="1" applyBorder="1" applyAlignment="1">
      <alignment horizontal="center"/>
    </xf>
    <xf numFmtId="0" fontId="8" fillId="0" borderId="0" xfId="0" applyNumberFormat="1" applyFont="1" applyBorder="1" applyAlignment="1">
      <alignment horizontal="center"/>
    </xf>
    <xf numFmtId="0" fontId="89" fillId="0" borderId="0" xfId="0" applyFont="1" applyAlignment="1">
      <alignment horizontal="center"/>
    </xf>
    <xf numFmtId="168" fontId="12" fillId="0" borderId="0" xfId="0" applyNumberFormat="1" applyFont="1" applyFill="1" applyAlignment="1">
      <alignment horizontal="right"/>
    </xf>
    <xf numFmtId="167" fontId="40" fillId="0" borderId="0" xfId="0" applyNumberFormat="1" applyFont="1"/>
    <xf numFmtId="168" fontId="40" fillId="0" borderId="0" xfId="51" applyNumberFormat="1" applyFont="1" applyBorder="1" applyAlignment="1">
      <alignment horizontal="center"/>
    </xf>
    <xf numFmtId="175" fontId="43" fillId="0" borderId="18" xfId="28" applyNumberFormat="1" applyFont="1" applyBorder="1" applyAlignment="1">
      <alignment horizontal="center"/>
    </xf>
    <xf numFmtId="9" fontId="32" fillId="0" borderId="0" xfId="51" applyFont="1" applyFill="1" applyAlignment="1">
      <alignment vertical="center" wrapText="1"/>
    </xf>
    <xf numFmtId="10" fontId="90" fillId="0" borderId="0" xfId="28" applyNumberFormat="1" applyFont="1" applyFill="1" applyAlignment="1">
      <alignment vertical="center" wrapText="1"/>
    </xf>
    <xf numFmtId="164" fontId="32" fillId="25" borderId="0" xfId="32" applyNumberFormat="1" applyFont="1" applyFill="1" applyBorder="1"/>
    <xf numFmtId="0" fontId="43" fillId="0" borderId="21" xfId="0" applyFont="1" applyBorder="1" applyAlignment="1">
      <alignment horizontal="centerContinuous"/>
    </xf>
    <xf numFmtId="0" fontId="43" fillId="0" borderId="13" xfId="0" applyFont="1" applyBorder="1" applyAlignment="1">
      <alignment horizontal="centerContinuous"/>
    </xf>
    <xf numFmtId="0" fontId="43" fillId="0" borderId="22" xfId="0" applyFont="1" applyBorder="1" applyAlignment="1">
      <alignment horizontal="centerContinuous"/>
    </xf>
    <xf numFmtId="164" fontId="52" fillId="29" borderId="0" xfId="33" applyNumberFormat="1" applyFont="1" applyFill="1"/>
    <xf numFmtId="164" fontId="52" fillId="29" borderId="0" xfId="29" applyNumberFormat="1" applyFont="1" applyFill="1" applyAlignment="1">
      <alignment horizontal="left"/>
    </xf>
    <xf numFmtId="167" fontId="52" fillId="0" borderId="0" xfId="32" applyNumberFormat="1" applyFont="1"/>
    <xf numFmtId="0" fontId="32" fillId="0" borderId="0" xfId="0" applyFont="1" applyAlignment="1">
      <alignment horizontal="left"/>
    </xf>
    <xf numFmtId="0" fontId="16" fillId="25" borderId="32" xfId="0" quotePrefix="1" applyFont="1" applyFill="1" applyBorder="1" applyAlignment="1">
      <alignment horizontal="center" wrapText="1"/>
    </xf>
    <xf numFmtId="164" fontId="40" fillId="0" borderId="9" xfId="28" applyNumberFormat="1" applyFont="1" applyBorder="1" applyAlignment="1">
      <alignment horizontal="center"/>
    </xf>
    <xf numFmtId="164" fontId="52" fillId="25" borderId="0" xfId="28" applyNumberFormat="1" applyFont="1" applyFill="1"/>
    <xf numFmtId="0" fontId="18" fillId="0" borderId="0" xfId="44" applyAlignment="1">
      <alignment horizontal="right"/>
    </xf>
    <xf numFmtId="0" fontId="18" fillId="0" borderId="0" xfId="44" quotePrefix="1"/>
    <xf numFmtId="167" fontId="0" fillId="0" borderId="0" xfId="0" applyNumberFormat="1"/>
    <xf numFmtId="43" fontId="40" fillId="0" borderId="0" xfId="0" applyNumberFormat="1" applyFont="1" applyBorder="1"/>
    <xf numFmtId="0" fontId="43" fillId="25" borderId="17" xfId="0" applyFont="1" applyFill="1" applyBorder="1" applyAlignment="1">
      <alignment horizontal="center"/>
    </xf>
    <xf numFmtId="164" fontId="6" fillId="0" borderId="0" xfId="28" applyNumberFormat="1" applyFont="1" applyFill="1"/>
    <xf numFmtId="0" fontId="0" fillId="0" borderId="0" xfId="0"/>
    <xf numFmtId="0" fontId="0" fillId="0" borderId="0" xfId="0" applyAlignment="1"/>
    <xf numFmtId="0" fontId="43" fillId="0" borderId="21" xfId="0" applyFont="1" applyBorder="1" applyAlignment="1">
      <alignment horizontal="center"/>
    </xf>
    <xf numFmtId="0" fontId="43" fillId="0" borderId="13" xfId="0" applyFont="1" applyBorder="1" applyAlignment="1">
      <alignment horizontal="center"/>
    </xf>
    <xf numFmtId="0" fontId="43" fillId="0" borderId="22" xfId="0" applyFont="1" applyBorder="1" applyAlignment="1">
      <alignment horizontal="center"/>
    </xf>
    <xf numFmtId="0" fontId="0" fillId="0" borderId="0" xfId="0"/>
    <xf numFmtId="164" fontId="40" fillId="0" borderId="0" xfId="2020" applyNumberFormat="1" applyFont="1" applyBorder="1"/>
    <xf numFmtId="164" fontId="40" fillId="0" borderId="20" xfId="2020" applyNumberFormat="1" applyFont="1" applyBorder="1"/>
    <xf numFmtId="0" fontId="7" fillId="0" borderId="0" xfId="2629" applyFont="1" applyBorder="1"/>
    <xf numFmtId="0" fontId="6" fillId="0" borderId="0" xfId="2629"/>
    <xf numFmtId="0" fontId="6" fillId="0" borderId="0" xfId="2629" applyFont="1" applyAlignment="1">
      <alignment horizontal="center"/>
    </xf>
    <xf numFmtId="0" fontId="6" fillId="0" borderId="0" xfId="2629" applyFont="1" applyBorder="1" applyAlignment="1">
      <alignment horizontal="center"/>
    </xf>
    <xf numFmtId="0" fontId="6" fillId="0" borderId="0" xfId="2629" applyFont="1" applyFill="1" applyBorder="1" applyAlignment="1">
      <alignment horizontal="center"/>
    </xf>
    <xf numFmtId="49" fontId="6" fillId="0" borderId="0" xfId="2629" applyNumberFormat="1" applyFill="1" applyBorder="1" applyAlignment="1">
      <alignment horizontal="left"/>
    </xf>
    <xf numFmtId="42" fontId="6" fillId="0" borderId="0" xfId="2629" applyNumberFormat="1" applyFont="1" applyFill="1" applyBorder="1"/>
    <xf numFmtId="42" fontId="6" fillId="0" borderId="0" xfId="2629" applyNumberFormat="1" applyFont="1" applyBorder="1" applyAlignment="1">
      <alignment horizontal="center"/>
    </xf>
    <xf numFmtId="41" fontId="6" fillId="0" borderId="0" xfId="2629" applyNumberFormat="1" applyFont="1" applyFill="1" applyBorder="1"/>
    <xf numFmtId="41" fontId="6" fillId="0" borderId="0" xfId="2629" applyNumberFormat="1" applyFont="1" applyBorder="1" applyAlignment="1">
      <alignment horizontal="center"/>
    </xf>
    <xf numFmtId="49" fontId="6" fillId="0" borderId="0" xfId="2629" applyNumberFormat="1" applyFont="1" applyFill="1" applyBorder="1" applyAlignment="1">
      <alignment horizontal="left"/>
    </xf>
    <xf numFmtId="164" fontId="52" fillId="0" borderId="0" xfId="2629" applyNumberFormat="1" applyFont="1"/>
    <xf numFmtId="0" fontId="0" fillId="0" borderId="0" xfId="0"/>
    <xf numFmtId="0" fontId="43" fillId="0" borderId="13" xfId="0" applyFont="1" applyBorder="1" applyAlignment="1">
      <alignment horizontal="center"/>
    </xf>
    <xf numFmtId="0" fontId="10" fillId="0" borderId="0" xfId="0" applyFont="1" applyAlignment="1">
      <alignment vertical="center"/>
    </xf>
    <xf numFmtId="0" fontId="8" fillId="0" borderId="0" xfId="0" applyFont="1" applyAlignment="1">
      <alignment vertical="center"/>
    </xf>
    <xf numFmtId="0" fontId="0" fillId="0" borderId="0" xfId="0"/>
    <xf numFmtId="0" fontId="0" fillId="0" borderId="0" xfId="0" applyAlignment="1"/>
    <xf numFmtId="0" fontId="43" fillId="0" borderId="21" xfId="0" applyFont="1" applyBorder="1" applyAlignment="1">
      <alignment horizontal="center"/>
    </xf>
    <xf numFmtId="0" fontId="43" fillId="0" borderId="13" xfId="0" applyFont="1" applyBorder="1" applyAlignment="1">
      <alignment horizontal="center"/>
    </xf>
    <xf numFmtId="0" fontId="43" fillId="0" borderId="22" xfId="0" applyFont="1" applyBorder="1" applyAlignment="1">
      <alignment horizontal="center"/>
    </xf>
    <xf numFmtId="164" fontId="40" fillId="0" borderId="20" xfId="9383" applyNumberFormat="1" applyFont="1" applyBorder="1"/>
    <xf numFmtId="43" fontId="40" fillId="0" borderId="0" xfId="2020" applyNumberFormat="1" applyFont="1" applyBorder="1"/>
    <xf numFmtId="0" fontId="0" fillId="0" borderId="0" xfId="0"/>
    <xf numFmtId="0" fontId="93" fillId="0" borderId="0" xfId="2592" applyFont="1" applyFill="1" applyAlignment="1">
      <alignment horizontal="center"/>
    </xf>
    <xf numFmtId="41" fontId="93" fillId="0" borderId="0" xfId="2592" applyNumberFormat="1" applyFont="1" applyFill="1" applyAlignment="1">
      <alignment horizontal="center"/>
    </xf>
    <xf numFmtId="0" fontId="92" fillId="0" borderId="0" xfId="2592" applyFont="1" applyFill="1"/>
    <xf numFmtId="41" fontId="94" fillId="0" borderId="0" xfId="2592" applyNumberFormat="1" applyFont="1" applyFill="1" applyAlignment="1">
      <alignment horizontal="center"/>
    </xf>
    <xf numFmtId="0" fontId="94" fillId="0" borderId="0" xfId="2592" applyFont="1" applyFill="1"/>
    <xf numFmtId="41" fontId="92" fillId="0" borderId="0" xfId="2592" applyNumberFormat="1" applyFont="1" applyFill="1"/>
    <xf numFmtId="0" fontId="93" fillId="0" borderId="0" xfId="2592" applyFont="1" applyFill="1"/>
    <xf numFmtId="0" fontId="94" fillId="0" borderId="0" xfId="2592" applyFont="1" applyFill="1" applyAlignment="1">
      <alignment horizontal="center" vertical="center"/>
    </xf>
    <xf numFmtId="173" fontId="92" fillId="0" borderId="0" xfId="2592" applyNumberFormat="1" applyFont="1" applyFill="1"/>
    <xf numFmtId="0" fontId="94" fillId="0" borderId="0" xfId="2592" applyFont="1" applyFill="1" applyAlignment="1">
      <alignment horizontal="center"/>
    </xf>
    <xf numFmtId="41" fontId="92" fillId="100" borderId="0" xfId="2592" applyNumberFormat="1" applyFont="1" applyFill="1"/>
    <xf numFmtId="37" fontId="92" fillId="100" borderId="26" xfId="2592" applyNumberFormat="1" applyFont="1" applyFill="1" applyBorder="1" applyAlignment="1">
      <alignment horizontal="left"/>
    </xf>
    <xf numFmtId="41" fontId="92" fillId="100" borderId="26" xfId="2592" applyNumberFormat="1" applyFont="1" applyFill="1" applyBorder="1"/>
    <xf numFmtId="37" fontId="92" fillId="100" borderId="26" xfId="2592" applyNumberFormat="1" applyFont="1" applyFill="1" applyBorder="1" applyAlignment="1">
      <alignment wrapText="1"/>
    </xf>
    <xf numFmtId="37" fontId="92" fillId="100" borderId="26" xfId="2592" applyNumberFormat="1" applyFont="1" applyFill="1" applyBorder="1"/>
    <xf numFmtId="0" fontId="92" fillId="100" borderId="26" xfId="2592" applyFont="1" applyFill="1" applyBorder="1" applyAlignment="1">
      <alignment wrapText="1"/>
    </xf>
    <xf numFmtId="0" fontId="7" fillId="0" borderId="0" xfId="2629" applyFont="1" applyAlignment="1">
      <alignment horizontal="center"/>
    </xf>
    <xf numFmtId="0" fontId="7" fillId="0" borderId="0" xfId="2629" applyFont="1" applyBorder="1" applyAlignment="1">
      <alignment horizontal="center"/>
    </xf>
    <xf numFmtId="0" fontId="7" fillId="0" borderId="0" xfId="2629" applyFont="1" applyFill="1" applyBorder="1" applyAlignment="1">
      <alignment horizontal="center"/>
    </xf>
    <xf numFmtId="3" fontId="10" fillId="0" borderId="0" xfId="0" applyNumberFormat="1" applyFont="1" applyFill="1" applyBorder="1" applyAlignment="1">
      <alignment horizontal="right"/>
    </xf>
    <xf numFmtId="0" fontId="0" fillId="0" borderId="0" xfId="0"/>
    <xf numFmtId="41" fontId="92" fillId="0" borderId="0" xfId="9382" applyNumberFormat="1" applyFont="1" applyFill="1"/>
    <xf numFmtId="0" fontId="92" fillId="0" borderId="0" xfId="9382" applyFont="1" applyFill="1"/>
    <xf numFmtId="41" fontId="94" fillId="0" borderId="0" xfId="9382" applyNumberFormat="1" applyFont="1" applyFill="1" applyAlignment="1">
      <alignment horizontal="center"/>
    </xf>
    <xf numFmtId="41" fontId="92" fillId="0" borderId="0" xfId="9382" applyNumberFormat="1" applyFont="1" applyFill="1" applyBorder="1"/>
    <xf numFmtId="0" fontId="92" fillId="0" borderId="0" xfId="9382" applyFont="1" applyFill="1" applyAlignment="1">
      <alignment horizontal="left"/>
    </xf>
    <xf numFmtId="0" fontId="6" fillId="0" borderId="0" xfId="9382" applyFill="1"/>
    <xf numFmtId="41" fontId="92" fillId="0" borderId="0" xfId="9382" applyNumberFormat="1" applyFont="1" applyFill="1" applyAlignment="1">
      <alignment horizontal="left"/>
    </xf>
    <xf numFmtId="41" fontId="93" fillId="0" borderId="0" xfId="9382" applyNumberFormat="1" applyFont="1" applyFill="1" applyAlignment="1">
      <alignment horizontal="center"/>
    </xf>
    <xf numFmtId="41" fontId="92" fillId="0" borderId="26" xfId="9382" applyNumberFormat="1" applyFont="1" applyFill="1" applyBorder="1"/>
    <xf numFmtId="37" fontId="92" fillId="0" borderId="26" xfId="9382" applyNumberFormat="1" applyFont="1" applyFill="1" applyBorder="1"/>
    <xf numFmtId="37" fontId="94" fillId="0" borderId="26" xfId="9382" applyNumberFormat="1" applyFont="1" applyFill="1" applyBorder="1" applyAlignment="1">
      <alignment horizontal="left"/>
    </xf>
    <xf numFmtId="0" fontId="6" fillId="0" borderId="26" xfId="9382" applyFill="1" applyBorder="1"/>
    <xf numFmtId="0" fontId="92" fillId="0" borderId="26" xfId="9382" applyFont="1" applyFill="1" applyBorder="1"/>
    <xf numFmtId="0" fontId="92" fillId="0" borderId="0" xfId="9382" applyFont="1" applyFill="1" applyBorder="1"/>
    <xf numFmtId="0" fontId="95" fillId="0" borderId="0" xfId="9382" applyFont="1" applyFill="1" applyBorder="1"/>
    <xf numFmtId="37" fontId="92" fillId="0" borderId="0" xfId="9382" applyNumberFormat="1" applyFont="1" applyFill="1" applyBorder="1" applyAlignment="1">
      <alignment horizontal="center"/>
    </xf>
    <xf numFmtId="0" fontId="95" fillId="0" borderId="28" xfId="9382" applyFont="1" applyFill="1" applyBorder="1"/>
    <xf numFmtId="41" fontId="95" fillId="0" borderId="11" xfId="9382" applyNumberFormat="1" applyFont="1" applyFill="1" applyBorder="1"/>
    <xf numFmtId="41" fontId="92" fillId="0" borderId="11" xfId="9382" applyNumberFormat="1" applyFont="1" applyFill="1" applyBorder="1"/>
    <xf numFmtId="41" fontId="92" fillId="0" borderId="11" xfId="9382" applyNumberFormat="1" applyFont="1" applyFill="1" applyBorder="1" applyAlignment="1">
      <alignment horizontal="center"/>
    </xf>
    <xf numFmtId="0" fontId="92" fillId="0" borderId="29" xfId="9382" applyFont="1" applyFill="1" applyBorder="1" applyAlignment="1">
      <alignment horizontal="center"/>
    </xf>
    <xf numFmtId="0" fontId="92" fillId="0" borderId="0" xfId="9382" applyFont="1" applyFill="1" applyBorder="1" applyAlignment="1">
      <alignment horizontal="center"/>
    </xf>
    <xf numFmtId="0" fontId="95" fillId="0" borderId="27" xfId="9382" applyFont="1" applyFill="1" applyBorder="1" applyAlignment="1">
      <alignment horizontal="left"/>
    </xf>
    <xf numFmtId="0" fontId="92" fillId="0" borderId="30" xfId="9382" applyFont="1" applyFill="1" applyBorder="1"/>
    <xf numFmtId="41" fontId="95" fillId="0" borderId="0" xfId="9382" applyNumberFormat="1" applyFont="1" applyFill="1" applyBorder="1" applyAlignment="1">
      <alignment horizontal="left"/>
    </xf>
    <xf numFmtId="41" fontId="92" fillId="0" borderId="0" xfId="9382" applyNumberFormat="1" applyFont="1" applyFill="1" applyBorder="1" applyAlignment="1">
      <alignment horizontal="center"/>
    </xf>
    <xf numFmtId="0" fontId="93" fillId="0" borderId="11" xfId="9382" applyFont="1" applyFill="1" applyBorder="1" applyAlignment="1">
      <alignment horizontal="left"/>
    </xf>
    <xf numFmtId="41" fontId="93" fillId="0" borderId="0" xfId="9382" applyNumberFormat="1" applyFont="1" applyFill="1" applyBorder="1" applyAlignment="1">
      <alignment horizontal="center"/>
    </xf>
    <xf numFmtId="0" fontId="94" fillId="0" borderId="0" xfId="9382" applyFont="1" applyFill="1" applyBorder="1" applyAlignment="1">
      <alignment horizontal="left"/>
    </xf>
    <xf numFmtId="41" fontId="94" fillId="0" borderId="0" xfId="9382" applyNumberFormat="1" applyFont="1" applyFill="1" applyBorder="1" applyAlignment="1">
      <alignment horizontal="center"/>
    </xf>
    <xf numFmtId="41" fontId="92" fillId="0" borderId="0" xfId="9382" applyNumberFormat="1" applyFont="1" applyFill="1" applyBorder="1" applyAlignment="1"/>
    <xf numFmtId="0" fontId="92" fillId="0" borderId="0" xfId="9382" applyFont="1" applyFill="1" applyBorder="1" applyAlignment="1"/>
    <xf numFmtId="0" fontId="94" fillId="0" borderId="0" xfId="9382" applyFont="1" applyFill="1" applyBorder="1" applyAlignment="1">
      <alignment horizontal="center"/>
    </xf>
    <xf numFmtId="0" fontId="7" fillId="0" borderId="0" xfId="9382" applyFont="1" applyFill="1"/>
    <xf numFmtId="0" fontId="93" fillId="0" borderId="0" xfId="9382" applyFont="1" applyFill="1" applyBorder="1"/>
    <xf numFmtId="0" fontId="94" fillId="0" borderId="0" xfId="9382" applyFont="1" applyFill="1" applyBorder="1"/>
    <xf numFmtId="0" fontId="94" fillId="0" borderId="26" xfId="9382" applyFont="1" applyFill="1" applyBorder="1"/>
    <xf numFmtId="0" fontId="95" fillId="0" borderId="17" xfId="9382" applyFont="1" applyFill="1" applyBorder="1" applyAlignment="1">
      <alignment horizontal="left" wrapText="1"/>
    </xf>
    <xf numFmtId="41" fontId="95" fillId="0" borderId="0" xfId="9382" applyNumberFormat="1" applyFont="1" applyFill="1" applyBorder="1" applyAlignment="1">
      <alignment horizontal="left" wrapText="1"/>
    </xf>
    <xf numFmtId="0" fontId="95" fillId="0" borderId="17" xfId="9382" applyFont="1" applyFill="1" applyBorder="1" applyAlignment="1">
      <alignment horizontal="left"/>
    </xf>
    <xf numFmtId="0" fontId="95" fillId="0" borderId="17" xfId="9382" applyFont="1" applyFill="1" applyBorder="1" applyAlignment="1">
      <alignment wrapText="1"/>
    </xf>
    <xf numFmtId="41" fontId="95" fillId="0" borderId="0" xfId="9382" applyNumberFormat="1" applyFont="1" applyFill="1" applyBorder="1" applyAlignment="1">
      <alignment wrapText="1"/>
    </xf>
    <xf numFmtId="41" fontId="92" fillId="0" borderId="0" xfId="9382" applyNumberFormat="1" applyFont="1" applyFill="1" applyBorder="1" applyAlignment="1">
      <alignment wrapText="1"/>
    </xf>
    <xf numFmtId="0" fontId="93" fillId="0" borderId="0" xfId="9382" applyFont="1" applyFill="1" applyBorder="1" applyAlignment="1">
      <alignment horizontal="left"/>
    </xf>
    <xf numFmtId="0" fontId="6" fillId="0" borderId="0" xfId="9382" applyFill="1" applyAlignment="1">
      <alignment horizontal="right"/>
    </xf>
    <xf numFmtId="0" fontId="150" fillId="0" borderId="0" xfId="0" applyFont="1"/>
    <xf numFmtId="0" fontId="150" fillId="0" borderId="0" xfId="0" applyFont="1" applyFill="1"/>
    <xf numFmtId="0" fontId="151" fillId="0" borderId="0" xfId="0" applyFont="1"/>
    <xf numFmtId="0" fontId="152" fillId="0" borderId="0" xfId="0" applyFont="1"/>
    <xf numFmtId="0" fontId="6" fillId="0" borderId="17" xfId="0" applyFont="1" applyBorder="1"/>
    <xf numFmtId="0" fontId="6" fillId="0" borderId="0" xfId="0" applyFont="1" applyBorder="1"/>
    <xf numFmtId="167" fontId="6" fillId="0" borderId="0" xfId="32" applyNumberFormat="1" applyFont="1" applyBorder="1"/>
    <xf numFmtId="0" fontId="6" fillId="0" borderId="20" xfId="0" applyFont="1" applyBorder="1"/>
    <xf numFmtId="0" fontId="6" fillId="0" borderId="20" xfId="0" applyFont="1" applyFill="1" applyBorder="1"/>
    <xf numFmtId="0" fontId="6" fillId="0" borderId="18" xfId="0" applyFont="1" applyFill="1" applyBorder="1"/>
    <xf numFmtId="0" fontId="6" fillId="0" borderId="9" xfId="0" applyFont="1" applyFill="1" applyBorder="1"/>
    <xf numFmtId="0" fontId="6" fillId="0" borderId="9" xfId="0" applyFont="1" applyBorder="1"/>
    <xf numFmtId="167" fontId="6" fillId="0" borderId="9" xfId="0" applyNumberFormat="1" applyFont="1" applyBorder="1"/>
    <xf numFmtId="0" fontId="6" fillId="0" borderId="19" xfId="0" applyFont="1" applyFill="1" applyBorder="1"/>
    <xf numFmtId="0" fontId="153" fillId="0" borderId="17" xfId="0" applyFont="1" applyBorder="1"/>
    <xf numFmtId="0" fontId="153" fillId="0" borderId="0" xfId="0" applyFont="1" applyBorder="1"/>
    <xf numFmtId="0" fontId="153" fillId="0" borderId="0" xfId="0" applyFont="1" applyBorder="1" applyAlignment="1">
      <alignment horizontal="center"/>
    </xf>
    <xf numFmtId="167" fontId="153" fillId="0" borderId="0" xfId="32" applyNumberFormat="1" applyFont="1" applyBorder="1" applyAlignment="1">
      <alignment horizontal="center"/>
    </xf>
    <xf numFmtId="0" fontId="153" fillId="0" borderId="20" xfId="0" applyFont="1" applyBorder="1" applyAlignment="1">
      <alignment horizontal="center"/>
    </xf>
    <xf numFmtId="167" fontId="153" fillId="0" borderId="0" xfId="0" applyNumberFormat="1" applyFont="1" applyBorder="1"/>
    <xf numFmtId="167" fontId="153" fillId="0" borderId="20" xfId="0" applyNumberFormat="1" applyFont="1" applyBorder="1"/>
    <xf numFmtId="167" fontId="153" fillId="0" borderId="0" xfId="32" applyNumberFormat="1" applyFont="1" applyBorder="1"/>
    <xf numFmtId="164" fontId="153" fillId="0" borderId="0" xfId="32" applyNumberFormat="1" applyFont="1" applyBorder="1"/>
    <xf numFmtId="0" fontId="153" fillId="0" borderId="14" xfId="0" applyFont="1" applyBorder="1"/>
    <xf numFmtId="167" fontId="153" fillId="0" borderId="14" xfId="32" applyNumberFormat="1" applyFont="1" applyBorder="1"/>
    <xf numFmtId="164" fontId="153" fillId="0" borderId="14" xfId="0" applyNumberFormat="1" applyFont="1" applyBorder="1"/>
    <xf numFmtId="167" fontId="153" fillId="0" borderId="48" xfId="0" applyNumberFormat="1" applyFont="1" applyBorder="1"/>
    <xf numFmtId="0" fontId="153" fillId="0" borderId="18" xfId="0" applyFont="1" applyBorder="1"/>
    <xf numFmtId="0" fontId="153" fillId="0" borderId="9" xfId="0" applyFont="1" applyBorder="1"/>
    <xf numFmtId="0" fontId="153" fillId="0" borderId="9" xfId="0" applyFont="1" applyFill="1" applyBorder="1"/>
    <xf numFmtId="167" fontId="153" fillId="0" borderId="9" xfId="0" applyNumberFormat="1" applyFont="1" applyBorder="1"/>
    <xf numFmtId="167" fontId="153" fillId="0" borderId="9" xfId="32" applyNumberFormat="1" applyFont="1" applyBorder="1"/>
    <xf numFmtId="167" fontId="153" fillId="0" borderId="19" xfId="0" applyNumberFormat="1" applyFont="1" applyFill="1" applyBorder="1"/>
    <xf numFmtId="164" fontId="153" fillId="0" borderId="0" xfId="28" applyNumberFormat="1" applyFont="1" applyFill="1" applyAlignment="1">
      <alignment horizontal="right"/>
    </xf>
    <xf numFmtId="164" fontId="0" fillId="0" borderId="0" xfId="28" applyNumberFormat="1" applyFont="1"/>
    <xf numFmtId="164" fontId="0" fillId="0" borderId="0" xfId="28" applyNumberFormat="1" applyFont="1" applyBorder="1"/>
    <xf numFmtId="164" fontId="10" fillId="0" borderId="0" xfId="28" applyNumberFormat="1" applyFont="1" applyFill="1" applyBorder="1" applyAlignment="1">
      <alignment horizontal="right"/>
    </xf>
    <xf numFmtId="43" fontId="12" fillId="0" borderId="0" xfId="28" applyFont="1" applyFill="1" applyAlignment="1"/>
    <xf numFmtId="3" fontId="10" fillId="25" borderId="14" xfId="0" applyNumberFormat="1" applyFont="1" applyFill="1" applyBorder="1" applyAlignment="1">
      <alignment horizontal="right"/>
    </xf>
    <xf numFmtId="3" fontId="10" fillId="25" borderId="0" xfId="0" applyNumberFormat="1" applyFont="1" applyFill="1" applyAlignment="1">
      <alignment horizontal="right"/>
    </xf>
    <xf numFmtId="3" fontId="10" fillId="0" borderId="0" xfId="0" applyNumberFormat="1" applyFont="1" applyFill="1" applyAlignment="1">
      <alignment horizontal="right"/>
    </xf>
    <xf numFmtId="3" fontId="8" fillId="0" borderId="0" xfId="0" applyNumberFormat="1" applyFont="1" applyBorder="1" applyAlignment="1">
      <alignment horizontal="right"/>
    </xf>
    <xf numFmtId="43" fontId="0" fillId="0" borderId="0" xfId="28" applyFont="1" applyFill="1"/>
    <xf numFmtId="0" fontId="0" fillId="0" borderId="0" xfId="0"/>
    <xf numFmtId="0" fontId="0" fillId="0" borderId="0" xfId="0"/>
    <xf numFmtId="0" fontId="0" fillId="0" borderId="0" xfId="0"/>
    <xf numFmtId="0" fontId="0" fillId="0" borderId="0" xfId="0"/>
    <xf numFmtId="0" fontId="0" fillId="0" borderId="0" xfId="0" applyAlignment="1"/>
    <xf numFmtId="0" fontId="43" fillId="0" borderId="21" xfId="0" applyFont="1" applyBorder="1" applyAlignment="1">
      <alignment horizontal="center"/>
    </xf>
    <xf numFmtId="0" fontId="43" fillId="0" borderId="13" xfId="0" applyFont="1" applyBorder="1" applyAlignment="1">
      <alignment horizontal="center"/>
    </xf>
    <xf numFmtId="0" fontId="43" fillId="0" borderId="22" xfId="0" applyFont="1" applyBorder="1" applyAlignment="1">
      <alignment horizontal="center"/>
    </xf>
    <xf numFmtId="0" fontId="0" fillId="0" borderId="0" xfId="0"/>
    <xf numFmtId="0" fontId="44" fillId="27" borderId="13" xfId="0" applyFont="1" applyFill="1" applyBorder="1" applyAlignment="1">
      <alignment wrapText="1"/>
    </xf>
    <xf numFmtId="0" fontId="44" fillId="27" borderId="22" xfId="0" applyFont="1" applyFill="1" applyBorder="1" applyAlignment="1">
      <alignment wrapText="1"/>
    </xf>
    <xf numFmtId="0" fontId="48" fillId="0" borderId="17" xfId="0" applyFont="1" applyFill="1" applyBorder="1" applyAlignment="1">
      <alignment horizontal="center"/>
    </xf>
    <xf numFmtId="0" fontId="48" fillId="0" borderId="0" xfId="0" applyFont="1" applyFill="1" applyBorder="1" applyAlignment="1">
      <alignment horizontal="center"/>
    </xf>
    <xf numFmtId="0" fontId="48" fillId="0" borderId="20" xfId="0" applyFont="1" applyFill="1" applyBorder="1" applyAlignment="1">
      <alignment horizontal="center"/>
    </xf>
    <xf numFmtId="0" fontId="44" fillId="0" borderId="0" xfId="0" applyFont="1" applyFill="1" applyBorder="1" applyAlignment="1">
      <alignment horizontal="center" wrapText="1"/>
    </xf>
    <xf numFmtId="0" fontId="44" fillId="0" borderId="20" xfId="0" applyFont="1" applyFill="1" applyBorder="1" applyAlignment="1">
      <alignment horizontal="center" wrapText="1"/>
    </xf>
    <xf numFmtId="164" fontId="40" fillId="0" borderId="0" xfId="28" applyNumberFormat="1" applyFont="1" applyBorder="1"/>
    <xf numFmtId="167" fontId="157" fillId="0" borderId="12" xfId="32" applyNumberFormat="1" applyFont="1" applyBorder="1"/>
    <xf numFmtId="41" fontId="6" fillId="25" borderId="0" xfId="0" applyNumberFormat="1" applyFont="1" applyFill="1" applyAlignment="1">
      <alignment horizontal="right" wrapText="1"/>
    </xf>
    <xf numFmtId="41" fontId="6" fillId="25" borderId="0" xfId="0" applyNumberFormat="1" applyFont="1" applyFill="1" applyAlignment="1">
      <alignment horizontal="right" vertical="center" wrapText="1"/>
    </xf>
    <xf numFmtId="41" fontId="6" fillId="25" borderId="0" xfId="0" applyNumberFormat="1" applyFont="1" applyFill="1" applyAlignment="1">
      <alignment horizontal="right"/>
    </xf>
    <xf numFmtId="164" fontId="6" fillId="25" borderId="0" xfId="28" applyNumberFormat="1" applyFont="1" applyFill="1" applyAlignment="1">
      <alignment horizontal="right"/>
    </xf>
    <xf numFmtId="0" fontId="158" fillId="0" borderId="0" xfId="0" applyFont="1"/>
    <xf numFmtId="0" fontId="0" fillId="0" borderId="0" xfId="0"/>
    <xf numFmtId="0" fontId="152" fillId="0" borderId="0" xfId="0" applyFont="1" applyFill="1" applyBorder="1" applyAlignment="1">
      <alignment horizontal="left"/>
    </xf>
    <xf numFmtId="9" fontId="40" fillId="0" borderId="0" xfId="51" applyFont="1" applyBorder="1" applyAlignment="1">
      <alignment horizontal="left"/>
    </xf>
    <xf numFmtId="0" fontId="39" fillId="27" borderId="13" xfId="0" applyFont="1" applyFill="1" applyBorder="1" applyAlignment="1">
      <alignment horizontal="center" wrapText="1"/>
    </xf>
    <xf numFmtId="0" fontId="39" fillId="0" borderId="0" xfId="0" applyFont="1" applyFill="1" applyBorder="1" applyAlignment="1">
      <alignment horizontal="center" wrapText="1"/>
    </xf>
    <xf numFmtId="164" fontId="40" fillId="0" borderId="9" xfId="28" applyNumberFormat="1" applyFont="1" applyBorder="1"/>
    <xf numFmtId="164" fontId="40" fillId="0" borderId="9" xfId="0" applyNumberFormat="1" applyFont="1" applyBorder="1"/>
    <xf numFmtId="164" fontId="50" fillId="0" borderId="0" xfId="0" applyNumberFormat="1" applyFont="1"/>
    <xf numFmtId="0" fontId="95" fillId="0" borderId="27" xfId="9382" applyFont="1" applyFill="1" applyBorder="1" applyAlignment="1">
      <alignment horizontal="left" wrapText="1"/>
    </xf>
    <xf numFmtId="0" fontId="59" fillId="0" borderId="0" xfId="9471" applyFont="1" applyFill="1" applyAlignment="1"/>
    <xf numFmtId="41" fontId="59" fillId="0" borderId="0" xfId="9471" applyNumberFormat="1" applyFont="1" applyFill="1" applyAlignment="1"/>
    <xf numFmtId="0" fontId="20" fillId="0" borderId="0" xfId="9471" applyFont="1" applyAlignment="1">
      <alignment horizontal="center"/>
    </xf>
    <xf numFmtId="0" fontId="92" fillId="0" borderId="0" xfId="9473" applyFont="1" applyFill="1"/>
    <xf numFmtId="41" fontId="92" fillId="0" borderId="0" xfId="9473" applyNumberFormat="1" applyFont="1" applyFill="1"/>
    <xf numFmtId="172" fontId="92" fillId="100" borderId="0" xfId="3239" applyNumberFormat="1" applyFont="1" applyFill="1" applyAlignment="1">
      <alignment horizontal="center" vertical="center"/>
    </xf>
    <xf numFmtId="173" fontId="92" fillId="100" borderId="0" xfId="3239" applyNumberFormat="1" applyFont="1" applyFill="1" applyAlignment="1">
      <alignment horizontal="center" vertical="center"/>
    </xf>
    <xf numFmtId="0" fontId="94" fillId="0" borderId="0" xfId="9473" applyFont="1" applyFill="1"/>
    <xf numFmtId="0" fontId="6" fillId="0" borderId="0" xfId="9473" applyFont="1" applyFill="1"/>
    <xf numFmtId="41" fontId="92" fillId="0" borderId="0" xfId="9473" applyNumberFormat="1" applyFont="1" applyFill="1" applyBorder="1" applyAlignment="1"/>
    <xf numFmtId="41" fontId="92" fillId="0" borderId="11" xfId="9473" applyNumberFormat="1" applyFont="1" applyFill="1" applyBorder="1"/>
    <xf numFmtId="41" fontId="92" fillId="0" borderId="0" xfId="9473" applyNumberFormat="1" applyFont="1" applyFill="1" applyBorder="1"/>
    <xf numFmtId="0" fontId="95" fillId="0" borderId="27" xfId="9382" applyFont="1" applyFill="1" applyBorder="1" applyAlignment="1">
      <alignment wrapText="1"/>
    </xf>
    <xf numFmtId="41" fontId="92" fillId="0" borderId="0" xfId="9473" applyNumberFormat="1" applyFont="1" applyFill="1" applyBorder="1" applyAlignment="1">
      <alignment wrapText="1"/>
    </xf>
    <xf numFmtId="0" fontId="95" fillId="0" borderId="0" xfId="9473" applyFont="1" applyFill="1" applyBorder="1" applyAlignment="1">
      <alignment horizontal="left"/>
    </xf>
    <xf numFmtId="41" fontId="95" fillId="0" borderId="0" xfId="9473" applyNumberFormat="1" applyFont="1" applyFill="1" applyBorder="1" applyAlignment="1">
      <alignment horizontal="left"/>
    </xf>
    <xf numFmtId="0" fontId="92" fillId="0" borderId="0" xfId="9473" applyFont="1" applyFill="1" applyBorder="1"/>
    <xf numFmtId="0" fontId="94" fillId="0" borderId="0" xfId="9473" applyFont="1" applyFill="1" applyBorder="1"/>
    <xf numFmtId="41" fontId="94" fillId="0" borderId="0" xfId="9473" applyNumberFormat="1" applyFont="1" applyFill="1" applyBorder="1"/>
    <xf numFmtId="0" fontId="92" fillId="0" borderId="26" xfId="9473" applyFont="1" applyFill="1" applyBorder="1"/>
    <xf numFmtId="41" fontId="92" fillId="0" borderId="26" xfId="9473" applyNumberFormat="1" applyFont="1" applyFill="1" applyBorder="1"/>
    <xf numFmtId="41" fontId="92" fillId="100" borderId="26" xfId="9473" applyNumberFormat="1" applyFont="1" applyFill="1" applyBorder="1"/>
    <xf numFmtId="41" fontId="92" fillId="100" borderId="31" xfId="9473" applyNumberFormat="1" applyFont="1" applyFill="1" applyBorder="1"/>
    <xf numFmtId="41" fontId="148" fillId="0" borderId="26" xfId="9473" applyNumberFormat="1" applyFont="1" applyFill="1" applyBorder="1" applyAlignment="1">
      <alignment horizontal="left"/>
    </xf>
    <xf numFmtId="0" fontId="6" fillId="0" borderId="0" xfId="9474" applyFont="1" applyFill="1" applyBorder="1"/>
    <xf numFmtId="41" fontId="6" fillId="0" borderId="0" xfId="9474" applyNumberFormat="1" applyFont="1" applyFill="1" applyBorder="1"/>
    <xf numFmtId="0" fontId="92" fillId="0" borderId="0" xfId="9474" applyFont="1" applyFill="1" applyBorder="1"/>
    <xf numFmtId="0" fontId="148" fillId="0" borderId="0" xfId="9474" applyFont="1" applyFill="1" applyBorder="1"/>
    <xf numFmtId="0" fontId="155" fillId="0" borderId="0" xfId="9474" applyFont="1" applyFill="1" applyBorder="1"/>
    <xf numFmtId="0" fontId="92" fillId="0" borderId="0" xfId="9474" applyFont="1" applyFill="1" applyBorder="1" applyAlignment="1">
      <alignment horizontal="left"/>
    </xf>
    <xf numFmtId="0" fontId="93" fillId="0" borderId="0" xfId="9474" applyFont="1" applyFill="1" applyBorder="1" applyAlignment="1">
      <alignment horizontal="center"/>
    </xf>
    <xf numFmtId="41" fontId="92" fillId="0" borderId="0" xfId="9474" applyNumberFormat="1" applyFont="1" applyFill="1" applyBorder="1"/>
    <xf numFmtId="0" fontId="93" fillId="0" borderId="0" xfId="9474" applyFont="1" applyFill="1" applyBorder="1"/>
    <xf numFmtId="37" fontId="92" fillId="0" borderId="0" xfId="9474" applyNumberFormat="1" applyFont="1" applyFill="1" applyBorder="1"/>
    <xf numFmtId="172" fontId="92" fillId="0" borderId="0" xfId="9474" applyNumberFormat="1" applyFont="1" applyFill="1" applyBorder="1"/>
    <xf numFmtId="41" fontId="92" fillId="0" borderId="0" xfId="9474" applyNumberFormat="1" applyFont="1" applyFill="1" applyBorder="1" applyAlignment="1">
      <alignment horizontal="left"/>
    </xf>
    <xf numFmtId="0" fontId="94" fillId="0" borderId="0" xfId="9474" applyFont="1" applyFill="1" applyBorder="1" applyAlignment="1">
      <alignment horizontal="center"/>
    </xf>
    <xf numFmtId="0" fontId="92" fillId="0" borderId="0" xfId="9474" applyFont="1" applyFill="1" applyBorder="1" applyAlignment="1">
      <alignment wrapText="1"/>
    </xf>
    <xf numFmtId="0" fontId="94" fillId="0" borderId="0" xfId="9474" applyFont="1" applyFill="1" applyBorder="1"/>
    <xf numFmtId="37" fontId="92" fillId="0" borderId="0" xfId="9474" applyNumberFormat="1" applyFont="1" applyFill="1" applyBorder="1" applyAlignment="1">
      <alignment horizontal="center"/>
    </xf>
    <xf numFmtId="0" fontId="92" fillId="0" borderId="49" xfId="9474" applyFont="1" applyFill="1" applyBorder="1"/>
    <xf numFmtId="41" fontId="148" fillId="0" borderId="14" xfId="9474" applyNumberFormat="1" applyFont="1" applyFill="1" applyBorder="1" applyAlignment="1">
      <alignment horizontal="left"/>
    </xf>
    <xf numFmtId="41" fontId="92" fillId="0" borderId="14" xfId="9474" applyNumberFormat="1" applyFont="1" applyFill="1" applyBorder="1"/>
    <xf numFmtId="41" fontId="92" fillId="0" borderId="14" xfId="9474" applyNumberFormat="1" applyFont="1" applyFill="1" applyBorder="1" applyAlignment="1">
      <alignment horizontal="center"/>
    </xf>
    <xf numFmtId="0" fontId="92" fillId="0" borderId="50" xfId="9474" applyFont="1" applyFill="1" applyBorder="1" applyAlignment="1">
      <alignment horizontal="center"/>
    </xf>
    <xf numFmtId="0" fontId="92" fillId="0" borderId="49" xfId="9473" applyFont="1" applyFill="1" applyBorder="1"/>
    <xf numFmtId="41" fontId="95" fillId="0" borderId="14" xfId="9473" applyNumberFormat="1" applyFont="1" applyFill="1" applyBorder="1" applyAlignment="1">
      <alignment horizontal="left"/>
    </xf>
    <xf numFmtId="41" fontId="92" fillId="0" borderId="14" xfId="9473" applyNumberFormat="1" applyFont="1" applyFill="1" applyBorder="1"/>
    <xf numFmtId="41" fontId="92" fillId="0" borderId="11" xfId="9474" applyNumberFormat="1" applyFont="1" applyFill="1" applyBorder="1"/>
    <xf numFmtId="41" fontId="92" fillId="0" borderId="11" xfId="9474" applyNumberFormat="1" applyFont="1" applyFill="1" applyBorder="1" applyAlignment="1">
      <alignment horizontal="center"/>
    </xf>
    <xf numFmtId="0" fontId="92" fillId="0" borderId="29" xfId="9474" applyFont="1" applyFill="1" applyBorder="1" applyAlignment="1">
      <alignment horizontal="center"/>
    </xf>
    <xf numFmtId="41" fontId="92" fillId="0" borderId="0" xfId="9474" applyNumberFormat="1" applyFont="1" applyFill="1" applyBorder="1" applyAlignment="1"/>
    <xf numFmtId="0" fontId="92" fillId="0" borderId="30" xfId="9474" applyFont="1" applyFill="1" applyBorder="1" applyAlignment="1"/>
    <xf numFmtId="41" fontId="92" fillId="0" borderId="0" xfId="9474" applyNumberFormat="1" applyFont="1" applyFill="1" applyBorder="1" applyAlignment="1">
      <alignment horizontal="center"/>
    </xf>
    <xf numFmtId="0" fontId="92" fillId="0" borderId="30" xfId="9474" applyFont="1" applyFill="1" applyBorder="1" applyAlignment="1">
      <alignment horizontal="center"/>
    </xf>
    <xf numFmtId="41" fontId="92" fillId="0" borderId="0" xfId="9474" applyNumberFormat="1" applyFont="1" applyFill="1" applyBorder="1" applyAlignment="1">
      <alignment wrapText="1"/>
    </xf>
    <xf numFmtId="0" fontId="92" fillId="0" borderId="30" xfId="9474" applyFont="1" applyFill="1" applyBorder="1" applyAlignment="1">
      <alignment wrapText="1"/>
    </xf>
    <xf numFmtId="0" fontId="148" fillId="0" borderId="0" xfId="9474" applyFont="1" applyFill="1" applyBorder="1" applyAlignment="1">
      <alignment horizontal="left"/>
    </xf>
    <xf numFmtId="41" fontId="148" fillId="0" borderId="0" xfId="9474" applyNumberFormat="1" applyFont="1" applyFill="1" applyBorder="1" applyAlignment="1">
      <alignment horizontal="left"/>
    </xf>
    <xf numFmtId="0" fontId="92" fillId="0" borderId="0" xfId="9474" applyFont="1" applyFill="1" applyBorder="1" applyAlignment="1">
      <alignment horizontal="center"/>
    </xf>
    <xf numFmtId="41" fontId="94" fillId="0" borderId="0" xfId="9474" applyNumberFormat="1" applyFont="1" applyFill="1" applyBorder="1" applyAlignment="1">
      <alignment horizontal="center"/>
    </xf>
    <xf numFmtId="181" fontId="92" fillId="0" borderId="0" xfId="9474" applyNumberFormat="1" applyFont="1" applyFill="1" applyBorder="1"/>
    <xf numFmtId="182" fontId="92" fillId="0" borderId="0" xfId="9474" applyNumberFormat="1" applyFont="1" applyFill="1" applyBorder="1"/>
    <xf numFmtId="41" fontId="92" fillId="0" borderId="29" xfId="9473" applyNumberFormat="1" applyFont="1" applyFill="1" applyBorder="1" applyAlignment="1">
      <alignment horizontal="center"/>
    </xf>
    <xf numFmtId="41" fontId="92" fillId="0" borderId="30" xfId="9473" applyNumberFormat="1" applyFont="1" applyFill="1" applyBorder="1" applyAlignment="1"/>
    <xf numFmtId="0" fontId="92" fillId="0" borderId="0" xfId="9474" applyFont="1" applyFill="1" applyBorder="1" applyAlignment="1"/>
    <xf numFmtId="41" fontId="92" fillId="0" borderId="30" xfId="9473" applyNumberFormat="1" applyFont="1" applyFill="1" applyBorder="1" applyAlignment="1">
      <alignment horizontal="center"/>
    </xf>
    <xf numFmtId="41" fontId="92" fillId="0" borderId="30" xfId="9473" applyNumberFormat="1" applyFont="1" applyFill="1" applyBorder="1"/>
    <xf numFmtId="41" fontId="92" fillId="0" borderId="30" xfId="9473" applyNumberFormat="1" applyFont="1" applyFill="1" applyBorder="1" applyAlignment="1">
      <alignment wrapText="1"/>
    </xf>
    <xf numFmtId="0" fontId="95" fillId="0" borderId="27" xfId="9382" applyFont="1" applyFill="1" applyBorder="1" applyAlignment="1"/>
    <xf numFmtId="0" fontId="95" fillId="0" borderId="49" xfId="9473" applyFont="1" applyFill="1" applyBorder="1" applyAlignment="1">
      <alignment horizontal="left"/>
    </xf>
    <xf numFmtId="41" fontId="92" fillId="0" borderId="50" xfId="9473" applyNumberFormat="1" applyFont="1" applyFill="1" applyBorder="1"/>
    <xf numFmtId="41" fontId="93" fillId="0" borderId="0" xfId="9473" applyNumberFormat="1" applyFont="1" applyFill="1" applyBorder="1" applyAlignment="1">
      <alignment horizontal="center"/>
    </xf>
    <xf numFmtId="41" fontId="148" fillId="0" borderId="0" xfId="9473" applyNumberFormat="1" applyFont="1" applyFill="1" applyBorder="1"/>
    <xf numFmtId="41" fontId="94" fillId="0" borderId="0" xfId="9474" applyNumberFormat="1" applyFont="1" applyFill="1" applyBorder="1"/>
    <xf numFmtId="0" fontId="92" fillId="0" borderId="26" xfId="9474" applyFont="1" applyFill="1" applyBorder="1" applyAlignment="1">
      <alignment horizontal="left"/>
    </xf>
    <xf numFmtId="41" fontId="92" fillId="0" borderId="26" xfId="9474" applyNumberFormat="1" applyFont="1" applyFill="1" applyBorder="1" applyAlignment="1">
      <alignment horizontal="center"/>
    </xf>
    <xf numFmtId="41" fontId="92" fillId="0" borderId="31" xfId="9474" applyNumberFormat="1" applyFont="1" applyFill="1" applyBorder="1" applyAlignment="1">
      <alignment horizontal="center"/>
    </xf>
    <xf numFmtId="41" fontId="92" fillId="0" borderId="26" xfId="9474" applyNumberFormat="1" applyFont="1" applyFill="1" applyBorder="1"/>
    <xf numFmtId="41" fontId="92" fillId="0" borderId="31" xfId="9474" applyNumberFormat="1" applyFont="1" applyFill="1" applyBorder="1"/>
    <xf numFmtId="0" fontId="92" fillId="0" borderId="26" xfId="9474" applyFont="1" applyFill="1" applyBorder="1"/>
    <xf numFmtId="41" fontId="148" fillId="0" borderId="26" xfId="9474" applyNumberFormat="1" applyFont="1" applyFill="1" applyBorder="1" applyAlignment="1">
      <alignment horizontal="right"/>
    </xf>
    <xf numFmtId="41" fontId="92" fillId="102" borderId="26" xfId="9474" applyNumberFormat="1" applyFont="1" applyFill="1" applyBorder="1"/>
    <xf numFmtId="41" fontId="92" fillId="102" borderId="31" xfId="9474" applyNumberFormat="1" applyFont="1" applyFill="1" applyBorder="1"/>
    <xf numFmtId="0" fontId="149" fillId="0" borderId="0" xfId="9474" applyFont="1" applyFill="1" applyBorder="1"/>
    <xf numFmtId="0" fontId="154" fillId="0" borderId="0" xfId="9474" applyFont="1" applyFill="1" applyBorder="1"/>
    <xf numFmtId="176" fontId="92" fillId="0" borderId="26" xfId="9474" applyNumberFormat="1" applyFont="1" applyFill="1" applyBorder="1"/>
    <xf numFmtId="41" fontId="92" fillId="0" borderId="26" xfId="9474" applyNumberFormat="1" applyFont="1" applyFill="1" applyBorder="1" applyAlignment="1">
      <alignment horizontal="right"/>
    </xf>
    <xf numFmtId="164" fontId="92" fillId="0" borderId="31" xfId="9474" applyNumberFormat="1" applyFont="1" applyFill="1" applyBorder="1"/>
    <xf numFmtId="41" fontId="155" fillId="0" borderId="0" xfId="9474" quotePrefix="1" applyNumberFormat="1" applyFont="1" applyFill="1" applyBorder="1"/>
    <xf numFmtId="0" fontId="149" fillId="0" borderId="0" xfId="0" applyFont="1"/>
    <xf numFmtId="0" fontId="0" fillId="0" borderId="0" xfId="0"/>
    <xf numFmtId="0" fontId="39" fillId="27" borderId="13" xfId="0" applyFont="1" applyFill="1" applyBorder="1" applyAlignment="1">
      <alignment horizontal="center" wrapText="1"/>
    </xf>
    <xf numFmtId="0" fontId="39" fillId="0" borderId="0" xfId="0" applyFont="1" applyFill="1" applyBorder="1" applyAlignment="1">
      <alignment horizontal="center" wrapText="1"/>
    </xf>
    <xf numFmtId="0" fontId="40" fillId="0" borderId="20" xfId="0" applyNumberFormat="1" applyFont="1" applyFill="1" applyBorder="1" applyAlignment="1">
      <alignment horizontal="left" wrapText="1"/>
    </xf>
    <xf numFmtId="0" fontId="10" fillId="0" borderId="0" xfId="0" applyNumberFormat="1" applyFont="1" applyFill="1" applyAlignment="1"/>
    <xf numFmtId="3" fontId="10" fillId="0" borderId="0" xfId="0" applyNumberFormat="1" applyFont="1" applyFill="1" applyAlignment="1"/>
    <xf numFmtId="0" fontId="8" fillId="0" borderId="0" xfId="0" applyFont="1" applyFill="1" applyAlignment="1"/>
    <xf numFmtId="0" fontId="6" fillId="0" borderId="0" xfId="2629" applyAlignment="1">
      <alignment horizontal="center"/>
    </xf>
    <xf numFmtId="0" fontId="52" fillId="0" borderId="0" xfId="2629" applyFont="1" applyAlignment="1">
      <alignment horizontal="center"/>
    </xf>
    <xf numFmtId="167" fontId="52" fillId="0" borderId="0" xfId="2629" applyNumberFormat="1" applyFont="1"/>
    <xf numFmtId="0" fontId="52" fillId="0" borderId="0" xfId="2629" applyFont="1" applyFill="1" applyAlignment="1">
      <alignment horizontal="left"/>
    </xf>
    <xf numFmtId="164" fontId="52" fillId="0" borderId="0" xfId="2629" applyNumberFormat="1" applyFont="1" applyFill="1"/>
    <xf numFmtId="0" fontId="52" fillId="0" borderId="0" xfId="2629" applyFont="1"/>
    <xf numFmtId="0" fontId="52" fillId="0" borderId="0" xfId="2629" quotePrefix="1" applyFont="1" applyAlignment="1">
      <alignment horizontal="center"/>
    </xf>
    <xf numFmtId="167" fontId="52" fillId="0" borderId="0" xfId="2073" applyNumberFormat="1" applyFont="1"/>
    <xf numFmtId="167" fontId="52" fillId="0" borderId="0" xfId="2073" applyNumberFormat="1" applyFont="1" applyAlignment="1">
      <alignment horizontal="left"/>
    </xf>
    <xf numFmtId="167" fontId="52" fillId="0" borderId="0" xfId="2629" applyNumberFormat="1" applyFont="1" applyAlignment="1">
      <alignment horizontal="center"/>
    </xf>
    <xf numFmtId="0" fontId="52" fillId="0" borderId="0" xfId="2629" applyFont="1" applyFill="1"/>
    <xf numFmtId="0" fontId="32" fillId="0" borderId="0" xfId="2629" applyFont="1" applyAlignment="1">
      <alignment horizontal="center"/>
    </xf>
    <xf numFmtId="0" fontId="32" fillId="0" borderId="0" xfId="2629" applyFont="1"/>
    <xf numFmtId="0" fontId="0" fillId="0" borderId="0" xfId="0"/>
    <xf numFmtId="0" fontId="6" fillId="0" borderId="0" xfId="0" applyFont="1" applyFill="1" applyAlignment="1">
      <alignment vertical="center" wrapText="1"/>
    </xf>
    <xf numFmtId="167" fontId="0" fillId="103" borderId="0" xfId="32" applyNumberFormat="1" applyFont="1" applyFill="1" applyAlignment="1"/>
    <xf numFmtId="10" fontId="0" fillId="103" borderId="0" xfId="0" applyNumberFormat="1" applyFill="1"/>
    <xf numFmtId="0" fontId="6" fillId="0" borderId="0" xfId="2629" applyAlignment="1">
      <alignment horizontal="right"/>
    </xf>
    <xf numFmtId="164" fontId="0" fillId="103" borderId="0" xfId="9475" applyNumberFormat="1" applyFont="1" applyFill="1" applyAlignment="1"/>
    <xf numFmtId="168" fontId="0" fillId="103" borderId="0" xfId="0" applyNumberFormat="1" applyFill="1"/>
    <xf numFmtId="167" fontId="0" fillId="103" borderId="52" xfId="32" applyNumberFormat="1" applyFont="1" applyFill="1" applyBorder="1" applyAlignment="1"/>
    <xf numFmtId="0" fontId="50" fillId="0" borderId="0" xfId="0" applyFont="1" applyFill="1" applyAlignment="1">
      <alignment horizontal="center" vertical="center" wrapText="1"/>
    </xf>
    <xf numFmtId="167" fontId="160" fillId="0" borderId="0" xfId="2629" applyNumberFormat="1" applyFont="1"/>
    <xf numFmtId="0" fontId="0" fillId="0" borderId="0" xfId="0"/>
    <xf numFmtId="0" fontId="0" fillId="0" borderId="0" xfId="0"/>
    <xf numFmtId="167" fontId="160" fillId="0" borderId="0" xfId="2629" applyNumberFormat="1" applyFont="1" applyBorder="1"/>
    <xf numFmtId="0" fontId="52" fillId="0" borderId="0" xfId="2629" quotePrefix="1" applyFont="1" applyBorder="1" applyAlignment="1">
      <alignment horizontal="center"/>
    </xf>
    <xf numFmtId="167" fontId="52" fillId="0" borderId="0" xfId="2629" quotePrefix="1" applyNumberFormat="1" applyFont="1" applyBorder="1" applyAlignment="1">
      <alignment horizontal="center"/>
    </xf>
    <xf numFmtId="0" fontId="0" fillId="0" borderId="14" xfId="0" applyBorder="1"/>
    <xf numFmtId="172" fontId="0" fillId="0" borderId="0" xfId="51" applyNumberFormat="1" applyFont="1"/>
    <xf numFmtId="164" fontId="0" fillId="0" borderId="14" xfId="28" applyNumberFormat="1" applyFont="1" applyBorder="1"/>
    <xf numFmtId="0" fontId="153" fillId="0" borderId="0" xfId="0" applyFont="1"/>
    <xf numFmtId="164" fontId="153" fillId="0" borderId="0" xfId="0" applyNumberFormat="1" applyFont="1"/>
    <xf numFmtId="0" fontId="153" fillId="0" borderId="0" xfId="0" quotePrefix="1" applyFont="1"/>
    <xf numFmtId="0" fontId="153" fillId="0" borderId="0" xfId="0" applyFont="1" applyAlignment="1">
      <alignment horizontal="left"/>
    </xf>
    <xf numFmtId="164" fontId="153" fillId="0" borderId="52" xfId="0" applyNumberFormat="1" applyFont="1" applyBorder="1"/>
    <xf numFmtId="164" fontId="0" fillId="0" borderId="0" xfId="0" applyNumberFormat="1" applyBorder="1"/>
    <xf numFmtId="0" fontId="58" fillId="0" borderId="0" xfId="0" applyFont="1"/>
    <xf numFmtId="164" fontId="32" fillId="0" borderId="0" xfId="2629" applyNumberFormat="1" applyFont="1"/>
    <xf numFmtId="164" fontId="0" fillId="0" borderId="14" xfId="0" applyNumberFormat="1" applyBorder="1"/>
    <xf numFmtId="0" fontId="52" fillId="0" borderId="0" xfId="2629" applyNumberFormat="1" applyFont="1" applyAlignment="1">
      <alignment horizontal="left"/>
    </xf>
    <xf numFmtId="0" fontId="161" fillId="0" borderId="0" xfId="2629" applyFont="1" applyAlignment="1">
      <alignment horizontal="right"/>
    </xf>
    <xf numFmtId="164" fontId="161" fillId="0" borderId="14" xfId="2629" applyNumberFormat="1" applyFont="1" applyBorder="1"/>
    <xf numFmtId="0" fontId="161" fillId="0" borderId="0" xfId="2629" applyFont="1" applyFill="1" applyAlignment="1">
      <alignment horizontal="left"/>
    </xf>
    <xf numFmtId="164" fontId="161" fillId="0" borderId="0" xfId="2629" applyNumberFormat="1" applyFont="1"/>
    <xf numFmtId="167" fontId="52" fillId="0" borderId="0" xfId="2629" applyNumberFormat="1" applyFont="1" applyFill="1"/>
    <xf numFmtId="0" fontId="62" fillId="0" borderId="0" xfId="2629" applyFont="1" applyFill="1" applyAlignment="1">
      <alignment horizontal="left"/>
    </xf>
    <xf numFmtId="0" fontId="161" fillId="0" borderId="0" xfId="2629" applyFont="1" applyAlignment="1">
      <alignment horizontal="center"/>
    </xf>
    <xf numFmtId="164" fontId="161" fillId="0" borderId="0" xfId="2629" applyNumberFormat="1" applyFont="1" applyFill="1"/>
    <xf numFmtId="0" fontId="161" fillId="0" borderId="0" xfId="2629" quotePrefix="1" applyFont="1" applyAlignment="1">
      <alignment horizontal="center"/>
    </xf>
    <xf numFmtId="0" fontId="161" fillId="0" borderId="0" xfId="2629" applyFont="1" applyFill="1"/>
    <xf numFmtId="0" fontId="32" fillId="0" borderId="0" xfId="0" applyNumberFormat="1" applyFont="1" applyFill="1" applyAlignment="1">
      <alignment wrapText="1"/>
    </xf>
    <xf numFmtId="0" fontId="0" fillId="0" borderId="0" xfId="0" applyAlignment="1">
      <alignment wrapText="1"/>
    </xf>
    <xf numFmtId="0" fontId="37" fillId="0" borderId="0" xfId="9471" applyFont="1" applyAlignment="1">
      <alignment horizontal="center"/>
    </xf>
    <xf numFmtId="0" fontId="6" fillId="0" borderId="0" xfId="9474" applyFont="1" applyFill="1" applyBorder="1"/>
    <xf numFmtId="0" fontId="95" fillId="0" borderId="27" xfId="9382" applyFont="1" applyFill="1" applyBorder="1" applyAlignment="1">
      <alignment horizontal="left" wrapText="1"/>
    </xf>
    <xf numFmtId="0" fontId="95" fillId="0" borderId="0" xfId="9382" applyFont="1" applyFill="1" applyBorder="1" applyAlignment="1">
      <alignment horizontal="left" wrapText="1"/>
    </xf>
    <xf numFmtId="0" fontId="20" fillId="0" borderId="0" xfId="9471" applyFont="1" applyAlignment="1">
      <alignment horizontal="center"/>
    </xf>
    <xf numFmtId="0" fontId="20" fillId="0" borderId="0" xfId="0" applyFont="1" applyAlignment="1">
      <alignment horizontal="center"/>
    </xf>
    <xf numFmtId="0" fontId="37" fillId="0" borderId="0" xfId="0" applyFont="1" applyAlignment="1">
      <alignment horizontal="center"/>
    </xf>
    <xf numFmtId="0" fontId="0" fillId="0" borderId="0" xfId="0"/>
    <xf numFmtId="0" fontId="47" fillId="0" borderId="0" xfId="0" applyFont="1" applyFill="1" applyAlignment="1">
      <alignment horizontal="center"/>
    </xf>
    <xf numFmtId="0" fontId="39" fillId="27" borderId="13" xfId="0" applyFont="1" applyFill="1" applyBorder="1" applyAlignment="1">
      <alignment horizontal="center" wrapText="1"/>
    </xf>
    <xf numFmtId="0" fontId="0" fillId="0" borderId="13" xfId="0" applyBorder="1" applyAlignment="1">
      <alignment wrapText="1"/>
    </xf>
    <xf numFmtId="0" fontId="0" fillId="0" borderId="22" xfId="0" applyBorder="1" applyAlignment="1">
      <alignment wrapText="1"/>
    </xf>
    <xf numFmtId="0" fontId="40" fillId="0" borderId="0" xfId="0" applyFont="1" applyBorder="1" applyAlignment="1">
      <alignment wrapText="1"/>
    </xf>
    <xf numFmtId="0" fontId="0" fillId="0" borderId="20" xfId="0" applyBorder="1" applyAlignment="1">
      <alignment wrapText="1"/>
    </xf>
    <xf numFmtId="0" fontId="48" fillId="101" borderId="16" xfId="0" applyFont="1" applyFill="1" applyBorder="1" applyAlignment="1">
      <alignment horizontal="left"/>
    </xf>
    <xf numFmtId="0" fontId="48" fillId="101" borderId="15" xfId="0" applyFont="1" applyFill="1" applyBorder="1" applyAlignment="1">
      <alignment horizontal="left"/>
    </xf>
    <xf numFmtId="0" fontId="48" fillId="101" borderId="51" xfId="0" applyFont="1" applyFill="1" applyBorder="1" applyAlignment="1">
      <alignment horizontal="left"/>
    </xf>
    <xf numFmtId="0" fontId="33" fillId="27" borderId="21" xfId="0" applyFont="1" applyFill="1" applyBorder="1" applyAlignment="1">
      <alignment horizontal="center"/>
    </xf>
    <xf numFmtId="0" fontId="0" fillId="0" borderId="13" xfId="0" applyBorder="1" applyAlignment="1">
      <alignment horizontal="center"/>
    </xf>
    <xf numFmtId="0" fontId="33" fillId="27" borderId="13" xfId="0" applyFont="1" applyFill="1" applyBorder="1" applyAlignment="1">
      <alignment horizontal="center"/>
    </xf>
    <xf numFmtId="0" fontId="48" fillId="27" borderId="21" xfId="0" applyFont="1" applyFill="1" applyBorder="1" applyAlignment="1">
      <alignment horizontal="center"/>
    </xf>
    <xf numFmtId="0" fontId="48" fillId="27" borderId="13" xfId="0" applyFont="1" applyFill="1" applyBorder="1" applyAlignment="1">
      <alignment horizontal="center"/>
    </xf>
    <xf numFmtId="0" fontId="48" fillId="27" borderId="22" xfId="0" applyFont="1" applyFill="1" applyBorder="1" applyAlignment="1">
      <alignment horizontal="center"/>
    </xf>
    <xf numFmtId="0" fontId="48" fillId="27" borderId="16" xfId="0" applyFont="1" applyFill="1" applyBorder="1" applyAlignment="1">
      <alignment horizontal="left"/>
    </xf>
    <xf numFmtId="0" fontId="48" fillId="27" borderId="15" xfId="0" applyFont="1" applyFill="1" applyBorder="1" applyAlignment="1">
      <alignment horizontal="left"/>
    </xf>
    <xf numFmtId="0" fontId="48" fillId="27" borderId="51" xfId="0" applyFont="1" applyFill="1" applyBorder="1" applyAlignment="1">
      <alignment horizontal="left"/>
    </xf>
    <xf numFmtId="164" fontId="45" fillId="0" borderId="18" xfId="28" applyNumberFormat="1" applyFont="1" applyFill="1" applyBorder="1" applyAlignment="1">
      <alignment horizontal="center"/>
    </xf>
    <xf numFmtId="164" fontId="6" fillId="0" borderId="9" xfId="28" applyNumberFormat="1" applyFont="1" applyFill="1" applyBorder="1" applyAlignment="1">
      <alignment horizontal="center"/>
    </xf>
    <xf numFmtId="164" fontId="45" fillId="0" borderId="9" xfId="28" applyNumberFormat="1" applyFont="1" applyFill="1" applyBorder="1" applyAlignment="1">
      <alignment horizontal="center"/>
    </xf>
    <xf numFmtId="164" fontId="45" fillId="0" borderId="17" xfId="28" applyNumberFormat="1" applyFont="1" applyFill="1" applyBorder="1" applyAlignment="1">
      <alignment horizontal="center"/>
    </xf>
    <xf numFmtId="164" fontId="6" fillId="0" borderId="0" xfId="28" applyNumberFormat="1" applyFont="1" applyFill="1" applyBorder="1" applyAlignment="1">
      <alignment horizontal="center"/>
    </xf>
    <xf numFmtId="164" fontId="45" fillId="0" borderId="0" xfId="28" applyNumberFormat="1" applyFont="1" applyFill="1" applyBorder="1" applyAlignment="1">
      <alignment horizontal="center"/>
    </xf>
    <xf numFmtId="2" fontId="45" fillId="0" borderId="17" xfId="0" applyNumberFormat="1" applyFont="1" applyFill="1" applyBorder="1" applyAlignment="1">
      <alignment horizontal="center"/>
    </xf>
    <xf numFmtId="2" fontId="6" fillId="0" borderId="0" xfId="0" applyNumberFormat="1" applyFont="1" applyFill="1" applyBorder="1" applyAlignment="1">
      <alignment horizontal="center"/>
    </xf>
    <xf numFmtId="0" fontId="44" fillId="27" borderId="13" xfId="0" applyFont="1" applyFill="1" applyBorder="1" applyAlignment="1">
      <alignment horizontal="center" wrapText="1"/>
    </xf>
    <xf numFmtId="0" fontId="44" fillId="27" borderId="22" xfId="0" applyFont="1" applyFill="1" applyBorder="1" applyAlignment="1">
      <alignment horizontal="center" wrapText="1"/>
    </xf>
    <xf numFmtId="0" fontId="43" fillId="0" borderId="0" xfId="0" applyFont="1" applyFill="1" applyBorder="1" applyAlignment="1">
      <alignment horizontal="center" wrapText="1"/>
    </xf>
    <xf numFmtId="0" fontId="40" fillId="0" borderId="0" xfId="0" applyFont="1" applyFill="1" applyBorder="1" applyAlignment="1">
      <alignment horizontal="center" wrapText="1"/>
    </xf>
    <xf numFmtId="0" fontId="40" fillId="0" borderId="20" xfId="0" applyFont="1" applyFill="1" applyBorder="1" applyAlignment="1">
      <alignment horizontal="center" wrapText="1"/>
    </xf>
    <xf numFmtId="2" fontId="45" fillId="0" borderId="0" xfId="0" applyNumberFormat="1" applyFont="1" applyFill="1" applyBorder="1" applyAlignment="1">
      <alignment horizontal="center"/>
    </xf>
    <xf numFmtId="0" fontId="6" fillId="0" borderId="0" xfId="0" applyFont="1" applyFill="1" applyBorder="1" applyAlignment="1">
      <alignment horizontal="center"/>
    </xf>
    <xf numFmtId="0" fontId="43" fillId="0" borderId="9" xfId="0" applyFont="1" applyFill="1" applyBorder="1" applyAlignment="1">
      <alignment horizontal="center" wrapText="1"/>
    </xf>
    <xf numFmtId="0" fontId="40" fillId="0" borderId="9" xfId="0" applyFont="1" applyFill="1" applyBorder="1" applyAlignment="1">
      <alignment horizontal="center" wrapText="1"/>
    </xf>
    <xf numFmtId="0" fontId="40" fillId="0" borderId="19" xfId="0" applyFont="1" applyFill="1" applyBorder="1" applyAlignment="1">
      <alignment horizontal="center" wrapText="1"/>
    </xf>
    <xf numFmtId="0" fontId="40" fillId="0" borderId="13" xfId="0" applyFont="1" applyBorder="1" applyAlignment="1">
      <alignment horizontal="center" wrapText="1"/>
    </xf>
    <xf numFmtId="0" fontId="40" fillId="0" borderId="22" xfId="0" applyFont="1" applyBorder="1" applyAlignment="1">
      <alignment horizontal="center" wrapText="1"/>
    </xf>
    <xf numFmtId="164" fontId="40" fillId="0" borderId="9" xfId="0" applyNumberFormat="1" applyFont="1" applyFill="1" applyBorder="1" applyAlignment="1">
      <alignment horizontal="center" wrapText="1"/>
    </xf>
    <xf numFmtId="0" fontId="40" fillId="0" borderId="9" xfId="0" applyFont="1" applyFill="1" applyBorder="1" applyAlignment="1" applyProtection="1">
      <alignment horizontal="left"/>
      <protection locked="0"/>
    </xf>
    <xf numFmtId="0" fontId="40" fillId="0" borderId="19" xfId="0" applyFont="1" applyFill="1" applyBorder="1" applyAlignment="1" applyProtection="1">
      <alignment horizontal="left"/>
      <protection locked="0"/>
    </xf>
    <xf numFmtId="164" fontId="40" fillId="0" borderId="9" xfId="28" applyNumberFormat="1" applyFont="1" applyFill="1" applyBorder="1" applyAlignment="1">
      <alignment horizontal="center" wrapText="1"/>
    </xf>
    <xf numFmtId="164" fontId="40" fillId="0" borderId="19" xfId="28" applyNumberFormat="1" applyFont="1" applyFill="1" applyBorder="1" applyAlignment="1">
      <alignment horizontal="center" wrapText="1"/>
    </xf>
    <xf numFmtId="0" fontId="40" fillId="0" borderId="0" xfId="0" applyFont="1" applyAlignment="1">
      <alignment horizontal="center" wrapText="1"/>
    </xf>
    <xf numFmtId="0" fontId="40" fillId="0" borderId="20" xfId="0" applyFont="1" applyBorder="1" applyAlignment="1">
      <alignment horizontal="center" wrapText="1"/>
    </xf>
    <xf numFmtId="3" fontId="40" fillId="0" borderId="0" xfId="0" applyNumberFormat="1" applyFont="1" applyBorder="1" applyAlignment="1">
      <alignment horizontal="left" wrapText="1"/>
    </xf>
    <xf numFmtId="0" fontId="0" fillId="0" borderId="0" xfId="0" applyBorder="1" applyAlignment="1">
      <alignment wrapText="1"/>
    </xf>
    <xf numFmtId="0" fontId="40" fillId="0" borderId="9" xfId="0" applyFont="1" applyFill="1" applyBorder="1" applyAlignment="1">
      <alignment horizontal="left" wrapText="1"/>
    </xf>
    <xf numFmtId="0" fontId="40" fillId="0" borderId="19" xfId="0" applyFont="1" applyFill="1" applyBorder="1" applyAlignment="1">
      <alignment horizontal="left" wrapText="1"/>
    </xf>
    <xf numFmtId="0" fontId="40" fillId="0" borderId="0" xfId="0" applyFont="1" applyFill="1" applyBorder="1" applyAlignment="1">
      <alignment horizontal="left" wrapText="1"/>
    </xf>
    <xf numFmtId="0" fontId="40" fillId="0" borderId="20" xfId="0" applyFont="1" applyFill="1" applyBorder="1" applyAlignment="1">
      <alignment horizontal="left" wrapText="1"/>
    </xf>
    <xf numFmtId="0" fontId="43" fillId="0" borderId="20" xfId="0" applyFont="1" applyFill="1" applyBorder="1" applyAlignment="1">
      <alignment horizontal="center" wrapText="1"/>
    </xf>
    <xf numFmtId="3" fontId="40" fillId="0" borderId="0" xfId="0" quotePrefix="1" applyNumberFormat="1" applyFont="1" applyFill="1" applyBorder="1" applyAlignment="1">
      <alignment horizontal="left" wrapText="1"/>
    </xf>
    <xf numFmtId="0" fontId="0" fillId="0" borderId="0" xfId="0" applyFill="1" applyBorder="1" applyAlignment="1">
      <alignment wrapText="1"/>
    </xf>
    <xf numFmtId="0" fontId="0" fillId="0" borderId="20" xfId="0" applyFill="1" applyBorder="1" applyAlignment="1">
      <alignment wrapText="1"/>
    </xf>
    <xf numFmtId="0" fontId="39" fillId="0" borderId="0" xfId="0" applyFont="1" applyFill="1" applyBorder="1" applyAlignment="1">
      <alignment horizontal="center" wrapText="1"/>
    </xf>
    <xf numFmtId="0" fontId="14" fillId="27" borderId="0" xfId="0" applyFont="1" applyFill="1" applyBorder="1" applyAlignment="1">
      <alignment horizontal="center"/>
    </xf>
    <xf numFmtId="0" fontId="48" fillId="27" borderId="17" xfId="0" applyFont="1" applyFill="1" applyBorder="1" applyAlignment="1">
      <alignment horizontal="center"/>
    </xf>
    <xf numFmtId="0" fontId="48" fillId="27" borderId="0" xfId="0" applyFont="1" applyFill="1" applyBorder="1" applyAlignment="1">
      <alignment horizontal="center"/>
    </xf>
    <xf numFmtId="0" fontId="48" fillId="27" borderId="20" xfId="0" applyFont="1" applyFill="1" applyBorder="1" applyAlignment="1">
      <alignment horizontal="center"/>
    </xf>
    <xf numFmtId="0" fontId="47" fillId="0" borderId="0" xfId="0" applyFont="1" applyAlignment="1">
      <alignment horizontal="center"/>
    </xf>
    <xf numFmtId="0" fontId="0" fillId="0" borderId="0" xfId="0" applyAlignment="1"/>
    <xf numFmtId="0" fontId="20" fillId="0" borderId="0" xfId="44" applyFont="1" applyAlignment="1">
      <alignment horizontal="center"/>
    </xf>
    <xf numFmtId="0" fontId="20" fillId="0" borderId="0" xfId="44" applyFont="1" applyAlignment="1"/>
    <xf numFmtId="0" fontId="60" fillId="0" borderId="0" xfId="44" applyFont="1" applyAlignment="1">
      <alignment horizontal="center"/>
    </xf>
    <xf numFmtId="0" fontId="67" fillId="0" borderId="0" xfId="44" applyFont="1" applyAlignment="1"/>
    <xf numFmtId="0" fontId="17" fillId="0" borderId="9" xfId="0" applyFont="1" applyFill="1" applyBorder="1" applyAlignment="1">
      <alignment wrapText="1"/>
    </xf>
    <xf numFmtId="0" fontId="0" fillId="0" borderId="9" xfId="0" applyBorder="1" applyAlignment="1">
      <alignment wrapText="1"/>
    </xf>
    <xf numFmtId="0" fontId="52" fillId="0" borderId="17" xfId="44" applyFont="1" applyBorder="1" applyAlignment="1">
      <alignment horizontal="left" wrapText="1"/>
    </xf>
    <xf numFmtId="0" fontId="52" fillId="0" borderId="20" xfId="44" applyFont="1" applyBorder="1" applyAlignment="1">
      <alignment horizontal="left" wrapText="1"/>
    </xf>
    <xf numFmtId="0" fontId="43" fillId="0" borderId="21" xfId="0" applyFont="1" applyBorder="1" applyAlignment="1">
      <alignment horizontal="center"/>
    </xf>
    <xf numFmtId="0" fontId="43" fillId="0" borderId="13" xfId="0" applyFont="1" applyBorder="1" applyAlignment="1">
      <alignment horizontal="center"/>
    </xf>
    <xf numFmtId="0" fontId="43" fillId="0" borderId="22" xfId="0" applyFont="1" applyBorder="1" applyAlignment="1">
      <alignment horizontal="center"/>
    </xf>
  </cellXfs>
  <cellStyles count="9476">
    <cellStyle name=" 1" xfId="64"/>
    <cellStyle name=" 1 2" xfId="65"/>
    <cellStyle name="_PMG Base Monthly" xfId="66"/>
    <cellStyle name="_PMG Base Monthly 2" xfId="67"/>
    <cellStyle name="_PMG Base Monthly 2 2" xfId="68"/>
    <cellStyle name="_PMG Base Monthly 2 2 2" xfId="69"/>
    <cellStyle name="_PMG Base Monthly 2 3" xfId="70"/>
    <cellStyle name="_PMG Base Monthly 3" xfId="71"/>
    <cellStyle name="_PMG Thermal Monthly" xfId="72"/>
    <cellStyle name="_PMG Thermal Monthly 2" xfId="73"/>
    <cellStyle name="_PMG Thermal Monthly 2 2" xfId="74"/>
    <cellStyle name="_PMG Thermal Monthly 2 2 2" xfId="75"/>
    <cellStyle name="_PMG Thermal Monthly 2 3" xfId="76"/>
    <cellStyle name="_PMG Thermal Monthly 3" xfId="77"/>
    <cellStyle name="20% - Accent1" xfId="1" builtinId="30" customBuiltin="1"/>
    <cellStyle name="20% - Accent1 10" xfId="78"/>
    <cellStyle name="20% - Accent1 10 2" xfId="79"/>
    <cellStyle name="20% - Accent1 11" xfId="80"/>
    <cellStyle name="20% - Accent1 11 2" xfId="81"/>
    <cellStyle name="20% - Accent1 12" xfId="82"/>
    <cellStyle name="20% - Accent1 12 2" xfId="83"/>
    <cellStyle name="20% - Accent1 13" xfId="84"/>
    <cellStyle name="20% - Accent1 13 2" xfId="85"/>
    <cellStyle name="20% - Accent1 14" xfId="86"/>
    <cellStyle name="20% - Accent1 14 2" xfId="87"/>
    <cellStyle name="20% - Accent1 15" xfId="88"/>
    <cellStyle name="20% - Accent1 15 2" xfId="89"/>
    <cellStyle name="20% - Accent1 16" xfId="90"/>
    <cellStyle name="20% - Accent1 16 2" xfId="91"/>
    <cellStyle name="20% - Accent1 17" xfId="92"/>
    <cellStyle name="20% - Accent1 17 2" xfId="93"/>
    <cellStyle name="20% - Accent1 18" xfId="94"/>
    <cellStyle name="20% - Accent1 18 2" xfId="95"/>
    <cellStyle name="20% - Accent1 19" xfId="96"/>
    <cellStyle name="20% - Accent1 19 2" xfId="97"/>
    <cellStyle name="20% - Accent1 2" xfId="98"/>
    <cellStyle name="20% - Accent1 2 2" xfId="99"/>
    <cellStyle name="20% - Accent1 2 2 2" xfId="100"/>
    <cellStyle name="20% - Accent1 2 2 3" xfId="3896"/>
    <cellStyle name="20% - Accent1 2 3" xfId="101"/>
    <cellStyle name="20% - Accent1 2 3 2" xfId="102"/>
    <cellStyle name="20% - Accent1 2 3 3" xfId="3897"/>
    <cellStyle name="20% - Accent1 20" xfId="103"/>
    <cellStyle name="20% - Accent1 21" xfId="104"/>
    <cellStyle name="20% - Accent1 22" xfId="105"/>
    <cellStyle name="20% - Accent1 23" xfId="106"/>
    <cellStyle name="20% - Accent1 24" xfId="107"/>
    <cellStyle name="20% - Accent1 25" xfId="108"/>
    <cellStyle name="20% - Accent1 26" xfId="109"/>
    <cellStyle name="20% - Accent1 27" xfId="110"/>
    <cellStyle name="20% - Accent1 28" xfId="111"/>
    <cellStyle name="20% - Accent1 29" xfId="112"/>
    <cellStyle name="20% - Accent1 3" xfId="113"/>
    <cellStyle name="20% - Accent1 3 2" xfId="114"/>
    <cellStyle name="20% - Accent1 3 3" xfId="115"/>
    <cellStyle name="20% - Accent1 3 4" xfId="3898"/>
    <cellStyle name="20% - Accent1 30" xfId="116"/>
    <cellStyle name="20% - Accent1 31" xfId="117"/>
    <cellStyle name="20% - Accent1 32" xfId="118"/>
    <cellStyle name="20% - Accent1 33" xfId="119"/>
    <cellStyle name="20% - Accent1 34" xfId="120"/>
    <cellStyle name="20% - Accent1 35" xfId="121"/>
    <cellStyle name="20% - Accent1 36" xfId="122"/>
    <cellStyle name="20% - Accent1 37" xfId="123"/>
    <cellStyle name="20% - Accent1 37 2" xfId="124"/>
    <cellStyle name="20% - Accent1 37 3" xfId="3899"/>
    <cellStyle name="20% - Accent1 38" xfId="125"/>
    <cellStyle name="20% - Accent1 39" xfId="9395"/>
    <cellStyle name="20% - Accent1 4" xfId="126"/>
    <cellStyle name="20% - Accent1 4 2" xfId="127"/>
    <cellStyle name="20% - Accent1 4 3" xfId="128"/>
    <cellStyle name="20% - Accent1 4 4" xfId="3900"/>
    <cellStyle name="20% - Accent1 5" xfId="129"/>
    <cellStyle name="20% - Accent1 5 2" xfId="130"/>
    <cellStyle name="20% - Accent1 6" xfId="131"/>
    <cellStyle name="20% - Accent1 6 2" xfId="132"/>
    <cellStyle name="20% - Accent1 7" xfId="133"/>
    <cellStyle name="20% - Accent1 7 2" xfId="134"/>
    <cellStyle name="20% - Accent1 8" xfId="135"/>
    <cellStyle name="20% - Accent1 8 2" xfId="136"/>
    <cellStyle name="20% - Accent1 9" xfId="137"/>
    <cellStyle name="20% - Accent1 9 2" xfId="138"/>
    <cellStyle name="20% - Accent2" xfId="2" builtinId="34" customBuiltin="1"/>
    <cellStyle name="20% - Accent2 10" xfId="139"/>
    <cellStyle name="20% - Accent2 10 2" xfId="140"/>
    <cellStyle name="20% - Accent2 11" xfId="141"/>
    <cellStyle name="20% - Accent2 11 2" xfId="142"/>
    <cellStyle name="20% - Accent2 12" xfId="143"/>
    <cellStyle name="20% - Accent2 12 2" xfId="144"/>
    <cellStyle name="20% - Accent2 13" xfId="145"/>
    <cellStyle name="20% - Accent2 13 2" xfId="146"/>
    <cellStyle name="20% - Accent2 14" xfId="147"/>
    <cellStyle name="20% - Accent2 14 2" xfId="148"/>
    <cellStyle name="20% - Accent2 15" xfId="149"/>
    <cellStyle name="20% - Accent2 15 2" xfId="150"/>
    <cellStyle name="20% - Accent2 16" xfId="151"/>
    <cellStyle name="20% - Accent2 16 2" xfId="152"/>
    <cellStyle name="20% - Accent2 17" xfId="153"/>
    <cellStyle name="20% - Accent2 17 2" xfId="154"/>
    <cellStyle name="20% - Accent2 18" xfId="155"/>
    <cellStyle name="20% - Accent2 18 2" xfId="156"/>
    <cellStyle name="20% - Accent2 19" xfId="157"/>
    <cellStyle name="20% - Accent2 19 2" xfId="158"/>
    <cellStyle name="20% - Accent2 2" xfId="159"/>
    <cellStyle name="20% - Accent2 2 2" xfId="160"/>
    <cellStyle name="20% - Accent2 2 2 2" xfId="161"/>
    <cellStyle name="20% - Accent2 2 2 3" xfId="3901"/>
    <cellStyle name="20% - Accent2 2 3" xfId="162"/>
    <cellStyle name="20% - Accent2 2 3 2" xfId="163"/>
    <cellStyle name="20% - Accent2 2 3 3" xfId="3902"/>
    <cellStyle name="20% - Accent2 20" xfId="164"/>
    <cellStyle name="20% - Accent2 21" xfId="165"/>
    <cellStyle name="20% - Accent2 22" xfId="166"/>
    <cellStyle name="20% - Accent2 23" xfId="167"/>
    <cellStyle name="20% - Accent2 24" xfId="168"/>
    <cellStyle name="20% - Accent2 25" xfId="169"/>
    <cellStyle name="20% - Accent2 26" xfId="170"/>
    <cellStyle name="20% - Accent2 27" xfId="171"/>
    <cellStyle name="20% - Accent2 28" xfId="172"/>
    <cellStyle name="20% - Accent2 29" xfId="173"/>
    <cellStyle name="20% - Accent2 3" xfId="174"/>
    <cellStyle name="20% - Accent2 3 2" xfId="175"/>
    <cellStyle name="20% - Accent2 3 3" xfId="176"/>
    <cellStyle name="20% - Accent2 3 4" xfId="3903"/>
    <cellStyle name="20% - Accent2 30" xfId="177"/>
    <cellStyle name="20% - Accent2 31" xfId="178"/>
    <cellStyle name="20% - Accent2 32" xfId="179"/>
    <cellStyle name="20% - Accent2 33" xfId="180"/>
    <cellStyle name="20% - Accent2 34" xfId="181"/>
    <cellStyle name="20% - Accent2 35" xfId="182"/>
    <cellStyle name="20% - Accent2 36" xfId="183"/>
    <cellStyle name="20% - Accent2 37" xfId="184"/>
    <cellStyle name="20% - Accent2 37 2" xfId="185"/>
    <cellStyle name="20% - Accent2 37 3" xfId="3904"/>
    <cellStyle name="20% - Accent2 38" xfId="186"/>
    <cellStyle name="20% - Accent2 39" xfId="9396"/>
    <cellStyle name="20% - Accent2 4" xfId="187"/>
    <cellStyle name="20% - Accent2 4 2" xfId="188"/>
    <cellStyle name="20% - Accent2 4 3" xfId="189"/>
    <cellStyle name="20% - Accent2 4 4" xfId="3905"/>
    <cellStyle name="20% - Accent2 5" xfId="190"/>
    <cellStyle name="20% - Accent2 5 2" xfId="191"/>
    <cellStyle name="20% - Accent2 6" xfId="192"/>
    <cellStyle name="20% - Accent2 6 2" xfId="193"/>
    <cellStyle name="20% - Accent2 7" xfId="194"/>
    <cellStyle name="20% - Accent2 7 2" xfId="195"/>
    <cellStyle name="20% - Accent2 8" xfId="196"/>
    <cellStyle name="20% - Accent2 8 2" xfId="197"/>
    <cellStyle name="20% - Accent2 9" xfId="198"/>
    <cellStyle name="20% - Accent2 9 2" xfId="199"/>
    <cellStyle name="20% - Accent3" xfId="3" builtinId="38" customBuiltin="1"/>
    <cellStyle name="20% - Accent3 10" xfId="200"/>
    <cellStyle name="20% - Accent3 10 2" xfId="201"/>
    <cellStyle name="20% - Accent3 11" xfId="202"/>
    <cellStyle name="20% - Accent3 11 2" xfId="203"/>
    <cellStyle name="20% - Accent3 12" xfId="204"/>
    <cellStyle name="20% - Accent3 12 2" xfId="205"/>
    <cellStyle name="20% - Accent3 13" xfId="206"/>
    <cellStyle name="20% - Accent3 13 2" xfId="207"/>
    <cellStyle name="20% - Accent3 14" xfId="208"/>
    <cellStyle name="20% - Accent3 14 2" xfId="209"/>
    <cellStyle name="20% - Accent3 15" xfId="210"/>
    <cellStyle name="20% - Accent3 15 2" xfId="211"/>
    <cellStyle name="20% - Accent3 16" xfId="212"/>
    <cellStyle name="20% - Accent3 16 2" xfId="213"/>
    <cellStyle name="20% - Accent3 17" xfId="214"/>
    <cellStyle name="20% - Accent3 17 2" xfId="215"/>
    <cellStyle name="20% - Accent3 18" xfId="216"/>
    <cellStyle name="20% - Accent3 18 2" xfId="217"/>
    <cellStyle name="20% - Accent3 19" xfId="218"/>
    <cellStyle name="20% - Accent3 19 2" xfId="219"/>
    <cellStyle name="20% - Accent3 2" xfId="220"/>
    <cellStyle name="20% - Accent3 2 2" xfId="221"/>
    <cellStyle name="20% - Accent3 2 2 2" xfId="222"/>
    <cellStyle name="20% - Accent3 2 2 3" xfId="3906"/>
    <cellStyle name="20% - Accent3 2 3" xfId="223"/>
    <cellStyle name="20% - Accent3 2 3 2" xfId="224"/>
    <cellStyle name="20% - Accent3 2 3 3" xfId="3907"/>
    <cellStyle name="20% - Accent3 20" xfId="225"/>
    <cellStyle name="20% - Accent3 21" xfId="226"/>
    <cellStyle name="20% - Accent3 22" xfId="227"/>
    <cellStyle name="20% - Accent3 23" xfId="228"/>
    <cellStyle name="20% - Accent3 24" xfId="229"/>
    <cellStyle name="20% - Accent3 25" xfId="230"/>
    <cellStyle name="20% - Accent3 26" xfId="231"/>
    <cellStyle name="20% - Accent3 27" xfId="232"/>
    <cellStyle name="20% - Accent3 28" xfId="233"/>
    <cellStyle name="20% - Accent3 29" xfId="234"/>
    <cellStyle name="20% - Accent3 3" xfId="235"/>
    <cellStyle name="20% - Accent3 3 2" xfId="236"/>
    <cellStyle name="20% - Accent3 3 3" xfId="237"/>
    <cellStyle name="20% - Accent3 3 4" xfId="3908"/>
    <cellStyle name="20% - Accent3 30" xfId="238"/>
    <cellStyle name="20% - Accent3 31" xfId="239"/>
    <cellStyle name="20% - Accent3 32" xfId="240"/>
    <cellStyle name="20% - Accent3 33" xfId="241"/>
    <cellStyle name="20% - Accent3 34" xfId="242"/>
    <cellStyle name="20% - Accent3 35" xfId="243"/>
    <cellStyle name="20% - Accent3 36" xfId="244"/>
    <cellStyle name="20% - Accent3 37" xfId="245"/>
    <cellStyle name="20% - Accent3 37 2" xfId="246"/>
    <cellStyle name="20% - Accent3 37 3" xfId="3909"/>
    <cellStyle name="20% - Accent3 38" xfId="247"/>
    <cellStyle name="20% - Accent3 39" xfId="9397"/>
    <cellStyle name="20% - Accent3 4" xfId="248"/>
    <cellStyle name="20% - Accent3 4 2" xfId="249"/>
    <cellStyle name="20% - Accent3 4 3" xfId="250"/>
    <cellStyle name="20% - Accent3 4 4" xfId="3910"/>
    <cellStyle name="20% - Accent3 5" xfId="251"/>
    <cellStyle name="20% - Accent3 5 2" xfId="252"/>
    <cellStyle name="20% - Accent3 6" xfId="253"/>
    <cellStyle name="20% - Accent3 6 2" xfId="254"/>
    <cellStyle name="20% - Accent3 7" xfId="255"/>
    <cellStyle name="20% - Accent3 7 2" xfId="256"/>
    <cellStyle name="20% - Accent3 8" xfId="257"/>
    <cellStyle name="20% - Accent3 8 2" xfId="258"/>
    <cellStyle name="20% - Accent3 9" xfId="259"/>
    <cellStyle name="20% - Accent3 9 2" xfId="260"/>
    <cellStyle name="20% - Accent4" xfId="4" builtinId="42" customBuiltin="1"/>
    <cellStyle name="20% - Accent4 10" xfId="261"/>
    <cellStyle name="20% - Accent4 10 2" xfId="262"/>
    <cellStyle name="20% - Accent4 11" xfId="263"/>
    <cellStyle name="20% - Accent4 11 2" xfId="264"/>
    <cellStyle name="20% - Accent4 12" xfId="265"/>
    <cellStyle name="20% - Accent4 12 2" xfId="266"/>
    <cellStyle name="20% - Accent4 13" xfId="267"/>
    <cellStyle name="20% - Accent4 13 2" xfId="268"/>
    <cellStyle name="20% - Accent4 14" xfId="269"/>
    <cellStyle name="20% - Accent4 14 2" xfId="270"/>
    <cellStyle name="20% - Accent4 15" xfId="271"/>
    <cellStyle name="20% - Accent4 15 2" xfId="272"/>
    <cellStyle name="20% - Accent4 16" xfId="273"/>
    <cellStyle name="20% - Accent4 16 2" xfId="274"/>
    <cellStyle name="20% - Accent4 17" xfId="275"/>
    <cellStyle name="20% - Accent4 17 2" xfId="276"/>
    <cellStyle name="20% - Accent4 18" xfId="277"/>
    <cellStyle name="20% - Accent4 18 2" xfId="278"/>
    <cellStyle name="20% - Accent4 19" xfId="279"/>
    <cellStyle name="20% - Accent4 19 2" xfId="280"/>
    <cellStyle name="20% - Accent4 2" xfId="281"/>
    <cellStyle name="20% - Accent4 2 2" xfId="282"/>
    <cellStyle name="20% - Accent4 2 2 2" xfId="283"/>
    <cellStyle name="20% - Accent4 2 2 3" xfId="3911"/>
    <cellStyle name="20% - Accent4 2 3" xfId="284"/>
    <cellStyle name="20% - Accent4 2 3 2" xfId="285"/>
    <cellStyle name="20% - Accent4 2 3 3" xfId="3912"/>
    <cellStyle name="20% - Accent4 20" xfId="286"/>
    <cellStyle name="20% - Accent4 21" xfId="287"/>
    <cellStyle name="20% - Accent4 22" xfId="288"/>
    <cellStyle name="20% - Accent4 23" xfId="289"/>
    <cellStyle name="20% - Accent4 24" xfId="290"/>
    <cellStyle name="20% - Accent4 25" xfId="291"/>
    <cellStyle name="20% - Accent4 26" xfId="292"/>
    <cellStyle name="20% - Accent4 27" xfId="293"/>
    <cellStyle name="20% - Accent4 28" xfId="294"/>
    <cellStyle name="20% - Accent4 29" xfId="295"/>
    <cellStyle name="20% - Accent4 3" xfId="296"/>
    <cellStyle name="20% - Accent4 3 2" xfId="297"/>
    <cellStyle name="20% - Accent4 3 3" xfId="298"/>
    <cellStyle name="20% - Accent4 3 4" xfId="3913"/>
    <cellStyle name="20% - Accent4 30" xfId="299"/>
    <cellStyle name="20% - Accent4 31" xfId="300"/>
    <cellStyle name="20% - Accent4 32" xfId="301"/>
    <cellStyle name="20% - Accent4 33" xfId="302"/>
    <cellStyle name="20% - Accent4 34" xfId="303"/>
    <cellStyle name="20% - Accent4 35" xfId="304"/>
    <cellStyle name="20% - Accent4 36" xfId="305"/>
    <cellStyle name="20% - Accent4 37" xfId="306"/>
    <cellStyle name="20% - Accent4 37 2" xfId="307"/>
    <cellStyle name="20% - Accent4 37 3" xfId="3914"/>
    <cellStyle name="20% - Accent4 38" xfId="308"/>
    <cellStyle name="20% - Accent4 39" xfId="9398"/>
    <cellStyle name="20% - Accent4 4" xfId="309"/>
    <cellStyle name="20% - Accent4 4 2" xfId="310"/>
    <cellStyle name="20% - Accent4 4 3" xfId="311"/>
    <cellStyle name="20% - Accent4 4 4" xfId="3915"/>
    <cellStyle name="20% - Accent4 5" xfId="312"/>
    <cellStyle name="20% - Accent4 5 2" xfId="313"/>
    <cellStyle name="20% - Accent4 6" xfId="314"/>
    <cellStyle name="20% - Accent4 6 2" xfId="315"/>
    <cellStyle name="20% - Accent4 7" xfId="316"/>
    <cellStyle name="20% - Accent4 7 2" xfId="317"/>
    <cellStyle name="20% - Accent4 8" xfId="318"/>
    <cellStyle name="20% - Accent4 8 2" xfId="319"/>
    <cellStyle name="20% - Accent4 9" xfId="320"/>
    <cellStyle name="20% - Accent4 9 2" xfId="321"/>
    <cellStyle name="20% - Accent5" xfId="5" builtinId="46" customBuiltin="1"/>
    <cellStyle name="20% - Accent5 10" xfId="322"/>
    <cellStyle name="20% - Accent5 10 2" xfId="323"/>
    <cellStyle name="20% - Accent5 11" xfId="324"/>
    <cellStyle name="20% - Accent5 11 2" xfId="325"/>
    <cellStyle name="20% - Accent5 12" xfId="326"/>
    <cellStyle name="20% - Accent5 12 2" xfId="327"/>
    <cellStyle name="20% - Accent5 13" xfId="328"/>
    <cellStyle name="20% - Accent5 13 2" xfId="329"/>
    <cellStyle name="20% - Accent5 14" xfId="330"/>
    <cellStyle name="20% - Accent5 14 2" xfId="331"/>
    <cellStyle name="20% - Accent5 15" xfId="332"/>
    <cellStyle name="20% - Accent5 15 2" xfId="333"/>
    <cellStyle name="20% - Accent5 16" xfId="334"/>
    <cellStyle name="20% - Accent5 16 2" xfId="335"/>
    <cellStyle name="20% - Accent5 17" xfId="336"/>
    <cellStyle name="20% - Accent5 17 2" xfId="337"/>
    <cellStyle name="20% - Accent5 18" xfId="338"/>
    <cellStyle name="20% - Accent5 18 2" xfId="339"/>
    <cellStyle name="20% - Accent5 19" xfId="340"/>
    <cellStyle name="20% - Accent5 19 2" xfId="341"/>
    <cellStyle name="20% - Accent5 2" xfId="342"/>
    <cellStyle name="20% - Accent5 2 2" xfId="343"/>
    <cellStyle name="20% - Accent5 2 2 2" xfId="344"/>
    <cellStyle name="20% - Accent5 2 2 3" xfId="3916"/>
    <cellStyle name="20% - Accent5 2 3" xfId="345"/>
    <cellStyle name="20% - Accent5 2 3 2" xfId="346"/>
    <cellStyle name="20% - Accent5 2 3 3" xfId="3917"/>
    <cellStyle name="20% - Accent5 20" xfId="347"/>
    <cellStyle name="20% - Accent5 21" xfId="348"/>
    <cellStyle name="20% - Accent5 22" xfId="349"/>
    <cellStyle name="20% - Accent5 23" xfId="350"/>
    <cellStyle name="20% - Accent5 24" xfId="351"/>
    <cellStyle name="20% - Accent5 25" xfId="352"/>
    <cellStyle name="20% - Accent5 26" xfId="353"/>
    <cellStyle name="20% - Accent5 27" xfId="354"/>
    <cellStyle name="20% - Accent5 28" xfId="355"/>
    <cellStyle name="20% - Accent5 29" xfId="356"/>
    <cellStyle name="20% - Accent5 3" xfId="357"/>
    <cellStyle name="20% - Accent5 3 2" xfId="358"/>
    <cellStyle name="20% - Accent5 3 3" xfId="359"/>
    <cellStyle name="20% - Accent5 3 4" xfId="3918"/>
    <cellStyle name="20% - Accent5 30" xfId="360"/>
    <cellStyle name="20% - Accent5 31" xfId="361"/>
    <cellStyle name="20% - Accent5 32" xfId="362"/>
    <cellStyle name="20% - Accent5 33" xfId="363"/>
    <cellStyle name="20% - Accent5 34" xfId="364"/>
    <cellStyle name="20% - Accent5 35" xfId="365"/>
    <cellStyle name="20% - Accent5 36" xfId="366"/>
    <cellStyle name="20% - Accent5 37" xfId="367"/>
    <cellStyle name="20% - Accent5 37 2" xfId="368"/>
    <cellStyle name="20% - Accent5 37 3" xfId="3919"/>
    <cellStyle name="20% - Accent5 38" xfId="369"/>
    <cellStyle name="20% - Accent5 39" xfId="9399"/>
    <cellStyle name="20% - Accent5 4" xfId="370"/>
    <cellStyle name="20% - Accent5 4 2" xfId="371"/>
    <cellStyle name="20% - Accent5 4 3" xfId="372"/>
    <cellStyle name="20% - Accent5 4 4" xfId="3920"/>
    <cellStyle name="20% - Accent5 5" xfId="373"/>
    <cellStyle name="20% - Accent5 5 2" xfId="374"/>
    <cellStyle name="20% - Accent5 6" xfId="375"/>
    <cellStyle name="20% - Accent5 6 2" xfId="376"/>
    <cellStyle name="20% - Accent5 7" xfId="377"/>
    <cellStyle name="20% - Accent5 7 2" xfId="378"/>
    <cellStyle name="20% - Accent5 8" xfId="379"/>
    <cellStyle name="20% - Accent5 8 2" xfId="380"/>
    <cellStyle name="20% - Accent5 9" xfId="381"/>
    <cellStyle name="20% - Accent5 9 2" xfId="382"/>
    <cellStyle name="20% - Accent6" xfId="6" builtinId="50" customBuiltin="1"/>
    <cellStyle name="20% - Accent6 10" xfId="383"/>
    <cellStyle name="20% - Accent6 10 2" xfId="384"/>
    <cellStyle name="20% - Accent6 11" xfId="385"/>
    <cellStyle name="20% - Accent6 11 2" xfId="386"/>
    <cellStyle name="20% - Accent6 12" xfId="387"/>
    <cellStyle name="20% - Accent6 12 2" xfId="388"/>
    <cellStyle name="20% - Accent6 13" xfId="389"/>
    <cellStyle name="20% - Accent6 13 2" xfId="390"/>
    <cellStyle name="20% - Accent6 14" xfId="391"/>
    <cellStyle name="20% - Accent6 14 2" xfId="392"/>
    <cellStyle name="20% - Accent6 15" xfId="393"/>
    <cellStyle name="20% - Accent6 15 2" xfId="394"/>
    <cellStyle name="20% - Accent6 16" xfId="395"/>
    <cellStyle name="20% - Accent6 16 2" xfId="396"/>
    <cellStyle name="20% - Accent6 17" xfId="397"/>
    <cellStyle name="20% - Accent6 17 2" xfId="398"/>
    <cellStyle name="20% - Accent6 18" xfId="399"/>
    <cellStyle name="20% - Accent6 18 2" xfId="400"/>
    <cellStyle name="20% - Accent6 19" xfId="401"/>
    <cellStyle name="20% - Accent6 19 2" xfId="402"/>
    <cellStyle name="20% - Accent6 2" xfId="403"/>
    <cellStyle name="20% - Accent6 2 2" xfId="404"/>
    <cellStyle name="20% - Accent6 2 2 2" xfId="405"/>
    <cellStyle name="20% - Accent6 2 2 3" xfId="3921"/>
    <cellStyle name="20% - Accent6 2 3" xfId="406"/>
    <cellStyle name="20% - Accent6 2 3 2" xfId="407"/>
    <cellStyle name="20% - Accent6 2 3 3" xfId="3922"/>
    <cellStyle name="20% - Accent6 20" xfId="408"/>
    <cellStyle name="20% - Accent6 21" xfId="409"/>
    <cellStyle name="20% - Accent6 22" xfId="410"/>
    <cellStyle name="20% - Accent6 23" xfId="411"/>
    <cellStyle name="20% - Accent6 24" xfId="412"/>
    <cellStyle name="20% - Accent6 25" xfId="413"/>
    <cellStyle name="20% - Accent6 26" xfId="414"/>
    <cellStyle name="20% - Accent6 27" xfId="415"/>
    <cellStyle name="20% - Accent6 28" xfId="416"/>
    <cellStyle name="20% - Accent6 29" xfId="417"/>
    <cellStyle name="20% - Accent6 3" xfId="418"/>
    <cellStyle name="20% - Accent6 3 2" xfId="419"/>
    <cellStyle name="20% - Accent6 3 3" xfId="420"/>
    <cellStyle name="20% - Accent6 3 4" xfId="3923"/>
    <cellStyle name="20% - Accent6 30" xfId="421"/>
    <cellStyle name="20% - Accent6 31" xfId="422"/>
    <cellStyle name="20% - Accent6 32" xfId="423"/>
    <cellStyle name="20% - Accent6 33" xfId="424"/>
    <cellStyle name="20% - Accent6 34" xfId="425"/>
    <cellStyle name="20% - Accent6 35" xfId="426"/>
    <cellStyle name="20% - Accent6 36" xfId="427"/>
    <cellStyle name="20% - Accent6 37" xfId="428"/>
    <cellStyle name="20% - Accent6 37 2" xfId="429"/>
    <cellStyle name="20% - Accent6 37 3" xfId="3924"/>
    <cellStyle name="20% - Accent6 38" xfId="430"/>
    <cellStyle name="20% - Accent6 39" xfId="9400"/>
    <cellStyle name="20% - Accent6 4" xfId="431"/>
    <cellStyle name="20% - Accent6 4 2" xfId="432"/>
    <cellStyle name="20% - Accent6 4 3" xfId="433"/>
    <cellStyle name="20% - Accent6 4 4" xfId="3925"/>
    <cellStyle name="20% - Accent6 5" xfId="434"/>
    <cellStyle name="20% - Accent6 5 2" xfId="435"/>
    <cellStyle name="20% - Accent6 6" xfId="436"/>
    <cellStyle name="20% - Accent6 6 2" xfId="437"/>
    <cellStyle name="20% - Accent6 7" xfId="438"/>
    <cellStyle name="20% - Accent6 7 2" xfId="439"/>
    <cellStyle name="20% - Accent6 8" xfId="440"/>
    <cellStyle name="20% - Accent6 8 2" xfId="441"/>
    <cellStyle name="20% - Accent6 9" xfId="442"/>
    <cellStyle name="20% - Accent6 9 2" xfId="443"/>
    <cellStyle name="40% - Accent1" xfId="7" builtinId="31" customBuiltin="1"/>
    <cellStyle name="40% - Accent1 10" xfId="444"/>
    <cellStyle name="40% - Accent1 10 2" xfId="445"/>
    <cellStyle name="40% - Accent1 11" xfId="446"/>
    <cellStyle name="40% - Accent1 11 2" xfId="447"/>
    <cellStyle name="40% - Accent1 12" xfId="448"/>
    <cellStyle name="40% - Accent1 12 2" xfId="449"/>
    <cellStyle name="40% - Accent1 13" xfId="450"/>
    <cellStyle name="40% - Accent1 13 2" xfId="451"/>
    <cellStyle name="40% - Accent1 14" xfId="452"/>
    <cellStyle name="40% - Accent1 14 2" xfId="453"/>
    <cellStyle name="40% - Accent1 15" xfId="454"/>
    <cellStyle name="40% - Accent1 15 2" xfId="455"/>
    <cellStyle name="40% - Accent1 16" xfId="456"/>
    <cellStyle name="40% - Accent1 16 2" xfId="457"/>
    <cellStyle name="40% - Accent1 17" xfId="458"/>
    <cellStyle name="40% - Accent1 17 2" xfId="459"/>
    <cellStyle name="40% - Accent1 18" xfId="460"/>
    <cellStyle name="40% - Accent1 18 2" xfId="461"/>
    <cellStyle name="40% - Accent1 19" xfId="462"/>
    <cellStyle name="40% - Accent1 19 2" xfId="463"/>
    <cellStyle name="40% - Accent1 2" xfId="464"/>
    <cellStyle name="40% - Accent1 2 2" xfId="465"/>
    <cellStyle name="40% - Accent1 2 2 2" xfId="466"/>
    <cellStyle name="40% - Accent1 2 2 3" xfId="3926"/>
    <cellStyle name="40% - Accent1 2 3" xfId="467"/>
    <cellStyle name="40% - Accent1 2 3 2" xfId="468"/>
    <cellStyle name="40% - Accent1 2 3 3" xfId="3927"/>
    <cellStyle name="40% - Accent1 20" xfId="469"/>
    <cellStyle name="40% - Accent1 21" xfId="470"/>
    <cellStyle name="40% - Accent1 22" xfId="471"/>
    <cellStyle name="40% - Accent1 23" xfId="472"/>
    <cellStyle name="40% - Accent1 24" xfId="473"/>
    <cellStyle name="40% - Accent1 25" xfId="474"/>
    <cellStyle name="40% - Accent1 26" xfId="475"/>
    <cellStyle name="40% - Accent1 27" xfId="476"/>
    <cellStyle name="40% - Accent1 28" xfId="477"/>
    <cellStyle name="40% - Accent1 29" xfId="478"/>
    <cellStyle name="40% - Accent1 3" xfId="479"/>
    <cellStyle name="40% - Accent1 3 2" xfId="480"/>
    <cellStyle name="40% - Accent1 3 3" xfId="481"/>
    <cellStyle name="40% - Accent1 3 4" xfId="3928"/>
    <cellStyle name="40% - Accent1 30" xfId="482"/>
    <cellStyle name="40% - Accent1 31" xfId="483"/>
    <cellStyle name="40% - Accent1 32" xfId="484"/>
    <cellStyle name="40% - Accent1 33" xfId="485"/>
    <cellStyle name="40% - Accent1 34" xfId="486"/>
    <cellStyle name="40% - Accent1 35" xfId="487"/>
    <cellStyle name="40% - Accent1 36" xfId="488"/>
    <cellStyle name="40% - Accent1 37" xfId="489"/>
    <cellStyle name="40% - Accent1 37 2" xfId="490"/>
    <cellStyle name="40% - Accent1 37 3" xfId="3929"/>
    <cellStyle name="40% - Accent1 38" xfId="491"/>
    <cellStyle name="40% - Accent1 39" xfId="9401"/>
    <cellStyle name="40% - Accent1 4" xfId="492"/>
    <cellStyle name="40% - Accent1 4 2" xfId="493"/>
    <cellStyle name="40% - Accent1 4 3" xfId="494"/>
    <cellStyle name="40% - Accent1 4 4" xfId="3930"/>
    <cellStyle name="40% - Accent1 5" xfId="495"/>
    <cellStyle name="40% - Accent1 5 2" xfId="496"/>
    <cellStyle name="40% - Accent1 6" xfId="497"/>
    <cellStyle name="40% - Accent1 6 2" xfId="498"/>
    <cellStyle name="40% - Accent1 7" xfId="499"/>
    <cellStyle name="40% - Accent1 7 2" xfId="500"/>
    <cellStyle name="40% - Accent1 8" xfId="501"/>
    <cellStyle name="40% - Accent1 8 2" xfId="502"/>
    <cellStyle name="40% - Accent1 9" xfId="503"/>
    <cellStyle name="40% - Accent1 9 2" xfId="504"/>
    <cellStyle name="40% - Accent2" xfId="8" builtinId="35" customBuiltin="1"/>
    <cellStyle name="40% - Accent2 10" xfId="505"/>
    <cellStyle name="40% - Accent2 10 2" xfId="506"/>
    <cellStyle name="40% - Accent2 11" xfId="507"/>
    <cellStyle name="40% - Accent2 11 2" xfId="508"/>
    <cellStyle name="40% - Accent2 12" xfId="509"/>
    <cellStyle name="40% - Accent2 12 2" xfId="510"/>
    <cellStyle name="40% - Accent2 13" xfId="511"/>
    <cellStyle name="40% - Accent2 13 2" xfId="512"/>
    <cellStyle name="40% - Accent2 14" xfId="513"/>
    <cellStyle name="40% - Accent2 14 2" xfId="514"/>
    <cellStyle name="40% - Accent2 15" xfId="515"/>
    <cellStyle name="40% - Accent2 15 2" xfId="516"/>
    <cellStyle name="40% - Accent2 16" xfId="517"/>
    <cellStyle name="40% - Accent2 16 2" xfId="518"/>
    <cellStyle name="40% - Accent2 17" xfId="519"/>
    <cellStyle name="40% - Accent2 17 2" xfId="520"/>
    <cellStyle name="40% - Accent2 18" xfId="521"/>
    <cellStyle name="40% - Accent2 18 2" xfId="522"/>
    <cellStyle name="40% - Accent2 19" xfId="523"/>
    <cellStyle name="40% - Accent2 19 2" xfId="524"/>
    <cellStyle name="40% - Accent2 2" xfId="525"/>
    <cellStyle name="40% - Accent2 2 2" xfId="526"/>
    <cellStyle name="40% - Accent2 2 2 2" xfId="527"/>
    <cellStyle name="40% - Accent2 2 2 3" xfId="3931"/>
    <cellStyle name="40% - Accent2 2 3" xfId="528"/>
    <cellStyle name="40% - Accent2 2 3 2" xfId="529"/>
    <cellStyle name="40% - Accent2 2 3 3" xfId="3932"/>
    <cellStyle name="40% - Accent2 20" xfId="530"/>
    <cellStyle name="40% - Accent2 21" xfId="531"/>
    <cellStyle name="40% - Accent2 22" xfId="532"/>
    <cellStyle name="40% - Accent2 23" xfId="533"/>
    <cellStyle name="40% - Accent2 24" xfId="534"/>
    <cellStyle name="40% - Accent2 25" xfId="535"/>
    <cellStyle name="40% - Accent2 26" xfId="536"/>
    <cellStyle name="40% - Accent2 27" xfId="537"/>
    <cellStyle name="40% - Accent2 28" xfId="538"/>
    <cellStyle name="40% - Accent2 29" xfId="539"/>
    <cellStyle name="40% - Accent2 3" xfId="540"/>
    <cellStyle name="40% - Accent2 3 2" xfId="541"/>
    <cellStyle name="40% - Accent2 3 3" xfId="542"/>
    <cellStyle name="40% - Accent2 3 4" xfId="3933"/>
    <cellStyle name="40% - Accent2 30" xfId="543"/>
    <cellStyle name="40% - Accent2 31" xfId="544"/>
    <cellStyle name="40% - Accent2 32" xfId="545"/>
    <cellStyle name="40% - Accent2 33" xfId="546"/>
    <cellStyle name="40% - Accent2 34" xfId="547"/>
    <cellStyle name="40% - Accent2 35" xfId="548"/>
    <cellStyle name="40% - Accent2 36" xfId="549"/>
    <cellStyle name="40% - Accent2 37" xfId="550"/>
    <cellStyle name="40% - Accent2 37 2" xfId="551"/>
    <cellStyle name="40% - Accent2 37 3" xfId="3934"/>
    <cellStyle name="40% - Accent2 38" xfId="552"/>
    <cellStyle name="40% - Accent2 39" xfId="9402"/>
    <cellStyle name="40% - Accent2 4" xfId="553"/>
    <cellStyle name="40% - Accent2 4 2" xfId="554"/>
    <cellStyle name="40% - Accent2 4 3" xfId="555"/>
    <cellStyle name="40% - Accent2 4 4" xfId="3935"/>
    <cellStyle name="40% - Accent2 5" xfId="556"/>
    <cellStyle name="40% - Accent2 5 2" xfId="557"/>
    <cellStyle name="40% - Accent2 6" xfId="558"/>
    <cellStyle name="40% - Accent2 6 2" xfId="559"/>
    <cellStyle name="40% - Accent2 7" xfId="560"/>
    <cellStyle name="40% - Accent2 7 2" xfId="561"/>
    <cellStyle name="40% - Accent2 8" xfId="562"/>
    <cellStyle name="40% - Accent2 8 2" xfId="563"/>
    <cellStyle name="40% - Accent2 9" xfId="564"/>
    <cellStyle name="40% - Accent2 9 2" xfId="565"/>
    <cellStyle name="40% - Accent3" xfId="9" builtinId="39" customBuiltin="1"/>
    <cellStyle name="40% - Accent3 10" xfId="566"/>
    <cellStyle name="40% - Accent3 10 2" xfId="567"/>
    <cellStyle name="40% - Accent3 11" xfId="568"/>
    <cellStyle name="40% - Accent3 11 2" xfId="569"/>
    <cellStyle name="40% - Accent3 12" xfId="570"/>
    <cellStyle name="40% - Accent3 12 2" xfId="571"/>
    <cellStyle name="40% - Accent3 13" xfId="572"/>
    <cellStyle name="40% - Accent3 13 2" xfId="573"/>
    <cellStyle name="40% - Accent3 14" xfId="574"/>
    <cellStyle name="40% - Accent3 14 2" xfId="575"/>
    <cellStyle name="40% - Accent3 15" xfId="576"/>
    <cellStyle name="40% - Accent3 15 2" xfId="577"/>
    <cellStyle name="40% - Accent3 16" xfId="578"/>
    <cellStyle name="40% - Accent3 16 2" xfId="579"/>
    <cellStyle name="40% - Accent3 17" xfId="580"/>
    <cellStyle name="40% - Accent3 17 2" xfId="581"/>
    <cellStyle name="40% - Accent3 18" xfId="582"/>
    <cellStyle name="40% - Accent3 18 2" xfId="583"/>
    <cellStyle name="40% - Accent3 19" xfId="584"/>
    <cellStyle name="40% - Accent3 19 2" xfId="585"/>
    <cellStyle name="40% - Accent3 2" xfId="586"/>
    <cellStyle name="40% - Accent3 2 2" xfId="587"/>
    <cellStyle name="40% - Accent3 2 2 2" xfId="588"/>
    <cellStyle name="40% - Accent3 2 2 3" xfId="3936"/>
    <cellStyle name="40% - Accent3 2 3" xfId="589"/>
    <cellStyle name="40% - Accent3 2 3 2" xfId="590"/>
    <cellStyle name="40% - Accent3 2 3 3" xfId="3937"/>
    <cellStyle name="40% - Accent3 20" xfId="591"/>
    <cellStyle name="40% - Accent3 21" xfId="592"/>
    <cellStyle name="40% - Accent3 22" xfId="593"/>
    <cellStyle name="40% - Accent3 23" xfId="594"/>
    <cellStyle name="40% - Accent3 24" xfId="595"/>
    <cellStyle name="40% - Accent3 25" xfId="596"/>
    <cellStyle name="40% - Accent3 26" xfId="597"/>
    <cellStyle name="40% - Accent3 27" xfId="598"/>
    <cellStyle name="40% - Accent3 28" xfId="599"/>
    <cellStyle name="40% - Accent3 29" xfId="600"/>
    <cellStyle name="40% - Accent3 3" xfId="601"/>
    <cellStyle name="40% - Accent3 3 2" xfId="602"/>
    <cellStyle name="40% - Accent3 3 3" xfId="603"/>
    <cellStyle name="40% - Accent3 3 4" xfId="3938"/>
    <cellStyle name="40% - Accent3 30" xfId="604"/>
    <cellStyle name="40% - Accent3 31" xfId="605"/>
    <cellStyle name="40% - Accent3 32" xfId="606"/>
    <cellStyle name="40% - Accent3 33" xfId="607"/>
    <cellStyle name="40% - Accent3 34" xfId="608"/>
    <cellStyle name="40% - Accent3 35" xfId="609"/>
    <cellStyle name="40% - Accent3 36" xfId="610"/>
    <cellStyle name="40% - Accent3 37" xfId="611"/>
    <cellStyle name="40% - Accent3 37 2" xfId="612"/>
    <cellStyle name="40% - Accent3 37 3" xfId="3939"/>
    <cellStyle name="40% - Accent3 38" xfId="613"/>
    <cellStyle name="40% - Accent3 39" xfId="9403"/>
    <cellStyle name="40% - Accent3 4" xfId="614"/>
    <cellStyle name="40% - Accent3 4 2" xfId="615"/>
    <cellStyle name="40% - Accent3 4 3" xfId="616"/>
    <cellStyle name="40% - Accent3 4 4" xfId="3940"/>
    <cellStyle name="40% - Accent3 5" xfId="617"/>
    <cellStyle name="40% - Accent3 5 2" xfId="618"/>
    <cellStyle name="40% - Accent3 6" xfId="619"/>
    <cellStyle name="40% - Accent3 6 2" xfId="620"/>
    <cellStyle name="40% - Accent3 7" xfId="621"/>
    <cellStyle name="40% - Accent3 7 2" xfId="622"/>
    <cellStyle name="40% - Accent3 8" xfId="623"/>
    <cellStyle name="40% - Accent3 8 2" xfId="624"/>
    <cellStyle name="40% - Accent3 9" xfId="625"/>
    <cellStyle name="40% - Accent3 9 2" xfId="626"/>
    <cellStyle name="40% - Accent4" xfId="10" builtinId="43" customBuiltin="1"/>
    <cellStyle name="40% - Accent4 10" xfId="627"/>
    <cellStyle name="40% - Accent4 10 2" xfId="628"/>
    <cellStyle name="40% - Accent4 11" xfId="629"/>
    <cellStyle name="40% - Accent4 11 2" xfId="630"/>
    <cellStyle name="40% - Accent4 12" xfId="631"/>
    <cellStyle name="40% - Accent4 12 2" xfId="632"/>
    <cellStyle name="40% - Accent4 13" xfId="633"/>
    <cellStyle name="40% - Accent4 13 2" xfId="634"/>
    <cellStyle name="40% - Accent4 14" xfId="635"/>
    <cellStyle name="40% - Accent4 14 2" xfId="636"/>
    <cellStyle name="40% - Accent4 15" xfId="637"/>
    <cellStyle name="40% - Accent4 15 2" xfId="638"/>
    <cellStyle name="40% - Accent4 16" xfId="639"/>
    <cellStyle name="40% - Accent4 16 2" xfId="640"/>
    <cellStyle name="40% - Accent4 17" xfId="641"/>
    <cellStyle name="40% - Accent4 17 2" xfId="642"/>
    <cellStyle name="40% - Accent4 18" xfId="643"/>
    <cellStyle name="40% - Accent4 18 2" xfId="644"/>
    <cellStyle name="40% - Accent4 19" xfId="645"/>
    <cellStyle name="40% - Accent4 19 2" xfId="646"/>
    <cellStyle name="40% - Accent4 2" xfId="647"/>
    <cellStyle name="40% - Accent4 2 2" xfId="648"/>
    <cellStyle name="40% - Accent4 2 2 2" xfId="649"/>
    <cellStyle name="40% - Accent4 2 2 3" xfId="3941"/>
    <cellStyle name="40% - Accent4 2 3" xfId="650"/>
    <cellStyle name="40% - Accent4 2 3 2" xfId="651"/>
    <cellStyle name="40% - Accent4 2 3 3" xfId="3942"/>
    <cellStyle name="40% - Accent4 20" xfId="652"/>
    <cellStyle name="40% - Accent4 21" xfId="653"/>
    <cellStyle name="40% - Accent4 22" xfId="654"/>
    <cellStyle name="40% - Accent4 23" xfId="655"/>
    <cellStyle name="40% - Accent4 24" xfId="656"/>
    <cellStyle name="40% - Accent4 25" xfId="657"/>
    <cellStyle name="40% - Accent4 26" xfId="658"/>
    <cellStyle name="40% - Accent4 27" xfId="659"/>
    <cellStyle name="40% - Accent4 28" xfId="660"/>
    <cellStyle name="40% - Accent4 29" xfId="661"/>
    <cellStyle name="40% - Accent4 3" xfId="662"/>
    <cellStyle name="40% - Accent4 3 2" xfId="663"/>
    <cellStyle name="40% - Accent4 3 3" xfId="664"/>
    <cellStyle name="40% - Accent4 3 4" xfId="3943"/>
    <cellStyle name="40% - Accent4 30" xfId="665"/>
    <cellStyle name="40% - Accent4 31" xfId="666"/>
    <cellStyle name="40% - Accent4 32" xfId="667"/>
    <cellStyle name="40% - Accent4 33" xfId="668"/>
    <cellStyle name="40% - Accent4 34" xfId="669"/>
    <cellStyle name="40% - Accent4 35" xfId="670"/>
    <cellStyle name="40% - Accent4 36" xfId="671"/>
    <cellStyle name="40% - Accent4 37" xfId="672"/>
    <cellStyle name="40% - Accent4 37 2" xfId="673"/>
    <cellStyle name="40% - Accent4 37 3" xfId="3944"/>
    <cellStyle name="40% - Accent4 38" xfId="674"/>
    <cellStyle name="40% - Accent4 39" xfId="9404"/>
    <cellStyle name="40% - Accent4 4" xfId="675"/>
    <cellStyle name="40% - Accent4 4 2" xfId="676"/>
    <cellStyle name="40% - Accent4 4 3" xfId="677"/>
    <cellStyle name="40% - Accent4 4 4" xfId="3945"/>
    <cellStyle name="40% - Accent4 5" xfId="678"/>
    <cellStyle name="40% - Accent4 5 2" xfId="679"/>
    <cellStyle name="40% - Accent4 6" xfId="680"/>
    <cellStyle name="40% - Accent4 6 2" xfId="681"/>
    <cellStyle name="40% - Accent4 7" xfId="682"/>
    <cellStyle name="40% - Accent4 7 2" xfId="683"/>
    <cellStyle name="40% - Accent4 8" xfId="684"/>
    <cellStyle name="40% - Accent4 8 2" xfId="685"/>
    <cellStyle name="40% - Accent4 9" xfId="686"/>
    <cellStyle name="40% - Accent4 9 2" xfId="687"/>
    <cellStyle name="40% - Accent5" xfId="11" builtinId="47" customBuiltin="1"/>
    <cellStyle name="40% - Accent5 10" xfId="688"/>
    <cellStyle name="40% - Accent5 10 2" xfId="689"/>
    <cellStyle name="40% - Accent5 11" xfId="690"/>
    <cellStyle name="40% - Accent5 11 2" xfId="691"/>
    <cellStyle name="40% - Accent5 12" xfId="692"/>
    <cellStyle name="40% - Accent5 12 2" xfId="693"/>
    <cellStyle name="40% - Accent5 13" xfId="694"/>
    <cellStyle name="40% - Accent5 13 2" xfId="695"/>
    <cellStyle name="40% - Accent5 14" xfId="696"/>
    <cellStyle name="40% - Accent5 14 2" xfId="697"/>
    <cellStyle name="40% - Accent5 15" xfId="698"/>
    <cellStyle name="40% - Accent5 15 2" xfId="699"/>
    <cellStyle name="40% - Accent5 16" xfId="700"/>
    <cellStyle name="40% - Accent5 16 2" xfId="701"/>
    <cellStyle name="40% - Accent5 17" xfId="702"/>
    <cellStyle name="40% - Accent5 17 2" xfId="703"/>
    <cellStyle name="40% - Accent5 18" xfId="704"/>
    <cellStyle name="40% - Accent5 18 2" xfId="705"/>
    <cellStyle name="40% - Accent5 19" xfId="706"/>
    <cellStyle name="40% - Accent5 19 2" xfId="707"/>
    <cellStyle name="40% - Accent5 2" xfId="708"/>
    <cellStyle name="40% - Accent5 2 2" xfId="709"/>
    <cellStyle name="40% - Accent5 2 2 2" xfId="710"/>
    <cellStyle name="40% - Accent5 2 2 3" xfId="3946"/>
    <cellStyle name="40% - Accent5 2 3" xfId="711"/>
    <cellStyle name="40% - Accent5 2 3 2" xfId="712"/>
    <cellStyle name="40% - Accent5 2 3 3" xfId="3947"/>
    <cellStyle name="40% - Accent5 20" xfId="713"/>
    <cellStyle name="40% - Accent5 21" xfId="714"/>
    <cellStyle name="40% - Accent5 22" xfId="715"/>
    <cellStyle name="40% - Accent5 23" xfId="716"/>
    <cellStyle name="40% - Accent5 24" xfId="717"/>
    <cellStyle name="40% - Accent5 25" xfId="718"/>
    <cellStyle name="40% - Accent5 26" xfId="719"/>
    <cellStyle name="40% - Accent5 27" xfId="720"/>
    <cellStyle name="40% - Accent5 28" xfId="721"/>
    <cellStyle name="40% - Accent5 29" xfId="722"/>
    <cellStyle name="40% - Accent5 3" xfId="723"/>
    <cellStyle name="40% - Accent5 3 2" xfId="724"/>
    <cellStyle name="40% - Accent5 3 3" xfId="725"/>
    <cellStyle name="40% - Accent5 3 4" xfId="3948"/>
    <cellStyle name="40% - Accent5 30" xfId="726"/>
    <cellStyle name="40% - Accent5 31" xfId="727"/>
    <cellStyle name="40% - Accent5 32" xfId="728"/>
    <cellStyle name="40% - Accent5 33" xfId="729"/>
    <cellStyle name="40% - Accent5 34" xfId="730"/>
    <cellStyle name="40% - Accent5 35" xfId="731"/>
    <cellStyle name="40% - Accent5 36" xfId="732"/>
    <cellStyle name="40% - Accent5 37" xfId="733"/>
    <cellStyle name="40% - Accent5 37 2" xfId="734"/>
    <cellStyle name="40% - Accent5 37 3" xfId="3949"/>
    <cellStyle name="40% - Accent5 38" xfId="735"/>
    <cellStyle name="40% - Accent5 39" xfId="9405"/>
    <cellStyle name="40% - Accent5 4" xfId="736"/>
    <cellStyle name="40% - Accent5 4 2" xfId="737"/>
    <cellStyle name="40% - Accent5 4 3" xfId="738"/>
    <cellStyle name="40% - Accent5 4 4" xfId="3950"/>
    <cellStyle name="40% - Accent5 5" xfId="739"/>
    <cellStyle name="40% - Accent5 5 2" xfId="740"/>
    <cellStyle name="40% - Accent5 6" xfId="741"/>
    <cellStyle name="40% - Accent5 6 2" xfId="742"/>
    <cellStyle name="40% - Accent5 7" xfId="743"/>
    <cellStyle name="40% - Accent5 7 2" xfId="744"/>
    <cellStyle name="40% - Accent5 8" xfId="745"/>
    <cellStyle name="40% - Accent5 8 2" xfId="746"/>
    <cellStyle name="40% - Accent5 9" xfId="747"/>
    <cellStyle name="40% - Accent5 9 2" xfId="748"/>
    <cellStyle name="40% - Accent6" xfId="12" builtinId="51" customBuiltin="1"/>
    <cellStyle name="40% - Accent6 10" xfId="749"/>
    <cellStyle name="40% - Accent6 10 2" xfId="750"/>
    <cellStyle name="40% - Accent6 11" xfId="751"/>
    <cellStyle name="40% - Accent6 11 2" xfId="752"/>
    <cellStyle name="40% - Accent6 12" xfId="753"/>
    <cellStyle name="40% - Accent6 12 2" xfId="754"/>
    <cellStyle name="40% - Accent6 13" xfId="755"/>
    <cellStyle name="40% - Accent6 13 2" xfId="756"/>
    <cellStyle name="40% - Accent6 14" xfId="757"/>
    <cellStyle name="40% - Accent6 14 2" xfId="758"/>
    <cellStyle name="40% - Accent6 15" xfId="759"/>
    <cellStyle name="40% - Accent6 15 2" xfId="760"/>
    <cellStyle name="40% - Accent6 16" xfId="761"/>
    <cellStyle name="40% - Accent6 16 2" xfId="762"/>
    <cellStyle name="40% - Accent6 17" xfId="763"/>
    <cellStyle name="40% - Accent6 17 2" xfId="764"/>
    <cellStyle name="40% - Accent6 18" xfId="765"/>
    <cellStyle name="40% - Accent6 18 2" xfId="766"/>
    <cellStyle name="40% - Accent6 19" xfId="767"/>
    <cellStyle name="40% - Accent6 19 2" xfId="768"/>
    <cellStyle name="40% - Accent6 2" xfId="769"/>
    <cellStyle name="40% - Accent6 2 2" xfId="770"/>
    <cellStyle name="40% - Accent6 2 2 2" xfId="771"/>
    <cellStyle name="40% - Accent6 2 2 3" xfId="3951"/>
    <cellStyle name="40% - Accent6 2 3" xfId="772"/>
    <cellStyle name="40% - Accent6 2 3 2" xfId="773"/>
    <cellStyle name="40% - Accent6 2 3 3" xfId="3952"/>
    <cellStyle name="40% - Accent6 20" xfId="774"/>
    <cellStyle name="40% - Accent6 21" xfId="775"/>
    <cellStyle name="40% - Accent6 22" xfId="776"/>
    <cellStyle name="40% - Accent6 23" xfId="777"/>
    <cellStyle name="40% - Accent6 24" xfId="778"/>
    <cellStyle name="40% - Accent6 25" xfId="779"/>
    <cellStyle name="40% - Accent6 26" xfId="780"/>
    <cellStyle name="40% - Accent6 27" xfId="781"/>
    <cellStyle name="40% - Accent6 28" xfId="782"/>
    <cellStyle name="40% - Accent6 29" xfId="783"/>
    <cellStyle name="40% - Accent6 3" xfId="784"/>
    <cellStyle name="40% - Accent6 3 2" xfId="785"/>
    <cellStyle name="40% - Accent6 3 3" xfId="786"/>
    <cellStyle name="40% - Accent6 3 4" xfId="3953"/>
    <cellStyle name="40% - Accent6 30" xfId="787"/>
    <cellStyle name="40% - Accent6 31" xfId="788"/>
    <cellStyle name="40% - Accent6 32" xfId="789"/>
    <cellStyle name="40% - Accent6 33" xfId="790"/>
    <cellStyle name="40% - Accent6 34" xfId="791"/>
    <cellStyle name="40% - Accent6 35" xfId="792"/>
    <cellStyle name="40% - Accent6 36" xfId="793"/>
    <cellStyle name="40% - Accent6 37" xfId="794"/>
    <cellStyle name="40% - Accent6 37 2" xfId="795"/>
    <cellStyle name="40% - Accent6 37 3" xfId="3954"/>
    <cellStyle name="40% - Accent6 38" xfId="796"/>
    <cellStyle name="40% - Accent6 39" xfId="9406"/>
    <cellStyle name="40% - Accent6 4" xfId="797"/>
    <cellStyle name="40% - Accent6 4 2" xfId="798"/>
    <cellStyle name="40% - Accent6 4 3" xfId="799"/>
    <cellStyle name="40% - Accent6 4 4" xfId="3955"/>
    <cellStyle name="40% - Accent6 5" xfId="800"/>
    <cellStyle name="40% - Accent6 5 2" xfId="801"/>
    <cellStyle name="40% - Accent6 6" xfId="802"/>
    <cellStyle name="40% - Accent6 6 2" xfId="803"/>
    <cellStyle name="40% - Accent6 7" xfId="804"/>
    <cellStyle name="40% - Accent6 7 2" xfId="805"/>
    <cellStyle name="40% - Accent6 8" xfId="806"/>
    <cellStyle name="40% - Accent6 8 2" xfId="807"/>
    <cellStyle name="40% - Accent6 9" xfId="808"/>
    <cellStyle name="40% - Accent6 9 2" xfId="809"/>
    <cellStyle name="60% - Accent1" xfId="13" builtinId="32" customBuiltin="1"/>
    <cellStyle name="60% - Accent1 10" xfId="810"/>
    <cellStyle name="60% - Accent1 10 2" xfId="811"/>
    <cellStyle name="60% - Accent1 11" xfId="812"/>
    <cellStyle name="60% - Accent1 11 2" xfId="813"/>
    <cellStyle name="60% - Accent1 12" xfId="814"/>
    <cellStyle name="60% - Accent1 12 2" xfId="815"/>
    <cellStyle name="60% - Accent1 13" xfId="816"/>
    <cellStyle name="60% - Accent1 13 2" xfId="817"/>
    <cellStyle name="60% - Accent1 14" xfId="818"/>
    <cellStyle name="60% - Accent1 14 2" xfId="819"/>
    <cellStyle name="60% - Accent1 15" xfId="820"/>
    <cellStyle name="60% - Accent1 15 2" xfId="821"/>
    <cellStyle name="60% - Accent1 16" xfId="822"/>
    <cellStyle name="60% - Accent1 16 2" xfId="823"/>
    <cellStyle name="60% - Accent1 17" xfId="824"/>
    <cellStyle name="60% - Accent1 17 2" xfId="825"/>
    <cellStyle name="60% - Accent1 18" xfId="826"/>
    <cellStyle name="60% - Accent1 18 2" xfId="827"/>
    <cellStyle name="60% - Accent1 19" xfId="828"/>
    <cellStyle name="60% - Accent1 19 2" xfId="829"/>
    <cellStyle name="60% - Accent1 2" xfId="830"/>
    <cellStyle name="60% - Accent1 2 2" xfId="831"/>
    <cellStyle name="60% - Accent1 2 3" xfId="832"/>
    <cellStyle name="60% - Accent1 20" xfId="833"/>
    <cellStyle name="60% - Accent1 21" xfId="834"/>
    <cellStyle name="60% - Accent1 22" xfId="835"/>
    <cellStyle name="60% - Accent1 23" xfId="836"/>
    <cellStyle name="60% - Accent1 24" xfId="837"/>
    <cellStyle name="60% - Accent1 25" xfId="838"/>
    <cellStyle name="60% - Accent1 26" xfId="839"/>
    <cellStyle name="60% - Accent1 27" xfId="840"/>
    <cellStyle name="60% - Accent1 28" xfId="841"/>
    <cellStyle name="60% - Accent1 29" xfId="842"/>
    <cellStyle name="60% - Accent1 3" xfId="843"/>
    <cellStyle name="60% - Accent1 3 2" xfId="844"/>
    <cellStyle name="60% - Accent1 30" xfId="845"/>
    <cellStyle name="60% - Accent1 31" xfId="846"/>
    <cellStyle name="60% - Accent1 32" xfId="847"/>
    <cellStyle name="60% - Accent1 33" xfId="848"/>
    <cellStyle name="60% - Accent1 34" xfId="849"/>
    <cellStyle name="60% - Accent1 35" xfId="850"/>
    <cellStyle name="60% - Accent1 36" xfId="851"/>
    <cellStyle name="60% - Accent1 37" xfId="9407"/>
    <cellStyle name="60% - Accent1 4" xfId="852"/>
    <cellStyle name="60% - Accent1 4 2" xfId="853"/>
    <cellStyle name="60% - Accent1 5" xfId="854"/>
    <cellStyle name="60% - Accent1 5 2" xfId="855"/>
    <cellStyle name="60% - Accent1 6" xfId="856"/>
    <cellStyle name="60% - Accent1 6 2" xfId="857"/>
    <cellStyle name="60% - Accent1 7" xfId="858"/>
    <cellStyle name="60% - Accent1 7 2" xfId="859"/>
    <cellStyle name="60% - Accent1 8" xfId="860"/>
    <cellStyle name="60% - Accent1 8 2" xfId="861"/>
    <cellStyle name="60% - Accent1 9" xfId="862"/>
    <cellStyle name="60% - Accent1 9 2" xfId="863"/>
    <cellStyle name="60% - Accent2" xfId="14" builtinId="36" customBuiltin="1"/>
    <cellStyle name="60% - Accent2 10" xfId="864"/>
    <cellStyle name="60% - Accent2 10 2" xfId="865"/>
    <cellStyle name="60% - Accent2 11" xfId="866"/>
    <cellStyle name="60% - Accent2 11 2" xfId="867"/>
    <cellStyle name="60% - Accent2 12" xfId="868"/>
    <cellStyle name="60% - Accent2 12 2" xfId="869"/>
    <cellStyle name="60% - Accent2 13" xfId="870"/>
    <cellStyle name="60% - Accent2 13 2" xfId="871"/>
    <cellStyle name="60% - Accent2 14" xfId="872"/>
    <cellStyle name="60% - Accent2 14 2" xfId="873"/>
    <cellStyle name="60% - Accent2 15" xfId="874"/>
    <cellStyle name="60% - Accent2 15 2" xfId="875"/>
    <cellStyle name="60% - Accent2 16" xfId="876"/>
    <cellStyle name="60% - Accent2 16 2" xfId="877"/>
    <cellStyle name="60% - Accent2 17" xfId="878"/>
    <cellStyle name="60% - Accent2 17 2" xfId="879"/>
    <cellStyle name="60% - Accent2 18" xfId="880"/>
    <cellStyle name="60% - Accent2 18 2" xfId="881"/>
    <cellStyle name="60% - Accent2 19" xfId="882"/>
    <cellStyle name="60% - Accent2 19 2" xfId="883"/>
    <cellStyle name="60% - Accent2 2" xfId="884"/>
    <cellStyle name="60% - Accent2 2 2" xfId="885"/>
    <cellStyle name="60% - Accent2 2 3" xfId="886"/>
    <cellStyle name="60% - Accent2 20" xfId="887"/>
    <cellStyle name="60% - Accent2 21" xfId="888"/>
    <cellStyle name="60% - Accent2 22" xfId="889"/>
    <cellStyle name="60% - Accent2 23" xfId="890"/>
    <cellStyle name="60% - Accent2 24" xfId="891"/>
    <cellStyle name="60% - Accent2 25" xfId="892"/>
    <cellStyle name="60% - Accent2 26" xfId="893"/>
    <cellStyle name="60% - Accent2 27" xfId="894"/>
    <cellStyle name="60% - Accent2 28" xfId="895"/>
    <cellStyle name="60% - Accent2 29" xfId="896"/>
    <cellStyle name="60% - Accent2 3" xfId="897"/>
    <cellStyle name="60% - Accent2 3 2" xfId="898"/>
    <cellStyle name="60% - Accent2 30" xfId="899"/>
    <cellStyle name="60% - Accent2 31" xfId="900"/>
    <cellStyle name="60% - Accent2 32" xfId="901"/>
    <cellStyle name="60% - Accent2 33" xfId="902"/>
    <cellStyle name="60% - Accent2 34" xfId="903"/>
    <cellStyle name="60% - Accent2 35" xfId="904"/>
    <cellStyle name="60% - Accent2 36" xfId="905"/>
    <cellStyle name="60% - Accent2 37" xfId="9408"/>
    <cellStyle name="60% - Accent2 4" xfId="906"/>
    <cellStyle name="60% - Accent2 4 2" xfId="907"/>
    <cellStyle name="60% - Accent2 5" xfId="908"/>
    <cellStyle name="60% - Accent2 5 2" xfId="909"/>
    <cellStyle name="60% - Accent2 6" xfId="910"/>
    <cellStyle name="60% - Accent2 6 2" xfId="911"/>
    <cellStyle name="60% - Accent2 7" xfId="912"/>
    <cellStyle name="60% - Accent2 7 2" xfId="913"/>
    <cellStyle name="60% - Accent2 8" xfId="914"/>
    <cellStyle name="60% - Accent2 8 2" xfId="915"/>
    <cellStyle name="60% - Accent2 9" xfId="916"/>
    <cellStyle name="60% - Accent2 9 2" xfId="917"/>
    <cellStyle name="60% - Accent3" xfId="15" builtinId="40" customBuiltin="1"/>
    <cellStyle name="60% - Accent3 10" xfId="918"/>
    <cellStyle name="60% - Accent3 10 2" xfId="919"/>
    <cellStyle name="60% - Accent3 11" xfId="920"/>
    <cellStyle name="60% - Accent3 11 2" xfId="921"/>
    <cellStyle name="60% - Accent3 12" xfId="922"/>
    <cellStyle name="60% - Accent3 12 2" xfId="923"/>
    <cellStyle name="60% - Accent3 13" xfId="924"/>
    <cellStyle name="60% - Accent3 13 2" xfId="925"/>
    <cellStyle name="60% - Accent3 14" xfId="926"/>
    <cellStyle name="60% - Accent3 14 2" xfId="927"/>
    <cellStyle name="60% - Accent3 15" xfId="928"/>
    <cellStyle name="60% - Accent3 15 2" xfId="929"/>
    <cellStyle name="60% - Accent3 16" xfId="930"/>
    <cellStyle name="60% - Accent3 16 2" xfId="931"/>
    <cellStyle name="60% - Accent3 17" xfId="932"/>
    <cellStyle name="60% - Accent3 17 2" xfId="933"/>
    <cellStyle name="60% - Accent3 18" xfId="934"/>
    <cellStyle name="60% - Accent3 18 2" xfId="935"/>
    <cellStyle name="60% - Accent3 19" xfId="936"/>
    <cellStyle name="60% - Accent3 19 2" xfId="937"/>
    <cellStyle name="60% - Accent3 2" xfId="938"/>
    <cellStyle name="60% - Accent3 2 2" xfId="939"/>
    <cellStyle name="60% - Accent3 2 3" xfId="940"/>
    <cellStyle name="60% - Accent3 20" xfId="941"/>
    <cellStyle name="60% - Accent3 21" xfId="942"/>
    <cellStyle name="60% - Accent3 22" xfId="943"/>
    <cellStyle name="60% - Accent3 23" xfId="944"/>
    <cellStyle name="60% - Accent3 24" xfId="945"/>
    <cellStyle name="60% - Accent3 25" xfId="946"/>
    <cellStyle name="60% - Accent3 26" xfId="947"/>
    <cellStyle name="60% - Accent3 27" xfId="948"/>
    <cellStyle name="60% - Accent3 28" xfId="949"/>
    <cellStyle name="60% - Accent3 29" xfId="950"/>
    <cellStyle name="60% - Accent3 3" xfId="951"/>
    <cellStyle name="60% - Accent3 3 2" xfId="952"/>
    <cellStyle name="60% - Accent3 30" xfId="953"/>
    <cellStyle name="60% - Accent3 31" xfId="954"/>
    <cellStyle name="60% - Accent3 32" xfId="955"/>
    <cellStyle name="60% - Accent3 33" xfId="956"/>
    <cellStyle name="60% - Accent3 34" xfId="957"/>
    <cellStyle name="60% - Accent3 35" xfId="958"/>
    <cellStyle name="60% - Accent3 36" xfId="959"/>
    <cellStyle name="60% - Accent3 37" xfId="9409"/>
    <cellStyle name="60% - Accent3 4" xfId="960"/>
    <cellStyle name="60% - Accent3 4 2" xfId="961"/>
    <cellStyle name="60% - Accent3 5" xfId="962"/>
    <cellStyle name="60% - Accent3 5 2" xfId="963"/>
    <cellStyle name="60% - Accent3 6" xfId="964"/>
    <cellStyle name="60% - Accent3 6 2" xfId="965"/>
    <cellStyle name="60% - Accent3 7" xfId="966"/>
    <cellStyle name="60% - Accent3 7 2" xfId="967"/>
    <cellStyle name="60% - Accent3 8" xfId="968"/>
    <cellStyle name="60% - Accent3 8 2" xfId="969"/>
    <cellStyle name="60% - Accent3 9" xfId="970"/>
    <cellStyle name="60% - Accent3 9 2" xfId="971"/>
    <cellStyle name="60% - Accent4" xfId="16" builtinId="44" customBuiltin="1"/>
    <cellStyle name="60% - Accent4 10" xfId="972"/>
    <cellStyle name="60% - Accent4 10 2" xfId="973"/>
    <cellStyle name="60% - Accent4 11" xfId="974"/>
    <cellStyle name="60% - Accent4 11 2" xfId="975"/>
    <cellStyle name="60% - Accent4 12" xfId="976"/>
    <cellStyle name="60% - Accent4 12 2" xfId="977"/>
    <cellStyle name="60% - Accent4 13" xfId="978"/>
    <cellStyle name="60% - Accent4 13 2" xfId="979"/>
    <cellStyle name="60% - Accent4 14" xfId="980"/>
    <cellStyle name="60% - Accent4 14 2" xfId="981"/>
    <cellStyle name="60% - Accent4 15" xfId="982"/>
    <cellStyle name="60% - Accent4 15 2" xfId="983"/>
    <cellStyle name="60% - Accent4 16" xfId="984"/>
    <cellStyle name="60% - Accent4 16 2" xfId="985"/>
    <cellStyle name="60% - Accent4 17" xfId="986"/>
    <cellStyle name="60% - Accent4 17 2" xfId="987"/>
    <cellStyle name="60% - Accent4 18" xfId="988"/>
    <cellStyle name="60% - Accent4 18 2" xfId="989"/>
    <cellStyle name="60% - Accent4 19" xfId="990"/>
    <cellStyle name="60% - Accent4 19 2" xfId="991"/>
    <cellStyle name="60% - Accent4 2" xfId="992"/>
    <cellStyle name="60% - Accent4 2 2" xfId="993"/>
    <cellStyle name="60% - Accent4 2 3" xfId="994"/>
    <cellStyle name="60% - Accent4 20" xfId="995"/>
    <cellStyle name="60% - Accent4 21" xfId="996"/>
    <cellStyle name="60% - Accent4 22" xfId="997"/>
    <cellStyle name="60% - Accent4 23" xfId="998"/>
    <cellStyle name="60% - Accent4 24" xfId="999"/>
    <cellStyle name="60% - Accent4 25" xfId="1000"/>
    <cellStyle name="60% - Accent4 26" xfId="1001"/>
    <cellStyle name="60% - Accent4 27" xfId="1002"/>
    <cellStyle name="60% - Accent4 28" xfId="1003"/>
    <cellStyle name="60% - Accent4 29" xfId="1004"/>
    <cellStyle name="60% - Accent4 3" xfId="1005"/>
    <cellStyle name="60% - Accent4 3 2" xfId="1006"/>
    <cellStyle name="60% - Accent4 30" xfId="1007"/>
    <cellStyle name="60% - Accent4 31" xfId="1008"/>
    <cellStyle name="60% - Accent4 32" xfId="1009"/>
    <cellStyle name="60% - Accent4 33" xfId="1010"/>
    <cellStyle name="60% - Accent4 34" xfId="1011"/>
    <cellStyle name="60% - Accent4 35" xfId="1012"/>
    <cellStyle name="60% - Accent4 36" xfId="1013"/>
    <cellStyle name="60% - Accent4 37" xfId="9410"/>
    <cellStyle name="60% - Accent4 4" xfId="1014"/>
    <cellStyle name="60% - Accent4 4 2" xfId="1015"/>
    <cellStyle name="60% - Accent4 5" xfId="1016"/>
    <cellStyle name="60% - Accent4 5 2" xfId="1017"/>
    <cellStyle name="60% - Accent4 6" xfId="1018"/>
    <cellStyle name="60% - Accent4 6 2" xfId="1019"/>
    <cellStyle name="60% - Accent4 7" xfId="1020"/>
    <cellStyle name="60% - Accent4 7 2" xfId="1021"/>
    <cellStyle name="60% - Accent4 8" xfId="1022"/>
    <cellStyle name="60% - Accent4 8 2" xfId="1023"/>
    <cellStyle name="60% - Accent4 9" xfId="1024"/>
    <cellStyle name="60% - Accent4 9 2" xfId="1025"/>
    <cellStyle name="60% - Accent5" xfId="17" builtinId="48" customBuiltin="1"/>
    <cellStyle name="60% - Accent5 10" xfId="1026"/>
    <cellStyle name="60% - Accent5 10 2" xfId="1027"/>
    <cellStyle name="60% - Accent5 11" xfId="1028"/>
    <cellStyle name="60% - Accent5 11 2" xfId="1029"/>
    <cellStyle name="60% - Accent5 12" xfId="1030"/>
    <cellStyle name="60% - Accent5 12 2" xfId="1031"/>
    <cellStyle name="60% - Accent5 13" xfId="1032"/>
    <cellStyle name="60% - Accent5 13 2" xfId="1033"/>
    <cellStyle name="60% - Accent5 14" xfId="1034"/>
    <cellStyle name="60% - Accent5 14 2" xfId="1035"/>
    <cellStyle name="60% - Accent5 15" xfId="1036"/>
    <cellStyle name="60% - Accent5 15 2" xfId="1037"/>
    <cellStyle name="60% - Accent5 16" xfId="1038"/>
    <cellStyle name="60% - Accent5 16 2" xfId="1039"/>
    <cellStyle name="60% - Accent5 17" xfId="1040"/>
    <cellStyle name="60% - Accent5 17 2" xfId="1041"/>
    <cellStyle name="60% - Accent5 18" xfId="1042"/>
    <cellStyle name="60% - Accent5 18 2" xfId="1043"/>
    <cellStyle name="60% - Accent5 19" xfId="1044"/>
    <cellStyle name="60% - Accent5 19 2" xfId="1045"/>
    <cellStyle name="60% - Accent5 2" xfId="1046"/>
    <cellStyle name="60% - Accent5 2 2" xfId="1047"/>
    <cellStyle name="60% - Accent5 2 3" xfId="1048"/>
    <cellStyle name="60% - Accent5 20" xfId="1049"/>
    <cellStyle name="60% - Accent5 21" xfId="1050"/>
    <cellStyle name="60% - Accent5 22" xfId="1051"/>
    <cellStyle name="60% - Accent5 23" xfId="1052"/>
    <cellStyle name="60% - Accent5 24" xfId="1053"/>
    <cellStyle name="60% - Accent5 25" xfId="1054"/>
    <cellStyle name="60% - Accent5 26" xfId="1055"/>
    <cellStyle name="60% - Accent5 27" xfId="1056"/>
    <cellStyle name="60% - Accent5 28" xfId="1057"/>
    <cellStyle name="60% - Accent5 29" xfId="1058"/>
    <cellStyle name="60% - Accent5 3" xfId="1059"/>
    <cellStyle name="60% - Accent5 3 2" xfId="1060"/>
    <cellStyle name="60% - Accent5 30" xfId="1061"/>
    <cellStyle name="60% - Accent5 31" xfId="1062"/>
    <cellStyle name="60% - Accent5 32" xfId="1063"/>
    <cellStyle name="60% - Accent5 33" xfId="1064"/>
    <cellStyle name="60% - Accent5 34" xfId="1065"/>
    <cellStyle name="60% - Accent5 35" xfId="1066"/>
    <cellStyle name="60% - Accent5 36" xfId="1067"/>
    <cellStyle name="60% - Accent5 37" xfId="9411"/>
    <cellStyle name="60% - Accent5 4" xfId="1068"/>
    <cellStyle name="60% - Accent5 4 2" xfId="1069"/>
    <cellStyle name="60% - Accent5 5" xfId="1070"/>
    <cellStyle name="60% - Accent5 5 2" xfId="1071"/>
    <cellStyle name="60% - Accent5 6" xfId="1072"/>
    <cellStyle name="60% - Accent5 6 2" xfId="1073"/>
    <cellStyle name="60% - Accent5 7" xfId="1074"/>
    <cellStyle name="60% - Accent5 7 2" xfId="1075"/>
    <cellStyle name="60% - Accent5 8" xfId="1076"/>
    <cellStyle name="60% - Accent5 8 2" xfId="1077"/>
    <cellStyle name="60% - Accent5 9" xfId="1078"/>
    <cellStyle name="60% - Accent5 9 2" xfId="1079"/>
    <cellStyle name="60% - Accent6" xfId="18" builtinId="52" customBuiltin="1"/>
    <cellStyle name="60% - Accent6 10" xfId="1080"/>
    <cellStyle name="60% - Accent6 10 2" xfId="1081"/>
    <cellStyle name="60% - Accent6 11" xfId="1082"/>
    <cellStyle name="60% - Accent6 11 2" xfId="1083"/>
    <cellStyle name="60% - Accent6 12" xfId="1084"/>
    <cellStyle name="60% - Accent6 12 2" xfId="1085"/>
    <cellStyle name="60% - Accent6 13" xfId="1086"/>
    <cellStyle name="60% - Accent6 13 2" xfId="1087"/>
    <cellStyle name="60% - Accent6 14" xfId="1088"/>
    <cellStyle name="60% - Accent6 14 2" xfId="1089"/>
    <cellStyle name="60% - Accent6 15" xfId="1090"/>
    <cellStyle name="60% - Accent6 15 2" xfId="1091"/>
    <cellStyle name="60% - Accent6 16" xfId="1092"/>
    <cellStyle name="60% - Accent6 16 2" xfId="1093"/>
    <cellStyle name="60% - Accent6 17" xfId="1094"/>
    <cellStyle name="60% - Accent6 17 2" xfId="1095"/>
    <cellStyle name="60% - Accent6 18" xfId="1096"/>
    <cellStyle name="60% - Accent6 18 2" xfId="1097"/>
    <cellStyle name="60% - Accent6 19" xfId="1098"/>
    <cellStyle name="60% - Accent6 19 2" xfId="1099"/>
    <cellStyle name="60% - Accent6 2" xfId="1100"/>
    <cellStyle name="60% - Accent6 2 2" xfId="1101"/>
    <cellStyle name="60% - Accent6 2 3" xfId="1102"/>
    <cellStyle name="60% - Accent6 20" xfId="1103"/>
    <cellStyle name="60% - Accent6 21" xfId="1104"/>
    <cellStyle name="60% - Accent6 22" xfId="1105"/>
    <cellStyle name="60% - Accent6 23" xfId="1106"/>
    <cellStyle name="60% - Accent6 24" xfId="1107"/>
    <cellStyle name="60% - Accent6 25" xfId="1108"/>
    <cellStyle name="60% - Accent6 26" xfId="1109"/>
    <cellStyle name="60% - Accent6 27" xfId="1110"/>
    <cellStyle name="60% - Accent6 28" xfId="1111"/>
    <cellStyle name="60% - Accent6 29" xfId="1112"/>
    <cellStyle name="60% - Accent6 3" xfId="1113"/>
    <cellStyle name="60% - Accent6 3 2" xfId="1114"/>
    <cellStyle name="60% - Accent6 30" xfId="1115"/>
    <cellStyle name="60% - Accent6 31" xfId="1116"/>
    <cellStyle name="60% - Accent6 32" xfId="1117"/>
    <cellStyle name="60% - Accent6 33" xfId="1118"/>
    <cellStyle name="60% - Accent6 34" xfId="1119"/>
    <cellStyle name="60% - Accent6 35" xfId="1120"/>
    <cellStyle name="60% - Accent6 36" xfId="1121"/>
    <cellStyle name="60% - Accent6 37" xfId="9412"/>
    <cellStyle name="60% - Accent6 4" xfId="1122"/>
    <cellStyle name="60% - Accent6 4 2" xfId="1123"/>
    <cellStyle name="60% - Accent6 5" xfId="1124"/>
    <cellStyle name="60% - Accent6 5 2" xfId="1125"/>
    <cellStyle name="60% - Accent6 6" xfId="1126"/>
    <cellStyle name="60% - Accent6 6 2" xfId="1127"/>
    <cellStyle name="60% - Accent6 7" xfId="1128"/>
    <cellStyle name="60% - Accent6 7 2" xfId="1129"/>
    <cellStyle name="60% - Accent6 8" xfId="1130"/>
    <cellStyle name="60% - Accent6 8 2" xfId="1131"/>
    <cellStyle name="60% - Accent6 9" xfId="1132"/>
    <cellStyle name="60% - Accent6 9 2" xfId="1133"/>
    <cellStyle name="Accent1" xfId="19" builtinId="29" customBuiltin="1"/>
    <cellStyle name="Accent1 - 20%" xfId="1134"/>
    <cellStyle name="Accent1 - 40%" xfId="1135"/>
    <cellStyle name="Accent1 - 60%" xfId="1136"/>
    <cellStyle name="Accent1 10" xfId="1137"/>
    <cellStyle name="Accent1 10 2" xfId="1138"/>
    <cellStyle name="Accent1 11" xfId="1139"/>
    <cellStyle name="Accent1 11 2" xfId="1140"/>
    <cellStyle name="Accent1 12" xfId="1141"/>
    <cellStyle name="Accent1 12 2" xfId="1142"/>
    <cellStyle name="Accent1 13" xfId="1143"/>
    <cellStyle name="Accent1 13 2" xfId="1144"/>
    <cellStyle name="Accent1 14" xfId="1145"/>
    <cellStyle name="Accent1 14 2" xfId="1146"/>
    <cellStyle name="Accent1 15" xfId="1147"/>
    <cellStyle name="Accent1 15 2" xfId="1148"/>
    <cellStyle name="Accent1 16" xfId="1149"/>
    <cellStyle name="Accent1 16 2" xfId="1150"/>
    <cellStyle name="Accent1 17" xfId="1151"/>
    <cellStyle name="Accent1 17 2" xfId="1152"/>
    <cellStyle name="Accent1 18" xfId="1153"/>
    <cellStyle name="Accent1 18 2" xfId="1154"/>
    <cellStyle name="Accent1 19" xfId="1155"/>
    <cellStyle name="Accent1 19 2" xfId="1156"/>
    <cellStyle name="Accent1 2" xfId="1157"/>
    <cellStyle name="Accent1 2 2" xfId="1158"/>
    <cellStyle name="Accent1 2 3" xfId="1159"/>
    <cellStyle name="Accent1 20" xfId="1160"/>
    <cellStyle name="Accent1 21" xfId="1161"/>
    <cellStyle name="Accent1 22" xfId="1162"/>
    <cellStyle name="Accent1 23" xfId="1163"/>
    <cellStyle name="Accent1 24" xfId="1164"/>
    <cellStyle name="Accent1 25" xfId="1165"/>
    <cellStyle name="Accent1 26" xfId="1166"/>
    <cellStyle name="Accent1 27" xfId="1167"/>
    <cellStyle name="Accent1 28" xfId="1168"/>
    <cellStyle name="Accent1 29" xfId="1169"/>
    <cellStyle name="Accent1 3" xfId="1170"/>
    <cellStyle name="Accent1 3 2" xfId="1171"/>
    <cellStyle name="Accent1 30" xfId="1172"/>
    <cellStyle name="Accent1 31" xfId="1173"/>
    <cellStyle name="Accent1 32" xfId="1174"/>
    <cellStyle name="Accent1 33" xfId="1175"/>
    <cellStyle name="Accent1 34" xfId="1176"/>
    <cellStyle name="Accent1 35" xfId="1177"/>
    <cellStyle name="Accent1 36" xfId="1178"/>
    <cellStyle name="Accent1 37" xfId="1179"/>
    <cellStyle name="Accent1 38" xfId="1180"/>
    <cellStyle name="Accent1 39" xfId="1181"/>
    <cellStyle name="Accent1 4" xfId="1182"/>
    <cellStyle name="Accent1 4 2" xfId="1183"/>
    <cellStyle name="Accent1 40" xfId="1184"/>
    <cellStyle name="Accent1 41" xfId="1185"/>
    <cellStyle name="Accent1 42" xfId="1186"/>
    <cellStyle name="Accent1 43" xfId="1187"/>
    <cellStyle name="Accent1 44" xfId="1188"/>
    <cellStyle name="Accent1 45" xfId="1189"/>
    <cellStyle name="Accent1 46" xfId="1190"/>
    <cellStyle name="Accent1 47" xfId="1191"/>
    <cellStyle name="Accent1 48" xfId="1192"/>
    <cellStyle name="Accent1 49" xfId="9413"/>
    <cellStyle name="Accent1 5" xfId="1193"/>
    <cellStyle name="Accent1 5 2" xfId="1194"/>
    <cellStyle name="Accent1 50" xfId="9414"/>
    <cellStyle name="Accent1 51" xfId="9415"/>
    <cellStyle name="Accent1 6" xfId="1195"/>
    <cellStyle name="Accent1 6 2" xfId="1196"/>
    <cellStyle name="Accent1 7" xfId="1197"/>
    <cellStyle name="Accent1 7 2" xfId="1198"/>
    <cellStyle name="Accent1 8" xfId="1199"/>
    <cellStyle name="Accent1 8 2" xfId="1200"/>
    <cellStyle name="Accent1 9" xfId="1201"/>
    <cellStyle name="Accent1 9 2" xfId="1202"/>
    <cellStyle name="Accent2" xfId="20" builtinId="33" customBuiltin="1"/>
    <cellStyle name="Accent2 - 20%" xfId="1203"/>
    <cellStyle name="Accent2 - 40%" xfId="1204"/>
    <cellStyle name="Accent2 - 60%" xfId="1205"/>
    <cellStyle name="Accent2 10" xfId="1206"/>
    <cellStyle name="Accent2 10 2" xfId="1207"/>
    <cellStyle name="Accent2 11" xfId="1208"/>
    <cellStyle name="Accent2 11 2" xfId="1209"/>
    <cellStyle name="Accent2 12" xfId="1210"/>
    <cellStyle name="Accent2 12 2" xfId="1211"/>
    <cellStyle name="Accent2 13" xfId="1212"/>
    <cellStyle name="Accent2 13 2" xfId="1213"/>
    <cellStyle name="Accent2 14" xfId="1214"/>
    <cellStyle name="Accent2 14 2" xfId="1215"/>
    <cellStyle name="Accent2 15" xfId="1216"/>
    <cellStyle name="Accent2 15 2" xfId="1217"/>
    <cellStyle name="Accent2 16" xfId="1218"/>
    <cellStyle name="Accent2 16 2" xfId="1219"/>
    <cellStyle name="Accent2 17" xfId="1220"/>
    <cellStyle name="Accent2 17 2" xfId="1221"/>
    <cellStyle name="Accent2 18" xfId="1222"/>
    <cellStyle name="Accent2 18 2" xfId="1223"/>
    <cellStyle name="Accent2 19" xfId="1224"/>
    <cellStyle name="Accent2 19 2" xfId="1225"/>
    <cellStyle name="Accent2 2" xfId="1226"/>
    <cellStyle name="Accent2 2 2" xfId="1227"/>
    <cellStyle name="Accent2 2 3" xfId="1228"/>
    <cellStyle name="Accent2 20" xfId="1229"/>
    <cellStyle name="Accent2 21" xfId="1230"/>
    <cellStyle name="Accent2 22" xfId="1231"/>
    <cellStyle name="Accent2 23" xfId="1232"/>
    <cellStyle name="Accent2 24" xfId="1233"/>
    <cellStyle name="Accent2 25" xfId="1234"/>
    <cellStyle name="Accent2 26" xfId="1235"/>
    <cellStyle name="Accent2 27" xfId="1236"/>
    <cellStyle name="Accent2 28" xfId="1237"/>
    <cellStyle name="Accent2 29" xfId="1238"/>
    <cellStyle name="Accent2 3" xfId="1239"/>
    <cellStyle name="Accent2 3 2" xfId="1240"/>
    <cellStyle name="Accent2 30" xfId="1241"/>
    <cellStyle name="Accent2 31" xfId="1242"/>
    <cellStyle name="Accent2 32" xfId="1243"/>
    <cellStyle name="Accent2 33" xfId="1244"/>
    <cellStyle name="Accent2 34" xfId="1245"/>
    <cellStyle name="Accent2 35" xfId="1246"/>
    <cellStyle name="Accent2 36" xfId="1247"/>
    <cellStyle name="Accent2 37" xfId="1248"/>
    <cellStyle name="Accent2 38" xfId="1249"/>
    <cellStyle name="Accent2 39" xfId="1250"/>
    <cellStyle name="Accent2 4" xfId="1251"/>
    <cellStyle name="Accent2 4 2" xfId="1252"/>
    <cellStyle name="Accent2 40" xfId="1253"/>
    <cellStyle name="Accent2 41" xfId="1254"/>
    <cellStyle name="Accent2 42" xfId="1255"/>
    <cellStyle name="Accent2 43" xfId="1256"/>
    <cellStyle name="Accent2 44" xfId="1257"/>
    <cellStyle name="Accent2 45" xfId="1258"/>
    <cellStyle name="Accent2 46" xfId="1259"/>
    <cellStyle name="Accent2 47" xfId="1260"/>
    <cellStyle name="Accent2 48" xfId="1261"/>
    <cellStyle name="Accent2 49" xfId="9416"/>
    <cellStyle name="Accent2 5" xfId="1262"/>
    <cellStyle name="Accent2 5 2" xfId="1263"/>
    <cellStyle name="Accent2 50" xfId="9417"/>
    <cellStyle name="Accent2 51" xfId="9418"/>
    <cellStyle name="Accent2 6" xfId="1264"/>
    <cellStyle name="Accent2 6 2" xfId="1265"/>
    <cellStyle name="Accent2 7" xfId="1266"/>
    <cellStyle name="Accent2 7 2" xfId="1267"/>
    <cellStyle name="Accent2 8" xfId="1268"/>
    <cellStyle name="Accent2 8 2" xfId="1269"/>
    <cellStyle name="Accent2 9" xfId="1270"/>
    <cellStyle name="Accent2 9 2" xfId="1271"/>
    <cellStyle name="Accent3" xfId="21" builtinId="37" customBuiltin="1"/>
    <cellStyle name="Accent3 - 20%" xfId="1272"/>
    <cellStyle name="Accent3 - 40%" xfId="1273"/>
    <cellStyle name="Accent3 - 60%" xfId="1274"/>
    <cellStyle name="Accent3 10" xfId="1275"/>
    <cellStyle name="Accent3 10 2" xfId="1276"/>
    <cellStyle name="Accent3 11" xfId="1277"/>
    <cellStyle name="Accent3 11 2" xfId="1278"/>
    <cellStyle name="Accent3 12" xfId="1279"/>
    <cellStyle name="Accent3 12 2" xfId="1280"/>
    <cellStyle name="Accent3 13" xfId="1281"/>
    <cellStyle name="Accent3 13 2" xfId="1282"/>
    <cellStyle name="Accent3 14" xfId="1283"/>
    <cellStyle name="Accent3 14 2" xfId="1284"/>
    <cellStyle name="Accent3 15" xfId="1285"/>
    <cellStyle name="Accent3 15 2" xfId="1286"/>
    <cellStyle name="Accent3 16" xfId="1287"/>
    <cellStyle name="Accent3 16 2" xfId="1288"/>
    <cellStyle name="Accent3 17" xfId="1289"/>
    <cellStyle name="Accent3 17 2" xfId="1290"/>
    <cellStyle name="Accent3 18" xfId="1291"/>
    <cellStyle name="Accent3 18 2" xfId="1292"/>
    <cellStyle name="Accent3 19" xfId="1293"/>
    <cellStyle name="Accent3 19 2" xfId="1294"/>
    <cellStyle name="Accent3 2" xfId="1295"/>
    <cellStyle name="Accent3 2 2" xfId="1296"/>
    <cellStyle name="Accent3 2 3" xfId="1297"/>
    <cellStyle name="Accent3 20" xfId="1298"/>
    <cellStyle name="Accent3 21" xfId="1299"/>
    <cellStyle name="Accent3 22" xfId="1300"/>
    <cellStyle name="Accent3 23" xfId="1301"/>
    <cellStyle name="Accent3 24" xfId="1302"/>
    <cellStyle name="Accent3 25" xfId="1303"/>
    <cellStyle name="Accent3 26" xfId="1304"/>
    <cellStyle name="Accent3 27" xfId="1305"/>
    <cellStyle name="Accent3 28" xfId="1306"/>
    <cellStyle name="Accent3 29" xfId="1307"/>
    <cellStyle name="Accent3 3" xfId="1308"/>
    <cellStyle name="Accent3 3 2" xfId="1309"/>
    <cellStyle name="Accent3 30" xfId="1310"/>
    <cellStyle name="Accent3 31" xfId="1311"/>
    <cellStyle name="Accent3 32" xfId="1312"/>
    <cellStyle name="Accent3 33" xfId="1313"/>
    <cellStyle name="Accent3 34" xfId="1314"/>
    <cellStyle name="Accent3 35" xfId="1315"/>
    <cellStyle name="Accent3 36" xfId="1316"/>
    <cellStyle name="Accent3 37" xfId="1317"/>
    <cellStyle name="Accent3 38" xfId="1318"/>
    <cellStyle name="Accent3 39" xfId="1319"/>
    <cellStyle name="Accent3 4" xfId="1320"/>
    <cellStyle name="Accent3 4 2" xfId="1321"/>
    <cellStyle name="Accent3 40" xfId="1322"/>
    <cellStyle name="Accent3 41" xfId="1323"/>
    <cellStyle name="Accent3 42" xfId="1324"/>
    <cellStyle name="Accent3 43" xfId="1325"/>
    <cellStyle name="Accent3 44" xfId="1326"/>
    <cellStyle name="Accent3 45" xfId="1327"/>
    <cellStyle name="Accent3 46" xfId="1328"/>
    <cellStyle name="Accent3 47" xfId="1329"/>
    <cellStyle name="Accent3 48" xfId="1330"/>
    <cellStyle name="Accent3 49" xfId="9419"/>
    <cellStyle name="Accent3 5" xfId="1331"/>
    <cellStyle name="Accent3 5 2" xfId="1332"/>
    <cellStyle name="Accent3 50" xfId="9420"/>
    <cellStyle name="Accent3 51" xfId="9421"/>
    <cellStyle name="Accent3 6" xfId="1333"/>
    <cellStyle name="Accent3 6 2" xfId="1334"/>
    <cellStyle name="Accent3 7" xfId="1335"/>
    <cellStyle name="Accent3 7 2" xfId="1336"/>
    <cellStyle name="Accent3 8" xfId="1337"/>
    <cellStyle name="Accent3 8 2" xfId="1338"/>
    <cellStyle name="Accent3 9" xfId="1339"/>
    <cellStyle name="Accent3 9 2" xfId="1340"/>
    <cellStyle name="Accent4" xfId="22" builtinId="41" customBuiltin="1"/>
    <cellStyle name="Accent4 - 20%" xfId="1341"/>
    <cellStyle name="Accent4 - 40%" xfId="1342"/>
    <cellStyle name="Accent4 - 60%" xfId="1343"/>
    <cellStyle name="Accent4 10" xfId="1344"/>
    <cellStyle name="Accent4 10 2" xfId="1345"/>
    <cellStyle name="Accent4 11" xfId="1346"/>
    <cellStyle name="Accent4 11 2" xfId="1347"/>
    <cellStyle name="Accent4 12" xfId="1348"/>
    <cellStyle name="Accent4 12 2" xfId="1349"/>
    <cellStyle name="Accent4 13" xfId="1350"/>
    <cellStyle name="Accent4 13 2" xfId="1351"/>
    <cellStyle name="Accent4 14" xfId="1352"/>
    <cellStyle name="Accent4 14 2" xfId="1353"/>
    <cellStyle name="Accent4 15" xfId="1354"/>
    <cellStyle name="Accent4 15 2" xfId="1355"/>
    <cellStyle name="Accent4 16" xfId="1356"/>
    <cellStyle name="Accent4 16 2" xfId="1357"/>
    <cellStyle name="Accent4 17" xfId="1358"/>
    <cellStyle name="Accent4 17 2" xfId="1359"/>
    <cellStyle name="Accent4 18" xfId="1360"/>
    <cellStyle name="Accent4 18 2" xfId="1361"/>
    <cellStyle name="Accent4 19" xfId="1362"/>
    <cellStyle name="Accent4 19 2" xfId="1363"/>
    <cellStyle name="Accent4 2" xfId="1364"/>
    <cellStyle name="Accent4 2 2" xfId="1365"/>
    <cellStyle name="Accent4 2 3" xfId="1366"/>
    <cellStyle name="Accent4 20" xfId="1367"/>
    <cellStyle name="Accent4 21" xfId="1368"/>
    <cellStyle name="Accent4 22" xfId="1369"/>
    <cellStyle name="Accent4 23" xfId="1370"/>
    <cellStyle name="Accent4 24" xfId="1371"/>
    <cellStyle name="Accent4 25" xfId="1372"/>
    <cellStyle name="Accent4 26" xfId="1373"/>
    <cellStyle name="Accent4 27" xfId="1374"/>
    <cellStyle name="Accent4 28" xfId="1375"/>
    <cellStyle name="Accent4 29" xfId="1376"/>
    <cellStyle name="Accent4 3" xfId="1377"/>
    <cellStyle name="Accent4 3 2" xfId="1378"/>
    <cellStyle name="Accent4 30" xfId="1379"/>
    <cellStyle name="Accent4 31" xfId="1380"/>
    <cellStyle name="Accent4 32" xfId="1381"/>
    <cellStyle name="Accent4 33" xfId="1382"/>
    <cellStyle name="Accent4 34" xfId="1383"/>
    <cellStyle name="Accent4 35" xfId="1384"/>
    <cellStyle name="Accent4 36" xfId="1385"/>
    <cellStyle name="Accent4 37" xfId="1386"/>
    <cellStyle name="Accent4 38" xfId="1387"/>
    <cellStyle name="Accent4 39" xfId="1388"/>
    <cellStyle name="Accent4 4" xfId="1389"/>
    <cellStyle name="Accent4 4 2" xfId="1390"/>
    <cellStyle name="Accent4 40" xfId="1391"/>
    <cellStyle name="Accent4 41" xfId="1392"/>
    <cellStyle name="Accent4 42" xfId="1393"/>
    <cellStyle name="Accent4 43" xfId="1394"/>
    <cellStyle name="Accent4 44" xfId="1395"/>
    <cellStyle name="Accent4 45" xfId="1396"/>
    <cellStyle name="Accent4 46" xfId="1397"/>
    <cellStyle name="Accent4 47" xfId="1398"/>
    <cellStyle name="Accent4 48" xfId="1399"/>
    <cellStyle name="Accent4 49" xfId="9422"/>
    <cellStyle name="Accent4 5" xfId="1400"/>
    <cellStyle name="Accent4 5 2" xfId="1401"/>
    <cellStyle name="Accent4 50" xfId="9423"/>
    <cellStyle name="Accent4 51" xfId="9424"/>
    <cellStyle name="Accent4 6" xfId="1402"/>
    <cellStyle name="Accent4 6 2" xfId="1403"/>
    <cellStyle name="Accent4 7" xfId="1404"/>
    <cellStyle name="Accent4 7 2" xfId="1405"/>
    <cellStyle name="Accent4 8" xfId="1406"/>
    <cellStyle name="Accent4 8 2" xfId="1407"/>
    <cellStyle name="Accent4 9" xfId="1408"/>
    <cellStyle name="Accent4 9 2" xfId="1409"/>
    <cellStyle name="Accent5" xfId="23" builtinId="45" customBuiltin="1"/>
    <cellStyle name="Accent5 - 20%" xfId="1410"/>
    <cellStyle name="Accent5 - 40%" xfId="1411"/>
    <cellStyle name="Accent5 - 60%" xfId="1412"/>
    <cellStyle name="Accent5 10" xfId="1413"/>
    <cellStyle name="Accent5 10 2" xfId="1414"/>
    <cellStyle name="Accent5 11" xfId="1415"/>
    <cellStyle name="Accent5 11 2" xfId="1416"/>
    <cellStyle name="Accent5 12" xfId="1417"/>
    <cellStyle name="Accent5 12 2" xfId="1418"/>
    <cellStyle name="Accent5 13" xfId="1419"/>
    <cellStyle name="Accent5 13 2" xfId="1420"/>
    <cellStyle name="Accent5 14" xfId="1421"/>
    <cellStyle name="Accent5 14 2" xfId="1422"/>
    <cellStyle name="Accent5 15" xfId="1423"/>
    <cellStyle name="Accent5 15 2" xfId="1424"/>
    <cellStyle name="Accent5 16" xfId="1425"/>
    <cellStyle name="Accent5 16 2" xfId="1426"/>
    <cellStyle name="Accent5 17" xfId="1427"/>
    <cellStyle name="Accent5 17 2" xfId="1428"/>
    <cellStyle name="Accent5 18" xfId="1429"/>
    <cellStyle name="Accent5 18 2" xfId="1430"/>
    <cellStyle name="Accent5 19" xfId="1431"/>
    <cellStyle name="Accent5 19 2" xfId="1432"/>
    <cellStyle name="Accent5 2" xfId="1433"/>
    <cellStyle name="Accent5 2 2" xfId="1434"/>
    <cellStyle name="Accent5 2 3" xfId="1435"/>
    <cellStyle name="Accent5 20" xfId="1436"/>
    <cellStyle name="Accent5 21" xfId="1437"/>
    <cellStyle name="Accent5 22" xfId="1438"/>
    <cellStyle name="Accent5 23" xfId="1439"/>
    <cellStyle name="Accent5 24" xfId="1440"/>
    <cellStyle name="Accent5 25" xfId="1441"/>
    <cellStyle name="Accent5 26" xfId="1442"/>
    <cellStyle name="Accent5 27" xfId="1443"/>
    <cellStyle name="Accent5 28" xfId="1444"/>
    <cellStyle name="Accent5 29" xfId="1445"/>
    <cellStyle name="Accent5 3" xfId="1446"/>
    <cellStyle name="Accent5 3 2" xfId="1447"/>
    <cellStyle name="Accent5 30" xfId="1448"/>
    <cellStyle name="Accent5 31" xfId="1449"/>
    <cellStyle name="Accent5 32" xfId="1450"/>
    <cellStyle name="Accent5 33" xfId="1451"/>
    <cellStyle name="Accent5 34" xfId="1452"/>
    <cellStyle name="Accent5 35" xfId="1453"/>
    <cellStyle name="Accent5 36" xfId="1454"/>
    <cellStyle name="Accent5 37" xfId="1455"/>
    <cellStyle name="Accent5 38" xfId="1456"/>
    <cellStyle name="Accent5 39" xfId="1457"/>
    <cellStyle name="Accent5 4" xfId="1458"/>
    <cellStyle name="Accent5 4 2" xfId="1459"/>
    <cellStyle name="Accent5 40" xfId="1460"/>
    <cellStyle name="Accent5 41" xfId="1461"/>
    <cellStyle name="Accent5 42" xfId="1462"/>
    <cellStyle name="Accent5 43" xfId="1463"/>
    <cellStyle name="Accent5 44" xfId="1464"/>
    <cellStyle name="Accent5 45" xfId="1465"/>
    <cellStyle name="Accent5 46" xfId="1466"/>
    <cellStyle name="Accent5 47" xfId="1467"/>
    <cellStyle name="Accent5 48" xfId="1468"/>
    <cellStyle name="Accent5 49" xfId="9425"/>
    <cellStyle name="Accent5 5" xfId="1469"/>
    <cellStyle name="Accent5 5 2" xfId="1470"/>
    <cellStyle name="Accent5 50" xfId="9426"/>
    <cellStyle name="Accent5 51" xfId="9427"/>
    <cellStyle name="Accent5 6" xfId="1471"/>
    <cellStyle name="Accent5 6 2" xfId="1472"/>
    <cellStyle name="Accent5 7" xfId="1473"/>
    <cellStyle name="Accent5 7 2" xfId="1474"/>
    <cellStyle name="Accent5 8" xfId="1475"/>
    <cellStyle name="Accent5 8 2" xfId="1476"/>
    <cellStyle name="Accent5 9" xfId="1477"/>
    <cellStyle name="Accent5 9 2" xfId="1478"/>
    <cellStyle name="Accent6" xfId="24" builtinId="49" customBuiltin="1"/>
    <cellStyle name="Accent6 - 20%" xfId="1479"/>
    <cellStyle name="Accent6 - 40%" xfId="1480"/>
    <cellStyle name="Accent6 - 60%" xfId="1481"/>
    <cellStyle name="Accent6 10" xfId="1482"/>
    <cellStyle name="Accent6 10 2" xfId="1483"/>
    <cellStyle name="Accent6 11" xfId="1484"/>
    <cellStyle name="Accent6 11 2" xfId="1485"/>
    <cellStyle name="Accent6 12" xfId="1486"/>
    <cellStyle name="Accent6 12 2" xfId="1487"/>
    <cellStyle name="Accent6 13" xfId="1488"/>
    <cellStyle name="Accent6 13 2" xfId="1489"/>
    <cellStyle name="Accent6 14" xfId="1490"/>
    <cellStyle name="Accent6 14 2" xfId="1491"/>
    <cellStyle name="Accent6 15" xfId="1492"/>
    <cellStyle name="Accent6 15 2" xfId="1493"/>
    <cellStyle name="Accent6 16" xfId="1494"/>
    <cellStyle name="Accent6 16 2" xfId="1495"/>
    <cellStyle name="Accent6 17" xfId="1496"/>
    <cellStyle name="Accent6 17 2" xfId="1497"/>
    <cellStyle name="Accent6 18" xfId="1498"/>
    <cellStyle name="Accent6 18 2" xfId="1499"/>
    <cellStyle name="Accent6 19" xfId="1500"/>
    <cellStyle name="Accent6 19 2" xfId="1501"/>
    <cellStyle name="Accent6 2" xfId="1502"/>
    <cellStyle name="Accent6 2 2" xfId="1503"/>
    <cellStyle name="Accent6 2 3" xfId="1504"/>
    <cellStyle name="Accent6 20" xfId="1505"/>
    <cellStyle name="Accent6 21" xfId="1506"/>
    <cellStyle name="Accent6 22" xfId="1507"/>
    <cellStyle name="Accent6 23" xfId="1508"/>
    <cellStyle name="Accent6 24" xfId="1509"/>
    <cellStyle name="Accent6 25" xfId="1510"/>
    <cellStyle name="Accent6 26" xfId="1511"/>
    <cellStyle name="Accent6 27" xfId="1512"/>
    <cellStyle name="Accent6 28" xfId="1513"/>
    <cellStyle name="Accent6 29" xfId="1514"/>
    <cellStyle name="Accent6 3" xfId="1515"/>
    <cellStyle name="Accent6 3 2" xfId="1516"/>
    <cellStyle name="Accent6 30" xfId="1517"/>
    <cellStyle name="Accent6 31" xfId="1518"/>
    <cellStyle name="Accent6 32" xfId="1519"/>
    <cellStyle name="Accent6 33" xfId="1520"/>
    <cellStyle name="Accent6 34" xfId="1521"/>
    <cellStyle name="Accent6 35" xfId="1522"/>
    <cellStyle name="Accent6 36" xfId="1523"/>
    <cellStyle name="Accent6 37" xfId="1524"/>
    <cellStyle name="Accent6 38" xfId="1525"/>
    <cellStyle name="Accent6 39" xfId="1526"/>
    <cellStyle name="Accent6 4" xfId="1527"/>
    <cellStyle name="Accent6 4 2" xfId="1528"/>
    <cellStyle name="Accent6 40" xfId="1529"/>
    <cellStyle name="Accent6 41" xfId="1530"/>
    <cellStyle name="Accent6 42" xfId="1531"/>
    <cellStyle name="Accent6 43" xfId="1532"/>
    <cellStyle name="Accent6 44" xfId="1533"/>
    <cellStyle name="Accent6 45" xfId="1534"/>
    <cellStyle name="Accent6 46" xfId="1535"/>
    <cellStyle name="Accent6 47" xfId="1536"/>
    <cellStyle name="Accent6 48" xfId="1537"/>
    <cellStyle name="Accent6 49" xfId="9428"/>
    <cellStyle name="Accent6 5" xfId="1538"/>
    <cellStyle name="Accent6 5 2" xfId="1539"/>
    <cellStyle name="Accent6 50" xfId="9429"/>
    <cellStyle name="Accent6 51" xfId="9430"/>
    <cellStyle name="Accent6 6" xfId="1540"/>
    <cellStyle name="Accent6 6 2" xfId="1541"/>
    <cellStyle name="Accent6 7" xfId="1542"/>
    <cellStyle name="Accent6 7 2" xfId="1543"/>
    <cellStyle name="Accent6 8" xfId="1544"/>
    <cellStyle name="Accent6 8 2" xfId="1545"/>
    <cellStyle name="Accent6 9" xfId="1546"/>
    <cellStyle name="Accent6 9 2" xfId="1547"/>
    <cellStyle name="Bad" xfId="25" builtinId="27" customBuiltin="1"/>
    <cellStyle name="Bad 10" xfId="1548"/>
    <cellStyle name="Bad 10 2" xfId="1549"/>
    <cellStyle name="Bad 11" xfId="1550"/>
    <cellStyle name="Bad 11 2" xfId="1551"/>
    <cellStyle name="Bad 12" xfId="1552"/>
    <cellStyle name="Bad 12 2" xfId="1553"/>
    <cellStyle name="Bad 13" xfId="1554"/>
    <cellStyle name="Bad 13 2" xfId="1555"/>
    <cellStyle name="Bad 14" xfId="1556"/>
    <cellStyle name="Bad 14 2" xfId="1557"/>
    <cellStyle name="Bad 15" xfId="1558"/>
    <cellStyle name="Bad 15 2" xfId="1559"/>
    <cellStyle name="Bad 16" xfId="1560"/>
    <cellStyle name="Bad 16 2" xfId="1561"/>
    <cellStyle name="Bad 17" xfId="1562"/>
    <cellStyle name="Bad 17 2" xfId="1563"/>
    <cellStyle name="Bad 18" xfId="1564"/>
    <cellStyle name="Bad 18 2" xfId="1565"/>
    <cellStyle name="Bad 19" xfId="1566"/>
    <cellStyle name="Bad 19 2" xfId="1567"/>
    <cellStyle name="Bad 2" xfId="1568"/>
    <cellStyle name="Bad 2 2" xfId="1569"/>
    <cellStyle name="Bad 2 3" xfId="1570"/>
    <cellStyle name="Bad 20" xfId="1571"/>
    <cellStyle name="Bad 21" xfId="1572"/>
    <cellStyle name="Bad 22" xfId="1573"/>
    <cellStyle name="Bad 23" xfId="1574"/>
    <cellStyle name="Bad 24" xfId="1575"/>
    <cellStyle name="Bad 25" xfId="1576"/>
    <cellStyle name="Bad 26" xfId="1577"/>
    <cellStyle name="Bad 27" xfId="1578"/>
    <cellStyle name="Bad 28" xfId="1579"/>
    <cellStyle name="Bad 29" xfId="1580"/>
    <cellStyle name="Bad 3" xfId="1581"/>
    <cellStyle name="Bad 3 2" xfId="1582"/>
    <cellStyle name="Bad 30" xfId="1583"/>
    <cellStyle name="Bad 31" xfId="1584"/>
    <cellStyle name="Bad 32" xfId="1585"/>
    <cellStyle name="Bad 33" xfId="1586"/>
    <cellStyle name="Bad 34" xfId="1587"/>
    <cellStyle name="Bad 35" xfId="1588"/>
    <cellStyle name="Bad 36" xfId="1589"/>
    <cellStyle name="Bad 37" xfId="9431"/>
    <cellStyle name="Bad 4" xfId="1590"/>
    <cellStyle name="Bad 4 2" xfId="1591"/>
    <cellStyle name="Bad 5" xfId="1592"/>
    <cellStyle name="Bad 5 2" xfId="1593"/>
    <cellStyle name="Bad 6" xfId="1594"/>
    <cellStyle name="Bad 6 2" xfId="1595"/>
    <cellStyle name="Bad 7" xfId="1596"/>
    <cellStyle name="Bad 7 2" xfId="1597"/>
    <cellStyle name="Bad 8" xfId="1598"/>
    <cellStyle name="Bad 8 2" xfId="1599"/>
    <cellStyle name="Bad 9" xfId="1600"/>
    <cellStyle name="Bad 9 2" xfId="1601"/>
    <cellStyle name="Calculation" xfId="26" builtinId="22" customBuiltin="1"/>
    <cellStyle name="Calculation 10" xfId="1602"/>
    <cellStyle name="Calculation 10 2" xfId="1603"/>
    <cellStyle name="Calculation 11" xfId="1604"/>
    <cellStyle name="Calculation 11 2" xfId="1605"/>
    <cellStyle name="Calculation 12" xfId="1606"/>
    <cellStyle name="Calculation 12 2" xfId="1607"/>
    <cellStyle name="Calculation 13" xfId="1608"/>
    <cellStyle name="Calculation 13 2" xfId="1609"/>
    <cellStyle name="Calculation 14" xfId="1610"/>
    <cellStyle name="Calculation 14 2" xfId="1611"/>
    <cellStyle name="Calculation 15" xfId="1612"/>
    <cellStyle name="Calculation 15 2" xfId="1613"/>
    <cellStyle name="Calculation 16" xfId="1614"/>
    <cellStyle name="Calculation 16 2" xfId="1615"/>
    <cellStyle name="Calculation 17" xfId="1616"/>
    <cellStyle name="Calculation 17 2" xfId="1617"/>
    <cellStyle name="Calculation 18" xfId="1618"/>
    <cellStyle name="Calculation 18 2" xfId="1619"/>
    <cellStyle name="Calculation 19" xfId="1620"/>
    <cellStyle name="Calculation 19 2" xfId="1621"/>
    <cellStyle name="Calculation 2" xfId="1622"/>
    <cellStyle name="Calculation 2 2" xfId="1623"/>
    <cellStyle name="Calculation 2 3" xfId="1624"/>
    <cellStyle name="Calculation 20" xfId="1625"/>
    <cellStyle name="Calculation 21" xfId="1626"/>
    <cellStyle name="Calculation 22" xfId="1627"/>
    <cellStyle name="Calculation 23" xfId="1628"/>
    <cellStyle name="Calculation 24" xfId="1629"/>
    <cellStyle name="Calculation 25" xfId="1630"/>
    <cellStyle name="Calculation 26" xfId="1631"/>
    <cellStyle name="Calculation 27" xfId="1632"/>
    <cellStyle name="Calculation 28" xfId="1633"/>
    <cellStyle name="Calculation 29" xfId="1634"/>
    <cellStyle name="Calculation 3" xfId="1635"/>
    <cellStyle name="Calculation 3 2" xfId="1636"/>
    <cellStyle name="Calculation 30" xfId="1637"/>
    <cellStyle name="Calculation 31" xfId="1638"/>
    <cellStyle name="Calculation 32" xfId="1639"/>
    <cellStyle name="Calculation 33" xfId="1640"/>
    <cellStyle name="Calculation 34" xfId="1641"/>
    <cellStyle name="Calculation 35" xfId="1642"/>
    <cellStyle name="Calculation 36" xfId="1643"/>
    <cellStyle name="Calculation 37" xfId="9432"/>
    <cellStyle name="Calculation 4" xfId="1644"/>
    <cellStyle name="Calculation 4 2" xfId="1645"/>
    <cellStyle name="Calculation 5" xfId="1646"/>
    <cellStyle name="Calculation 5 2" xfId="1647"/>
    <cellStyle name="Calculation 6" xfId="1648"/>
    <cellStyle name="Calculation 6 2" xfId="1649"/>
    <cellStyle name="Calculation 7" xfId="1650"/>
    <cellStyle name="Calculation 7 2" xfId="1651"/>
    <cellStyle name="Calculation 8" xfId="1652"/>
    <cellStyle name="Calculation 8 2" xfId="1653"/>
    <cellStyle name="Calculation 9" xfId="1654"/>
    <cellStyle name="Calculation 9 2" xfId="1655"/>
    <cellStyle name="Check Cell" xfId="27" builtinId="23" customBuiltin="1"/>
    <cellStyle name="Check Cell 10" xfId="1656"/>
    <cellStyle name="Check Cell 10 2" xfId="1657"/>
    <cellStyle name="Check Cell 11" xfId="1658"/>
    <cellStyle name="Check Cell 11 2" xfId="1659"/>
    <cellStyle name="Check Cell 12" xfId="1660"/>
    <cellStyle name="Check Cell 12 2" xfId="1661"/>
    <cellStyle name="Check Cell 13" xfId="1662"/>
    <cellStyle name="Check Cell 13 2" xfId="1663"/>
    <cellStyle name="Check Cell 14" xfId="1664"/>
    <cellStyle name="Check Cell 14 2" xfId="1665"/>
    <cellStyle name="Check Cell 15" xfId="1666"/>
    <cellStyle name="Check Cell 15 2" xfId="1667"/>
    <cellStyle name="Check Cell 16" xfId="1668"/>
    <cellStyle name="Check Cell 16 2" xfId="1669"/>
    <cellStyle name="Check Cell 17" xfId="1670"/>
    <cellStyle name="Check Cell 17 2" xfId="1671"/>
    <cellStyle name="Check Cell 18" xfId="1672"/>
    <cellStyle name="Check Cell 18 2" xfId="1673"/>
    <cellStyle name="Check Cell 19" xfId="1674"/>
    <cellStyle name="Check Cell 19 2" xfId="1675"/>
    <cellStyle name="Check Cell 2" xfId="1676"/>
    <cellStyle name="Check Cell 2 2" xfId="1677"/>
    <cellStyle name="Check Cell 2 3" xfId="1678"/>
    <cellStyle name="Check Cell 20" xfId="1679"/>
    <cellStyle name="Check Cell 21" xfId="1680"/>
    <cellStyle name="Check Cell 22" xfId="1681"/>
    <cellStyle name="Check Cell 23" xfId="1682"/>
    <cellStyle name="Check Cell 24" xfId="1683"/>
    <cellStyle name="Check Cell 25" xfId="1684"/>
    <cellStyle name="Check Cell 26" xfId="1685"/>
    <cellStyle name="Check Cell 27" xfId="1686"/>
    <cellStyle name="Check Cell 28" xfId="1687"/>
    <cellStyle name="Check Cell 29" xfId="1688"/>
    <cellStyle name="Check Cell 3" xfId="1689"/>
    <cellStyle name="Check Cell 3 2" xfId="1690"/>
    <cellStyle name="Check Cell 30" xfId="1691"/>
    <cellStyle name="Check Cell 31" xfId="1692"/>
    <cellStyle name="Check Cell 32" xfId="1693"/>
    <cellStyle name="Check Cell 33" xfId="1694"/>
    <cellStyle name="Check Cell 34" xfId="1695"/>
    <cellStyle name="Check Cell 35" xfId="1696"/>
    <cellStyle name="Check Cell 36" xfId="1697"/>
    <cellStyle name="Check Cell 37" xfId="9433"/>
    <cellStyle name="Check Cell 4" xfId="1698"/>
    <cellStyle name="Check Cell 4 2" xfId="1699"/>
    <cellStyle name="Check Cell 5" xfId="1700"/>
    <cellStyle name="Check Cell 5 2" xfId="1701"/>
    <cellStyle name="Check Cell 6" xfId="1702"/>
    <cellStyle name="Check Cell 6 2" xfId="1703"/>
    <cellStyle name="Check Cell 7" xfId="1704"/>
    <cellStyle name="Check Cell 7 2" xfId="1705"/>
    <cellStyle name="Check Cell 8" xfId="1706"/>
    <cellStyle name="Check Cell 8 2" xfId="1707"/>
    <cellStyle name="Check Cell 9" xfId="1708"/>
    <cellStyle name="Check Cell 9 2" xfId="1709"/>
    <cellStyle name="Comma" xfId="28" builtinId="3"/>
    <cellStyle name="Comma [0] 10" xfId="9434"/>
    <cellStyle name="Comma [0] 2" xfId="1710"/>
    <cellStyle name="Comma [0] 2 2" xfId="1711"/>
    <cellStyle name="Comma [0] 2 3" xfId="3956"/>
    <cellStyle name="Comma [0] 2 4" xfId="9384"/>
    <cellStyle name="Comma [0] 20" xfId="9435"/>
    <cellStyle name="Comma [0] 3" xfId="1712"/>
    <cellStyle name="Comma [0] 3 2" xfId="1713"/>
    <cellStyle name="Comma [0] 3 2 2" xfId="1714"/>
    <cellStyle name="Comma [0] 3 3" xfId="1715"/>
    <cellStyle name="Comma [0] 4" xfId="1716"/>
    <cellStyle name="Comma [0] 4 2" xfId="1717"/>
    <cellStyle name="Comma [0] 4 2 2" xfId="1718"/>
    <cellStyle name="Comma [0] 4 2 2 2" xfId="9436"/>
    <cellStyle name="Comma [0] 4 3" xfId="1719"/>
    <cellStyle name="Comma [0] 5" xfId="3957"/>
    <cellStyle name="Comma [0] 6" xfId="3958"/>
    <cellStyle name="Comma [0] 7" xfId="9385"/>
    <cellStyle name="Comma [0] 7 2" xfId="9386"/>
    <cellStyle name="Comma [0] 8" xfId="9437"/>
    <cellStyle name="Comma [1]" xfId="1720"/>
    <cellStyle name="Comma [1] 2" xfId="1721"/>
    <cellStyle name="Comma [1] 2 2" xfId="1722"/>
    <cellStyle name="Comma [1] 2 2 2" xfId="1723"/>
    <cellStyle name="Comma [1] 2 3" xfId="1724"/>
    <cellStyle name="Comma [1] 3" xfId="1725"/>
    <cellStyle name="Comma [3]" xfId="1726"/>
    <cellStyle name="Comma [3] 2" xfId="1727"/>
    <cellStyle name="Comma [3] 2 2" xfId="1728"/>
    <cellStyle name="Comma [3] 2 2 2" xfId="1729"/>
    <cellStyle name="Comma [3] 2 3" xfId="1730"/>
    <cellStyle name="Comma [3] 3" xfId="1731"/>
    <cellStyle name="Comma 10" xfId="1732"/>
    <cellStyle name="Comma 10 11" xfId="9475"/>
    <cellStyle name="Comma 10 2" xfId="1733"/>
    <cellStyle name="Comma 10 2 2" xfId="1734"/>
    <cellStyle name="Comma 10 2 2 2" xfId="1735"/>
    <cellStyle name="Comma 10 2 3" xfId="1736"/>
    <cellStyle name="Comma 10 2 4" xfId="1737"/>
    <cellStyle name="Comma 10 3" xfId="1738"/>
    <cellStyle name="Comma 10 3 2" xfId="1739"/>
    <cellStyle name="Comma 10 4" xfId="1740"/>
    <cellStyle name="Comma 10 4 2" xfId="1741"/>
    <cellStyle name="Comma 10 5" xfId="1742"/>
    <cellStyle name="Comma 10 6" xfId="1743"/>
    <cellStyle name="Comma 100" xfId="3959"/>
    <cellStyle name="Comma 100 2" xfId="3960"/>
    <cellStyle name="Comma 100 3" xfId="3961"/>
    <cellStyle name="Comma 101" xfId="3962"/>
    <cellStyle name="Comma 101 2" xfId="3963"/>
    <cellStyle name="Comma 101 3" xfId="3964"/>
    <cellStyle name="Comma 102" xfId="3965"/>
    <cellStyle name="Comma 102 2" xfId="3966"/>
    <cellStyle name="Comma 102 3" xfId="3967"/>
    <cellStyle name="Comma 103" xfId="3968"/>
    <cellStyle name="Comma 103 2" xfId="3969"/>
    <cellStyle name="Comma 103 3" xfId="3970"/>
    <cellStyle name="Comma 104" xfId="3971"/>
    <cellStyle name="Comma 104 2" xfId="3972"/>
    <cellStyle name="Comma 104 3" xfId="3973"/>
    <cellStyle name="Comma 105" xfId="3974"/>
    <cellStyle name="Comma 105 2" xfId="3975"/>
    <cellStyle name="Comma 105 3" xfId="3976"/>
    <cellStyle name="Comma 106" xfId="3977"/>
    <cellStyle name="Comma 106 2" xfId="3978"/>
    <cellStyle name="Comma 106 3" xfId="3979"/>
    <cellStyle name="Comma 107" xfId="3980"/>
    <cellStyle name="Comma 107 2" xfId="3981"/>
    <cellStyle name="Comma 107 3" xfId="3982"/>
    <cellStyle name="Comma 108" xfId="3983"/>
    <cellStyle name="Comma 108 2" xfId="3984"/>
    <cellStyle name="Comma 108 3" xfId="3985"/>
    <cellStyle name="Comma 109" xfId="3986"/>
    <cellStyle name="Comma 109 2" xfId="3987"/>
    <cellStyle name="Comma 109 3" xfId="3988"/>
    <cellStyle name="Comma 11" xfId="1744"/>
    <cellStyle name="Comma 11 2" xfId="1745"/>
    <cellStyle name="Comma 11 2 2" xfId="1746"/>
    <cellStyle name="Comma 11 3" xfId="1747"/>
    <cellStyle name="Comma 11 4" xfId="1748"/>
    <cellStyle name="Comma 110" xfId="3989"/>
    <cellStyle name="Comma 110 2" xfId="3990"/>
    <cellStyle name="Comma 110 3" xfId="3991"/>
    <cellStyle name="Comma 111" xfId="3992"/>
    <cellStyle name="Comma 111 2" xfId="3993"/>
    <cellStyle name="Comma 111 3" xfId="3994"/>
    <cellStyle name="Comma 112" xfId="3995"/>
    <cellStyle name="Comma 112 2" xfId="3996"/>
    <cellStyle name="Comma 112 3" xfId="3997"/>
    <cellStyle name="Comma 113" xfId="3998"/>
    <cellStyle name="Comma 113 2" xfId="3999"/>
    <cellStyle name="Comma 113 3" xfId="4000"/>
    <cellStyle name="Comma 114" xfId="4001"/>
    <cellStyle name="Comma 114 2" xfId="4002"/>
    <cellStyle name="Comma 114 3" xfId="4003"/>
    <cellStyle name="Comma 115" xfId="4004"/>
    <cellStyle name="Comma 115 2" xfId="4005"/>
    <cellStyle name="Comma 115 3" xfId="4006"/>
    <cellStyle name="Comma 116" xfId="4007"/>
    <cellStyle name="Comma 116 2" xfId="4008"/>
    <cellStyle name="Comma 116 3" xfId="4009"/>
    <cellStyle name="Comma 117" xfId="4010"/>
    <cellStyle name="Comma 117 2" xfId="4011"/>
    <cellStyle name="Comma 117 3" xfId="4012"/>
    <cellStyle name="Comma 118" xfId="4013"/>
    <cellStyle name="Comma 118 2" xfId="4014"/>
    <cellStyle name="Comma 118 3" xfId="4015"/>
    <cellStyle name="Comma 119" xfId="4016"/>
    <cellStyle name="Comma 12" xfId="1749"/>
    <cellStyle name="Comma 12 2" xfId="1750"/>
    <cellStyle name="Comma 12 3" xfId="1751"/>
    <cellStyle name="Comma 12 3 2" xfId="1752"/>
    <cellStyle name="Comma 12 4" xfId="1753"/>
    <cellStyle name="Comma 12 4 2" xfId="1754"/>
    <cellStyle name="Comma 12 5" xfId="1755"/>
    <cellStyle name="Comma 12 6" xfId="1756"/>
    <cellStyle name="Comma 120" xfId="4017"/>
    <cellStyle name="Comma 121" xfId="4018"/>
    <cellStyle name="Comma 122" xfId="4019"/>
    <cellStyle name="Comma 123" xfId="4020"/>
    <cellStyle name="Comma 124" xfId="4021"/>
    <cellStyle name="Comma 125" xfId="4022"/>
    <cellStyle name="Comma 126" xfId="4023"/>
    <cellStyle name="Comma 127" xfId="4024"/>
    <cellStyle name="Comma 128" xfId="4025"/>
    <cellStyle name="Comma 129" xfId="4026"/>
    <cellStyle name="Comma 13" xfId="63"/>
    <cellStyle name="Comma 13 2" xfId="1757"/>
    <cellStyle name="Comma 13 3" xfId="1758"/>
    <cellStyle name="Comma 13 3 2" xfId="1759"/>
    <cellStyle name="Comma 13 4" xfId="1760"/>
    <cellStyle name="Comma 13 4 2" xfId="1761"/>
    <cellStyle name="Comma 13 5" xfId="1762"/>
    <cellStyle name="Comma 130" xfId="4027"/>
    <cellStyle name="Comma 131" xfId="4028"/>
    <cellStyle name="Comma 132" xfId="4029"/>
    <cellStyle name="Comma 133" xfId="4030"/>
    <cellStyle name="Comma 134" xfId="4031"/>
    <cellStyle name="Comma 135" xfId="4032"/>
    <cellStyle name="Comma 136" xfId="4033"/>
    <cellStyle name="Comma 137" xfId="4034"/>
    <cellStyle name="Comma 138" xfId="4035"/>
    <cellStyle name="Comma 139" xfId="4036"/>
    <cellStyle name="Comma 14" xfId="1763"/>
    <cellStyle name="Comma 14 2" xfId="1764"/>
    <cellStyle name="Comma 14 2 2" xfId="1765"/>
    <cellStyle name="Comma 14 3" xfId="1766"/>
    <cellStyle name="Comma 14 4" xfId="1767"/>
    <cellStyle name="Comma 140" xfId="4037"/>
    <cellStyle name="Comma 140 2" xfId="4038"/>
    <cellStyle name="Comma 141" xfId="4039"/>
    <cellStyle name="Comma 142" xfId="4040"/>
    <cellStyle name="Comma 143" xfId="4041"/>
    <cellStyle name="Comma 144" xfId="4042"/>
    <cellStyle name="Comma 145" xfId="4043"/>
    <cellStyle name="Comma 146" xfId="4044"/>
    <cellStyle name="Comma 147" xfId="4045"/>
    <cellStyle name="Comma 148" xfId="4046"/>
    <cellStyle name="Comma 149" xfId="4047"/>
    <cellStyle name="Comma 15" xfId="1768"/>
    <cellStyle name="Comma 15 2" xfId="1769"/>
    <cellStyle name="Comma 15 3" xfId="1770"/>
    <cellStyle name="Comma 15 3 2" xfId="1771"/>
    <cellStyle name="Comma 15 4" xfId="1772"/>
    <cellStyle name="Comma 15 5" xfId="1773"/>
    <cellStyle name="Comma 150" xfId="9387"/>
    <cellStyle name="Comma 151" xfId="9388"/>
    <cellStyle name="Comma 152" xfId="9438"/>
    <cellStyle name="Comma 153" xfId="9439"/>
    <cellStyle name="Comma 154" xfId="9440"/>
    <cellStyle name="Comma 155" xfId="9441"/>
    <cellStyle name="Comma 158" xfId="9442"/>
    <cellStyle name="Comma 16" xfId="1774"/>
    <cellStyle name="Comma 16 2" xfId="1775"/>
    <cellStyle name="Comma 16 2 2" xfId="1776"/>
    <cellStyle name="Comma 16 3" xfId="1777"/>
    <cellStyle name="Comma 16 4" xfId="1778"/>
    <cellStyle name="Comma 165" xfId="9443"/>
    <cellStyle name="Comma 17" xfId="1779"/>
    <cellStyle name="Comma 17 2" xfId="1780"/>
    <cellStyle name="Comma 17 2 2" xfId="1781"/>
    <cellStyle name="Comma 17 3" xfId="1782"/>
    <cellStyle name="Comma 17 3 2" xfId="1783"/>
    <cellStyle name="Comma 17 4" xfId="1784"/>
    <cellStyle name="Comma 172 3" xfId="9444"/>
    <cellStyle name="Comma 18" xfId="1785"/>
    <cellStyle name="Comma 18 2" xfId="1786"/>
    <cellStyle name="Comma 18 2 2" xfId="1787"/>
    <cellStyle name="Comma 18 3" xfId="1788"/>
    <cellStyle name="Comma 19" xfId="1789"/>
    <cellStyle name="Comma 19 2" xfId="1790"/>
    <cellStyle name="Comma 19 2 2" xfId="1791"/>
    <cellStyle name="Comma 19 3" xfId="1792"/>
    <cellStyle name="Comma 2" xfId="29"/>
    <cellStyle name="Comma 2 10" xfId="1793"/>
    <cellStyle name="Comma 2 10 2" xfId="1794"/>
    <cellStyle name="Comma 2 11" xfId="1795"/>
    <cellStyle name="Comma 2 11 2" xfId="1796"/>
    <cellStyle name="Comma 2 12" xfId="1797"/>
    <cellStyle name="Comma 2 12 2" xfId="1798"/>
    <cellStyle name="Comma 2 13" xfId="1799"/>
    <cellStyle name="Comma 2 13 2" xfId="1800"/>
    <cellStyle name="Comma 2 14" xfId="1801"/>
    <cellStyle name="Comma 2 14 2" xfId="1802"/>
    <cellStyle name="Comma 2 15" xfId="1803"/>
    <cellStyle name="Comma 2 15 2" xfId="1804"/>
    <cellStyle name="Comma 2 16" xfId="1805"/>
    <cellStyle name="Comma 2 16 2" xfId="1806"/>
    <cellStyle name="Comma 2 17" xfId="1807"/>
    <cellStyle name="Comma 2 17 2" xfId="1808"/>
    <cellStyle name="Comma 2 18" xfId="1809"/>
    <cellStyle name="Comma 2 18 2" xfId="1810"/>
    <cellStyle name="Comma 2 19" xfId="1811"/>
    <cellStyle name="Comma 2 19 2" xfId="1812"/>
    <cellStyle name="Comma 2 2" xfId="1813"/>
    <cellStyle name="Comma 2 2 2" xfId="1814"/>
    <cellStyle name="Comma 2 2 2 2" xfId="4048"/>
    <cellStyle name="Comma 2 2 2 3" xfId="4049"/>
    <cellStyle name="Comma 2 2 3" xfId="4050"/>
    <cellStyle name="Comma 2 2 4" xfId="4051"/>
    <cellStyle name="Comma 2 2 5" xfId="9381"/>
    <cellStyle name="Comma 2 20" xfId="1815"/>
    <cellStyle name="Comma 2 20 2" xfId="1816"/>
    <cellStyle name="Comma 2 21" xfId="1817"/>
    <cellStyle name="Comma 2 21 2" xfId="1818"/>
    <cellStyle name="Comma 2 22" xfId="1819"/>
    <cellStyle name="Comma 2 22 2" xfId="1820"/>
    <cellStyle name="Comma 2 23" xfId="1821"/>
    <cellStyle name="Comma 2 23 2" xfId="1822"/>
    <cellStyle name="Comma 2 24" xfId="1823"/>
    <cellStyle name="Comma 2 24 2" xfId="1824"/>
    <cellStyle name="Comma 2 25" xfId="1825"/>
    <cellStyle name="Comma 2 25 2" xfId="1826"/>
    <cellStyle name="Comma 2 26" xfId="1827"/>
    <cellStyle name="Comma 2 26 2" xfId="1828"/>
    <cellStyle name="Comma 2 27" xfId="1829"/>
    <cellStyle name="Comma 2 27 2" xfId="1830"/>
    <cellStyle name="Comma 2 28" xfId="1831"/>
    <cellStyle name="Comma 2 28 2" xfId="1832"/>
    <cellStyle name="Comma 2 29" xfId="1833"/>
    <cellStyle name="Comma 2 29 2" xfId="1834"/>
    <cellStyle name="Comma 2 3" xfId="1835"/>
    <cellStyle name="Comma 2 3 2" xfId="1836"/>
    <cellStyle name="Comma 2 3 2 2" xfId="4052"/>
    <cellStyle name="Comma 2 3 2 3" xfId="4053"/>
    <cellStyle name="Comma 2 3 3" xfId="4054"/>
    <cellStyle name="Comma 2 3 4" xfId="4055"/>
    <cellStyle name="Comma 2 30" xfId="1837"/>
    <cellStyle name="Comma 2 30 2" xfId="1838"/>
    <cellStyle name="Comma 2 31" xfId="1839"/>
    <cellStyle name="Comma 2 31 2" xfId="1840"/>
    <cellStyle name="Comma 2 32" xfId="1841"/>
    <cellStyle name="Comma 2 32 2" xfId="1842"/>
    <cellStyle name="Comma 2 33" xfId="1843"/>
    <cellStyle name="Comma 2 33 2" xfId="1844"/>
    <cellStyle name="Comma 2 34" xfId="1845"/>
    <cellStyle name="Comma 2 34 2" xfId="1846"/>
    <cellStyle name="Comma 2 35" xfId="1847"/>
    <cellStyle name="Comma 2 35 2" xfId="1848"/>
    <cellStyle name="Comma 2 36" xfId="1849"/>
    <cellStyle name="Comma 2 36 2" xfId="1850"/>
    <cellStyle name="Comma 2 37" xfId="1851"/>
    <cellStyle name="Comma 2 37 2" xfId="1852"/>
    <cellStyle name="Comma 2 38" xfId="1853"/>
    <cellStyle name="Comma 2 38 2" xfId="1854"/>
    <cellStyle name="Comma 2 39" xfId="1855"/>
    <cellStyle name="Comma 2 39 2" xfId="1856"/>
    <cellStyle name="Comma 2 4" xfId="1857"/>
    <cellStyle name="Comma 2 4 2" xfId="1858"/>
    <cellStyle name="Comma 2 4 2 2" xfId="4056"/>
    <cellStyle name="Comma 2 4 2 3" xfId="4057"/>
    <cellStyle name="Comma 2 4 3" xfId="4058"/>
    <cellStyle name="Comma 2 4 4" xfId="4059"/>
    <cellStyle name="Comma 2 40" xfId="1859"/>
    <cellStyle name="Comma 2 40 2" xfId="1860"/>
    <cellStyle name="Comma 2 41" xfId="1861"/>
    <cellStyle name="Comma 2 41 2" xfId="1862"/>
    <cellStyle name="Comma 2 42" xfId="1863"/>
    <cellStyle name="Comma 2 42 2" xfId="1864"/>
    <cellStyle name="Comma 2 43" xfId="1865"/>
    <cellStyle name="Comma 2 43 2" xfId="1866"/>
    <cellStyle name="Comma 2 44" xfId="1867"/>
    <cellStyle name="Comma 2 44 2" xfId="1868"/>
    <cellStyle name="Comma 2 45" xfId="1869"/>
    <cellStyle name="Comma 2 45 2" xfId="1870"/>
    <cellStyle name="Comma 2 46" xfId="1871"/>
    <cellStyle name="Comma 2 46 2" xfId="1872"/>
    <cellStyle name="Comma 2 47" xfId="1873"/>
    <cellStyle name="Comma 2 47 2" xfId="1874"/>
    <cellStyle name="Comma 2 48" xfId="1875"/>
    <cellStyle name="Comma 2 48 2" xfId="1876"/>
    <cellStyle name="Comma 2 49" xfId="1877"/>
    <cellStyle name="Comma 2 49 2" xfId="1878"/>
    <cellStyle name="Comma 2 5" xfId="1879"/>
    <cellStyle name="Comma 2 5 2" xfId="1880"/>
    <cellStyle name="Comma 2 5 2 2" xfId="4060"/>
    <cellStyle name="Comma 2 5 2 3" xfId="4061"/>
    <cellStyle name="Comma 2 5 3" xfId="4062"/>
    <cellStyle name="Comma 2 5 4" xfId="4063"/>
    <cellStyle name="Comma 2 50" xfId="1881"/>
    <cellStyle name="Comma 2 50 2" xfId="1882"/>
    <cellStyle name="Comma 2 51" xfId="1883"/>
    <cellStyle name="Comma 2 51 2" xfId="1884"/>
    <cellStyle name="Comma 2 52" xfId="1885"/>
    <cellStyle name="Comma 2 52 2" xfId="1886"/>
    <cellStyle name="Comma 2 53" xfId="1887"/>
    <cellStyle name="Comma 2 53 2" xfId="1888"/>
    <cellStyle name="Comma 2 54" xfId="1889"/>
    <cellStyle name="Comma 2 54 2" xfId="1890"/>
    <cellStyle name="Comma 2 55" xfId="1891"/>
    <cellStyle name="Comma 2 55 2" xfId="1892"/>
    <cellStyle name="Comma 2 56" xfId="1893"/>
    <cellStyle name="Comma 2 56 2" xfId="1894"/>
    <cellStyle name="Comma 2 57" xfId="1895"/>
    <cellStyle name="Comma 2 57 2" xfId="1896"/>
    <cellStyle name="Comma 2 58" xfId="1897"/>
    <cellStyle name="Comma 2 58 2" xfId="1898"/>
    <cellStyle name="Comma 2 59" xfId="1899"/>
    <cellStyle name="Comma 2 59 2" xfId="1900"/>
    <cellStyle name="Comma 2 6" xfId="1901"/>
    <cellStyle name="Comma 2 6 2" xfId="1902"/>
    <cellStyle name="Comma 2 6 3" xfId="4064"/>
    <cellStyle name="Comma 2 60" xfId="1903"/>
    <cellStyle name="Comma 2 60 2" xfId="1904"/>
    <cellStyle name="Comma 2 61" xfId="1905"/>
    <cellStyle name="Comma 2 61 2" xfId="1906"/>
    <cellStyle name="Comma 2 62" xfId="1907"/>
    <cellStyle name="Comma 2 62 2" xfId="1908"/>
    <cellStyle name="Comma 2 63" xfId="1909"/>
    <cellStyle name="Comma 2 63 2" xfId="1910"/>
    <cellStyle name="Comma 2 64" xfId="1911"/>
    <cellStyle name="Comma 2 64 2" xfId="1912"/>
    <cellStyle name="Comma 2 65" xfId="1913"/>
    <cellStyle name="Comma 2 65 2" xfId="1914"/>
    <cellStyle name="Comma 2 66" xfId="1915"/>
    <cellStyle name="Comma 2 66 2" xfId="1916"/>
    <cellStyle name="Comma 2 67" xfId="1917"/>
    <cellStyle name="Comma 2 67 2" xfId="1918"/>
    <cellStyle name="Comma 2 68" xfId="1919"/>
    <cellStyle name="Comma 2 68 2" xfId="1920"/>
    <cellStyle name="Comma 2 69" xfId="1921"/>
    <cellStyle name="Comma 2 69 2" xfId="1922"/>
    <cellStyle name="Comma 2 7" xfId="1923"/>
    <cellStyle name="Comma 2 7 2" xfId="1924"/>
    <cellStyle name="Comma 2 70" xfId="1925"/>
    <cellStyle name="Comma 2 70 2" xfId="1926"/>
    <cellStyle name="Comma 2 71" xfId="1927"/>
    <cellStyle name="Comma 2 71 2" xfId="1928"/>
    <cellStyle name="Comma 2 72" xfId="1929"/>
    <cellStyle name="Comma 2 72 2" xfId="1930"/>
    <cellStyle name="Comma 2 73" xfId="1931"/>
    <cellStyle name="Comma 2 73 2" xfId="1932"/>
    <cellStyle name="Comma 2 74" xfId="1933"/>
    <cellStyle name="Comma 2 74 2" xfId="1934"/>
    <cellStyle name="Comma 2 75" xfId="1935"/>
    <cellStyle name="Comma 2 75 2" xfId="1936"/>
    <cellStyle name="Comma 2 76" xfId="1937"/>
    <cellStyle name="Comma 2 76 2" xfId="1938"/>
    <cellStyle name="Comma 2 77" xfId="1939"/>
    <cellStyle name="Comma 2 77 2" xfId="1940"/>
    <cellStyle name="Comma 2 78" xfId="1941"/>
    <cellStyle name="Comma 2 78 2" xfId="1942"/>
    <cellStyle name="Comma 2 79" xfId="1943"/>
    <cellStyle name="Comma 2 79 2" xfId="1944"/>
    <cellStyle name="Comma 2 8" xfId="1945"/>
    <cellStyle name="Comma 2 8 2" xfId="1946"/>
    <cellStyle name="Comma 2 80" xfId="1947"/>
    <cellStyle name="Comma 2 80 2" xfId="1948"/>
    <cellStyle name="Comma 2 81" xfId="1949"/>
    <cellStyle name="Comma 2 81 2" xfId="1950"/>
    <cellStyle name="Comma 2 82" xfId="1951"/>
    <cellStyle name="Comma 2 82 2" xfId="1952"/>
    <cellStyle name="Comma 2 83" xfId="1953"/>
    <cellStyle name="Comma 2 83 2" xfId="1954"/>
    <cellStyle name="Comma 2 84" xfId="1955"/>
    <cellStyle name="Comma 2 84 2" xfId="1956"/>
    <cellStyle name="Comma 2 85" xfId="1957"/>
    <cellStyle name="Comma 2 85 2" xfId="1958"/>
    <cellStyle name="Comma 2 86" xfId="1959"/>
    <cellStyle name="Comma 2 86 2" xfId="1960"/>
    <cellStyle name="Comma 2 87" xfId="1961"/>
    <cellStyle name="Comma 2 87 2" xfId="1962"/>
    <cellStyle name="Comma 2 88" xfId="1963"/>
    <cellStyle name="Comma 2 88 2" xfId="1964"/>
    <cellStyle name="Comma 2 89" xfId="1965"/>
    <cellStyle name="Comma 2 89 2" xfId="1966"/>
    <cellStyle name="Comma 2 9" xfId="1967"/>
    <cellStyle name="Comma 2 9 2" xfId="1968"/>
    <cellStyle name="Comma 2 90" xfId="1969"/>
    <cellStyle name="Comma 2 90 2" xfId="1970"/>
    <cellStyle name="Comma 2 91" xfId="1971"/>
    <cellStyle name="Comma 2 91 2" xfId="1972"/>
    <cellStyle name="Comma 2 92" xfId="1973"/>
    <cellStyle name="Comma 2 92 2" xfId="1974"/>
    <cellStyle name="Comma 2 93" xfId="1975"/>
    <cellStyle name="Comma 2 93 2" xfId="1976"/>
    <cellStyle name="Comma 2 94" xfId="1977"/>
    <cellStyle name="Comma 2 94 2" xfId="1978"/>
    <cellStyle name="Comma 2 95" xfId="1979"/>
    <cellStyle name="Comma 2 95 2" xfId="1980"/>
    <cellStyle name="Comma 2 96" xfId="1981"/>
    <cellStyle name="Comma 2 96 2" xfId="1982"/>
    <cellStyle name="Comma 2 97" xfId="1983"/>
    <cellStyle name="Comma 2 97 2" xfId="1984"/>
    <cellStyle name="Comma 2 98" xfId="1985"/>
    <cellStyle name="Comma 2 98 2" xfId="1986"/>
    <cellStyle name="Comma 2 99" xfId="1987"/>
    <cellStyle name="Comma 20" xfId="1988"/>
    <cellStyle name="Comma 20 2" xfId="1989"/>
    <cellStyle name="Comma 20 2 2" xfId="1990"/>
    <cellStyle name="Comma 20 3" xfId="1991"/>
    <cellStyle name="Comma 21" xfId="1992"/>
    <cellStyle name="Comma 21 2" xfId="1993"/>
    <cellStyle name="Comma 21 2 2" xfId="1994"/>
    <cellStyle name="Comma 21 3" xfId="1995"/>
    <cellStyle name="Comma 22" xfId="1996"/>
    <cellStyle name="Comma 22 2" xfId="1997"/>
    <cellStyle name="Comma 22 2 2" xfId="1998"/>
    <cellStyle name="Comma 22 3" xfId="1999"/>
    <cellStyle name="Comma 23" xfId="2000"/>
    <cellStyle name="Comma 23 2" xfId="2001"/>
    <cellStyle name="Comma 23 3" xfId="4065"/>
    <cellStyle name="Comma 24" xfId="2002"/>
    <cellStyle name="Comma 24 2" xfId="2003"/>
    <cellStyle name="Comma 24 3" xfId="4066"/>
    <cellStyle name="Comma 25" xfId="4067"/>
    <cellStyle name="Comma 25 2" xfId="4068"/>
    <cellStyle name="Comma 25 3" xfId="4069"/>
    <cellStyle name="Comma 26" xfId="4070"/>
    <cellStyle name="Comma 26 2" xfId="4071"/>
    <cellStyle name="Comma 26 3" xfId="4072"/>
    <cellStyle name="Comma 27" xfId="4073"/>
    <cellStyle name="Comma 27 2" xfId="4074"/>
    <cellStyle name="Comma 27 3" xfId="4075"/>
    <cellStyle name="Comma 28" xfId="4076"/>
    <cellStyle name="Comma 28 2" xfId="4077"/>
    <cellStyle name="Comma 28 3" xfId="4078"/>
    <cellStyle name="Comma 29" xfId="4079"/>
    <cellStyle name="Comma 29 2" xfId="4080"/>
    <cellStyle name="Comma 29 3" xfId="4081"/>
    <cellStyle name="Comma 3" xfId="30"/>
    <cellStyle name="Comma 3 2" xfId="2004"/>
    <cellStyle name="Comma 3 2 2" xfId="2005"/>
    <cellStyle name="Comma 3 3" xfId="2006"/>
    <cellStyle name="Comma 3 3 2" xfId="2007"/>
    <cellStyle name="Comma 3 4" xfId="2008"/>
    <cellStyle name="Comma 3 4 2" xfId="2009"/>
    <cellStyle name="Comma 3 5" xfId="2010"/>
    <cellStyle name="Comma 30" xfId="4082"/>
    <cellStyle name="Comma 30 2" xfId="4083"/>
    <cellStyle name="Comma 30 3" xfId="4084"/>
    <cellStyle name="Comma 31" xfId="4085"/>
    <cellStyle name="Comma 31 2" xfId="4086"/>
    <cellStyle name="Comma 31 3" xfId="4087"/>
    <cellStyle name="Comma 32" xfId="2011"/>
    <cellStyle name="Comma 32 2" xfId="2012"/>
    <cellStyle name="Comma 32 2 2" xfId="2013"/>
    <cellStyle name="Comma 32 3" xfId="2014"/>
    <cellStyle name="Comma 32 3 2" xfId="2015"/>
    <cellStyle name="Comma 32 4" xfId="2016"/>
    <cellStyle name="Comma 32 4 2" xfId="2017"/>
    <cellStyle name="Comma 32 5" xfId="2018"/>
    <cellStyle name="Comma 33" xfId="4088"/>
    <cellStyle name="Comma 33 2" xfId="4089"/>
    <cellStyle name="Comma 33 3" xfId="4090"/>
    <cellStyle name="Comma 34" xfId="4091"/>
    <cellStyle name="Comma 34 2" xfId="4092"/>
    <cellStyle name="Comma 34 3" xfId="4093"/>
    <cellStyle name="Comma 35" xfId="4094"/>
    <cellStyle name="Comma 35 2" xfId="4095"/>
    <cellStyle name="Comma 35 3" xfId="4096"/>
    <cellStyle name="Comma 36" xfId="4097"/>
    <cellStyle name="Comma 36 2" xfId="4098"/>
    <cellStyle name="Comma 36 3" xfId="4099"/>
    <cellStyle name="Comma 37" xfId="4100"/>
    <cellStyle name="Comma 37 2" xfId="4101"/>
    <cellStyle name="Comma 37 3" xfId="4102"/>
    <cellStyle name="Comma 38" xfId="4103"/>
    <cellStyle name="Comma 38 2" xfId="4104"/>
    <cellStyle name="Comma 38 3" xfId="4105"/>
    <cellStyle name="Comma 39" xfId="4106"/>
    <cellStyle name="Comma 39 2" xfId="4107"/>
    <cellStyle name="Comma 39 3" xfId="4108"/>
    <cellStyle name="Comma 4" xfId="31"/>
    <cellStyle name="Comma 4 2" xfId="2019"/>
    <cellStyle name="Comma 4 2 2" xfId="9383"/>
    <cellStyle name="Comma 4 3" xfId="2020"/>
    <cellStyle name="Comma 4 4" xfId="4109"/>
    <cellStyle name="Comma 40" xfId="4110"/>
    <cellStyle name="Comma 40 2" xfId="4111"/>
    <cellStyle name="Comma 40 3" xfId="4112"/>
    <cellStyle name="Comma 41" xfId="4113"/>
    <cellStyle name="Comma 41 2" xfId="4114"/>
    <cellStyle name="Comma 41 3" xfId="4115"/>
    <cellStyle name="Comma 42" xfId="4116"/>
    <cellStyle name="Comma 42 2" xfId="4117"/>
    <cellStyle name="Comma 42 3" xfId="4118"/>
    <cellStyle name="Comma 43" xfId="4119"/>
    <cellStyle name="Comma 43 2" xfId="4120"/>
    <cellStyle name="Comma 43 3" xfId="4121"/>
    <cellStyle name="Comma 44" xfId="4122"/>
    <cellStyle name="Comma 44 2" xfId="4123"/>
    <cellStyle name="Comma 44 3" xfId="4124"/>
    <cellStyle name="Comma 45" xfId="4125"/>
    <cellStyle name="Comma 45 2" xfId="4126"/>
    <cellStyle name="Comma 45 3" xfId="4127"/>
    <cellStyle name="Comma 46" xfId="4128"/>
    <cellStyle name="Comma 46 2" xfId="4129"/>
    <cellStyle name="Comma 46 3" xfId="4130"/>
    <cellStyle name="Comma 47" xfId="4131"/>
    <cellStyle name="Comma 47 2" xfId="4132"/>
    <cellStyle name="Comma 47 3" xfId="4133"/>
    <cellStyle name="Comma 48" xfId="4134"/>
    <cellStyle name="Comma 48 2" xfId="4135"/>
    <cellStyle name="Comma 48 3" xfId="4136"/>
    <cellStyle name="Comma 49" xfId="4137"/>
    <cellStyle name="Comma 49 2" xfId="4138"/>
    <cellStyle name="Comma 49 3" xfId="4139"/>
    <cellStyle name="Comma 5" xfId="2021"/>
    <cellStyle name="Comma 5 2" xfId="2022"/>
    <cellStyle name="Comma 5 2 2" xfId="2023"/>
    <cellStyle name="Comma 5 2 2 2" xfId="2024"/>
    <cellStyle name="Comma 5 2 3" xfId="2025"/>
    <cellStyle name="Comma 5 3" xfId="2026"/>
    <cellStyle name="Comma 50" xfId="4140"/>
    <cellStyle name="Comma 50 2" xfId="4141"/>
    <cellStyle name="Comma 50 3" xfId="4142"/>
    <cellStyle name="Comma 51" xfId="4143"/>
    <cellStyle name="Comma 51 2" xfId="4144"/>
    <cellStyle name="Comma 51 3" xfId="4145"/>
    <cellStyle name="Comma 52" xfId="4146"/>
    <cellStyle name="Comma 52 2" xfId="4147"/>
    <cellStyle name="Comma 52 3" xfId="4148"/>
    <cellStyle name="Comma 53" xfId="4149"/>
    <cellStyle name="Comma 53 2" xfId="4150"/>
    <cellStyle name="Comma 53 3" xfId="4151"/>
    <cellStyle name="Comma 54" xfId="4152"/>
    <cellStyle name="Comma 54 2" xfId="4153"/>
    <cellStyle name="Comma 54 3" xfId="4154"/>
    <cellStyle name="Comma 55" xfId="4155"/>
    <cellStyle name="Comma 55 2" xfId="4156"/>
    <cellStyle name="Comma 55 3" xfId="4157"/>
    <cellStyle name="Comma 56" xfId="4158"/>
    <cellStyle name="Comma 56 2" xfId="4159"/>
    <cellStyle name="Comma 56 3" xfId="4160"/>
    <cellStyle name="Comma 57" xfId="4161"/>
    <cellStyle name="Comma 57 2" xfId="4162"/>
    <cellStyle name="Comma 57 3" xfId="4163"/>
    <cellStyle name="Comma 58" xfId="4164"/>
    <cellStyle name="Comma 58 2" xfId="4165"/>
    <cellStyle name="Comma 58 3" xfId="4166"/>
    <cellStyle name="Comma 59" xfId="4167"/>
    <cellStyle name="Comma 59 2" xfId="4168"/>
    <cellStyle name="Comma 59 3" xfId="4169"/>
    <cellStyle name="Comma 6" xfId="2027"/>
    <cellStyle name="Comma 6 2" xfId="2028"/>
    <cellStyle name="Comma 6 2 2" xfId="2029"/>
    <cellStyle name="Comma 6 3" xfId="2030"/>
    <cellStyle name="Comma 6 3 2" xfId="2031"/>
    <cellStyle name="Comma 6 4" xfId="2032"/>
    <cellStyle name="Comma 6 4 2" xfId="2033"/>
    <cellStyle name="Comma 6 4 2 2" xfId="2034"/>
    <cellStyle name="Comma 6 4 3" xfId="2035"/>
    <cellStyle name="Comma 6 4 3 2" xfId="2036"/>
    <cellStyle name="Comma 6 4 4" xfId="2037"/>
    <cellStyle name="Comma 6 4 4 2" xfId="2038"/>
    <cellStyle name="Comma 6 4 5" xfId="2039"/>
    <cellStyle name="Comma 6 5" xfId="2040"/>
    <cellStyle name="Comma 6 5 2" xfId="2041"/>
    <cellStyle name="Comma 6 6" xfId="2042"/>
    <cellStyle name="Comma 60" xfId="4170"/>
    <cellStyle name="Comma 60 2" xfId="4171"/>
    <cellStyle name="Comma 60 3" xfId="4172"/>
    <cellStyle name="Comma 61" xfId="4173"/>
    <cellStyle name="Comma 61 2" xfId="4174"/>
    <cellStyle name="Comma 61 3" xfId="4175"/>
    <cellStyle name="Comma 62" xfId="4176"/>
    <cellStyle name="Comma 62 2" xfId="4177"/>
    <cellStyle name="Comma 62 3" xfId="4178"/>
    <cellStyle name="Comma 63" xfId="4179"/>
    <cellStyle name="Comma 63 2" xfId="4180"/>
    <cellStyle name="Comma 63 3" xfId="4181"/>
    <cellStyle name="Comma 64" xfId="4182"/>
    <cellStyle name="Comma 64 2" xfId="4183"/>
    <cellStyle name="Comma 64 3" xfId="4184"/>
    <cellStyle name="Comma 65" xfId="4185"/>
    <cellStyle name="Comma 65 2" xfId="4186"/>
    <cellStyle name="Comma 65 3" xfId="4187"/>
    <cellStyle name="Comma 66" xfId="4188"/>
    <cellStyle name="Comma 66 2" xfId="4189"/>
    <cellStyle name="Comma 66 3" xfId="4190"/>
    <cellStyle name="Comma 67" xfId="4191"/>
    <cellStyle name="Comma 67 2" xfId="4192"/>
    <cellStyle name="Comma 67 3" xfId="4193"/>
    <cellStyle name="Comma 68" xfId="4194"/>
    <cellStyle name="Comma 68 2" xfId="4195"/>
    <cellStyle name="Comma 68 3" xfId="4196"/>
    <cellStyle name="Comma 69" xfId="4197"/>
    <cellStyle name="Comma 69 2" xfId="4198"/>
    <cellStyle name="Comma 69 3" xfId="4199"/>
    <cellStyle name="Comma 7" xfId="2043"/>
    <cellStyle name="Comma 7 2" xfId="2044"/>
    <cellStyle name="Comma 7 3" xfId="2045"/>
    <cellStyle name="Comma 7 6" xfId="2046"/>
    <cellStyle name="Comma 70" xfId="4200"/>
    <cellStyle name="Comma 70 2" xfId="4201"/>
    <cellStyle name="Comma 70 3" xfId="4202"/>
    <cellStyle name="Comma 71" xfId="4203"/>
    <cellStyle name="Comma 71 2" xfId="4204"/>
    <cellStyle name="Comma 71 3" xfId="4205"/>
    <cellStyle name="Comma 72" xfId="4206"/>
    <cellStyle name="Comma 72 2" xfId="4207"/>
    <cellStyle name="Comma 72 3" xfId="4208"/>
    <cellStyle name="Comma 73" xfId="4209"/>
    <cellStyle name="Comma 73 2" xfId="4210"/>
    <cellStyle name="Comma 73 3" xfId="4211"/>
    <cellStyle name="Comma 74" xfId="4212"/>
    <cellStyle name="Comma 74 2" xfId="4213"/>
    <cellStyle name="Comma 74 3" xfId="4214"/>
    <cellStyle name="Comma 75" xfId="4215"/>
    <cellStyle name="Comma 75 2" xfId="4216"/>
    <cellStyle name="Comma 75 3" xfId="4217"/>
    <cellStyle name="Comma 76" xfId="4218"/>
    <cellStyle name="Comma 76 2" xfId="4219"/>
    <cellStyle name="Comma 76 3" xfId="4220"/>
    <cellStyle name="Comma 77" xfId="4221"/>
    <cellStyle name="Comma 77 2" xfId="4222"/>
    <cellStyle name="Comma 77 3" xfId="4223"/>
    <cellStyle name="Comma 78" xfId="4224"/>
    <cellStyle name="Comma 78 2" xfId="4225"/>
    <cellStyle name="Comma 78 3" xfId="4226"/>
    <cellStyle name="Comma 79" xfId="4227"/>
    <cellStyle name="Comma 79 2" xfId="4228"/>
    <cellStyle name="Comma 79 3" xfId="4229"/>
    <cellStyle name="Comma 8" xfId="2047"/>
    <cellStyle name="Comma 8 2" xfId="2048"/>
    <cellStyle name="Comma 8 2 2" xfId="2049"/>
    <cellStyle name="Comma 8 2 2 2" xfId="2050"/>
    <cellStyle name="Comma 8 2 3" xfId="2051"/>
    <cellStyle name="Comma 8 2 3 2" xfId="2052"/>
    <cellStyle name="Comma 8 2 4" xfId="2053"/>
    <cellStyle name="Comma 8 2 4 2" xfId="2054"/>
    <cellStyle name="Comma 8 2 5" xfId="2055"/>
    <cellStyle name="Comma 8 3" xfId="2056"/>
    <cellStyle name="Comma 8 4" xfId="2057"/>
    <cellStyle name="Comma 8 4 2" xfId="2058"/>
    <cellStyle name="Comma 8 5" xfId="2059"/>
    <cellStyle name="Comma 8 6" xfId="2060"/>
    <cellStyle name="Comma 80" xfId="4230"/>
    <cellStyle name="Comma 80 2" xfId="4231"/>
    <cellStyle name="Comma 80 3" xfId="4232"/>
    <cellStyle name="Comma 81" xfId="4233"/>
    <cellStyle name="Comma 81 2" xfId="4234"/>
    <cellStyle name="Comma 81 3" xfId="4235"/>
    <cellStyle name="Comma 82" xfId="4236"/>
    <cellStyle name="Comma 82 2" xfId="4237"/>
    <cellStyle name="Comma 82 3" xfId="4238"/>
    <cellStyle name="Comma 83" xfId="4239"/>
    <cellStyle name="Comma 83 2" xfId="4240"/>
    <cellStyle name="Comma 83 3" xfId="4241"/>
    <cellStyle name="Comma 84" xfId="4242"/>
    <cellStyle name="Comma 84 2" xfId="4243"/>
    <cellStyle name="Comma 84 3" xfId="4244"/>
    <cellStyle name="Comma 85" xfId="4245"/>
    <cellStyle name="Comma 85 2" xfId="4246"/>
    <cellStyle name="Comma 85 3" xfId="4247"/>
    <cellStyle name="Comma 86" xfId="4248"/>
    <cellStyle name="Comma 86 2" xfId="4249"/>
    <cellStyle name="Comma 86 3" xfId="4250"/>
    <cellStyle name="Comma 87" xfId="4251"/>
    <cellStyle name="Comma 87 2" xfId="4252"/>
    <cellStyle name="Comma 87 3" xfId="4253"/>
    <cellStyle name="Comma 88" xfId="4254"/>
    <cellStyle name="Comma 88 2" xfId="4255"/>
    <cellStyle name="Comma 88 3" xfId="4256"/>
    <cellStyle name="Comma 89" xfId="4257"/>
    <cellStyle name="Comma 89 2" xfId="4258"/>
    <cellStyle name="Comma 89 3" xfId="4259"/>
    <cellStyle name="Comma 9" xfId="2061"/>
    <cellStyle name="Comma 9 2" xfId="2062"/>
    <cellStyle name="Comma 9 3" xfId="2063"/>
    <cellStyle name="Comma 9 3 2" xfId="2064"/>
    <cellStyle name="Comma 9 4" xfId="2065"/>
    <cellStyle name="Comma 9 5" xfId="2066"/>
    <cellStyle name="Comma 9 6" xfId="4260"/>
    <cellStyle name="Comma 90" xfId="4261"/>
    <cellStyle name="Comma 90 2" xfId="4262"/>
    <cellStyle name="Comma 90 3" xfId="4263"/>
    <cellStyle name="Comma 91" xfId="4264"/>
    <cellStyle name="Comma 91 2" xfId="4265"/>
    <cellStyle name="Comma 91 3" xfId="4266"/>
    <cellStyle name="Comma 92" xfId="4267"/>
    <cellStyle name="Comma 92 2" xfId="4268"/>
    <cellStyle name="Comma 92 3" xfId="4269"/>
    <cellStyle name="Comma 93" xfId="4270"/>
    <cellStyle name="Comma 93 2" xfId="4271"/>
    <cellStyle name="Comma 93 3" xfId="4272"/>
    <cellStyle name="Comma 94" xfId="4273"/>
    <cellStyle name="Comma 94 2" xfId="4274"/>
    <cellStyle name="Comma 94 3" xfId="4275"/>
    <cellStyle name="Comma 95" xfId="4276"/>
    <cellStyle name="Comma 95 2" xfId="4277"/>
    <cellStyle name="Comma 95 3" xfId="4278"/>
    <cellStyle name="Comma 96" xfId="4279"/>
    <cellStyle name="Comma 96 2" xfId="4280"/>
    <cellStyle name="Comma 96 3" xfId="4281"/>
    <cellStyle name="Comma 97" xfId="4282"/>
    <cellStyle name="Comma 97 2" xfId="4283"/>
    <cellStyle name="Comma 97 3" xfId="4284"/>
    <cellStyle name="Comma 98" xfId="4285"/>
    <cellStyle name="Comma 98 2" xfId="4286"/>
    <cellStyle name="Comma 98 3" xfId="4287"/>
    <cellStyle name="Comma 99" xfId="4288"/>
    <cellStyle name="Comma 99 2" xfId="4289"/>
    <cellStyle name="Comma 99 3" xfId="4290"/>
    <cellStyle name="Comma0" xfId="4291"/>
    <cellStyle name="Currency" xfId="32" builtinId="4"/>
    <cellStyle name="Currency [0] 2" xfId="4292"/>
    <cellStyle name="Currency [0] 3" xfId="4293"/>
    <cellStyle name="Currency [1]" xfId="2067"/>
    <cellStyle name="Currency [1] 2" xfId="2068"/>
    <cellStyle name="Currency [1] 2 2" xfId="2069"/>
    <cellStyle name="Currency [1] 2 2 2" xfId="2070"/>
    <cellStyle name="Currency [1] 2 3" xfId="2071"/>
    <cellStyle name="Currency [1] 3" xfId="2072"/>
    <cellStyle name="Currency 10" xfId="4294"/>
    <cellStyle name="Currency 11" xfId="4295"/>
    <cellStyle name="Currency 12" xfId="4296"/>
    <cellStyle name="Currency 2" xfId="33"/>
    <cellStyle name="Currency 2 2" xfId="2073"/>
    <cellStyle name="Currency 2 2 2" xfId="2074"/>
    <cellStyle name="Currency 2 3" xfId="2075"/>
    <cellStyle name="Currency 2 3 2" xfId="2076"/>
    <cellStyle name="Currency 2 4" xfId="2077"/>
    <cellStyle name="Currency 2 4 2" xfId="2078"/>
    <cellStyle name="Currency 2 5" xfId="2079"/>
    <cellStyle name="Currency 3" xfId="34"/>
    <cellStyle name="Currency 3 2" xfId="2080"/>
    <cellStyle name="Currency 3 3" xfId="4297"/>
    <cellStyle name="Currency 4" xfId="2081"/>
    <cellStyle name="Currency 4 2" xfId="2082"/>
    <cellStyle name="Currency 4 2 2" xfId="2083"/>
    <cellStyle name="Currency 4 3" xfId="2084"/>
    <cellStyle name="Currency 5" xfId="2085"/>
    <cellStyle name="Currency 5 2" xfId="2086"/>
    <cellStyle name="Currency 5 2 2" xfId="2087"/>
    <cellStyle name="Currency 5 3" xfId="2088"/>
    <cellStyle name="Currency 6" xfId="2089"/>
    <cellStyle name="Currency 6 2" xfId="2090"/>
    <cellStyle name="Currency 6 2 2" xfId="2091"/>
    <cellStyle name="Currency 6 3" xfId="2092"/>
    <cellStyle name="Currency 7" xfId="2093"/>
    <cellStyle name="Currency 7 2" xfId="2094"/>
    <cellStyle name="Currency 8" xfId="2095"/>
    <cellStyle name="Currency 8 2" xfId="2096"/>
    <cellStyle name="Currency 9" xfId="2097"/>
    <cellStyle name="Currency 9 2" xfId="2098"/>
    <cellStyle name="Currency0" xfId="4298"/>
    <cellStyle name="Date" xfId="4299"/>
    <cellStyle name="Emphasis 1" xfId="2099"/>
    <cellStyle name="Emphasis 2" xfId="2100"/>
    <cellStyle name="Emphasis 3" xfId="2101"/>
    <cellStyle name="Explanatory Text" xfId="35" builtinId="53" customBuiltin="1"/>
    <cellStyle name="Explanatory Text 10" xfId="2102"/>
    <cellStyle name="Explanatory Text 10 2" xfId="2103"/>
    <cellStyle name="Explanatory Text 11" xfId="2104"/>
    <cellStyle name="Explanatory Text 11 2" xfId="2105"/>
    <cellStyle name="Explanatory Text 12" xfId="2106"/>
    <cellStyle name="Explanatory Text 12 2" xfId="2107"/>
    <cellStyle name="Explanatory Text 13" xfId="2108"/>
    <cellStyle name="Explanatory Text 13 2" xfId="2109"/>
    <cellStyle name="Explanatory Text 14" xfId="2110"/>
    <cellStyle name="Explanatory Text 14 2" xfId="2111"/>
    <cellStyle name="Explanatory Text 15" xfId="2112"/>
    <cellStyle name="Explanatory Text 15 2" xfId="2113"/>
    <cellStyle name="Explanatory Text 16" xfId="2114"/>
    <cellStyle name="Explanatory Text 16 2" xfId="2115"/>
    <cellStyle name="Explanatory Text 17" xfId="2116"/>
    <cellStyle name="Explanatory Text 17 2" xfId="2117"/>
    <cellStyle name="Explanatory Text 18" xfId="2118"/>
    <cellStyle name="Explanatory Text 18 2" xfId="2119"/>
    <cellStyle name="Explanatory Text 19" xfId="2120"/>
    <cellStyle name="Explanatory Text 19 2" xfId="2121"/>
    <cellStyle name="Explanatory Text 2" xfId="2122"/>
    <cellStyle name="Explanatory Text 2 2" xfId="2123"/>
    <cellStyle name="Explanatory Text 2 3" xfId="2124"/>
    <cellStyle name="Explanatory Text 20" xfId="2125"/>
    <cellStyle name="Explanatory Text 21" xfId="2126"/>
    <cellStyle name="Explanatory Text 22" xfId="2127"/>
    <cellStyle name="Explanatory Text 23" xfId="2128"/>
    <cellStyle name="Explanatory Text 24" xfId="2129"/>
    <cellStyle name="Explanatory Text 25" xfId="2130"/>
    <cellStyle name="Explanatory Text 26" xfId="2131"/>
    <cellStyle name="Explanatory Text 27" xfId="2132"/>
    <cellStyle name="Explanatory Text 28" xfId="2133"/>
    <cellStyle name="Explanatory Text 29" xfId="2134"/>
    <cellStyle name="Explanatory Text 3" xfId="2135"/>
    <cellStyle name="Explanatory Text 3 2" xfId="2136"/>
    <cellStyle name="Explanatory Text 30" xfId="2137"/>
    <cellStyle name="Explanatory Text 31" xfId="2138"/>
    <cellStyle name="Explanatory Text 32" xfId="2139"/>
    <cellStyle name="Explanatory Text 33" xfId="2140"/>
    <cellStyle name="Explanatory Text 34" xfId="2141"/>
    <cellStyle name="Explanatory Text 35" xfId="2142"/>
    <cellStyle name="Explanatory Text 36" xfId="2143"/>
    <cellStyle name="Explanatory Text 37" xfId="9445"/>
    <cellStyle name="Explanatory Text 4" xfId="2144"/>
    <cellStyle name="Explanatory Text 4 2" xfId="2145"/>
    <cellStyle name="Explanatory Text 5" xfId="2146"/>
    <cellStyle name="Explanatory Text 5 2" xfId="2147"/>
    <cellStyle name="Explanatory Text 6" xfId="2148"/>
    <cellStyle name="Explanatory Text 6 2" xfId="2149"/>
    <cellStyle name="Explanatory Text 7" xfId="2150"/>
    <cellStyle name="Explanatory Text 7 2" xfId="2151"/>
    <cellStyle name="Explanatory Text 8" xfId="2152"/>
    <cellStyle name="Explanatory Text 8 2" xfId="2153"/>
    <cellStyle name="Explanatory Text 9" xfId="2154"/>
    <cellStyle name="Explanatory Text 9 2" xfId="2155"/>
    <cellStyle name="Fixed" xfId="4300"/>
    <cellStyle name="Good" xfId="36" builtinId="26" customBuiltin="1"/>
    <cellStyle name="Good 10" xfId="2156"/>
    <cellStyle name="Good 10 2" xfId="2157"/>
    <cellStyle name="Good 11" xfId="2158"/>
    <cellStyle name="Good 11 2" xfId="2159"/>
    <cellStyle name="Good 12" xfId="2160"/>
    <cellStyle name="Good 12 2" xfId="2161"/>
    <cellStyle name="Good 13" xfId="2162"/>
    <cellStyle name="Good 13 2" xfId="2163"/>
    <cellStyle name="Good 14" xfId="2164"/>
    <cellStyle name="Good 14 2" xfId="2165"/>
    <cellStyle name="Good 15" xfId="2166"/>
    <cellStyle name="Good 15 2" xfId="2167"/>
    <cellStyle name="Good 16" xfId="2168"/>
    <cellStyle name="Good 16 2" xfId="2169"/>
    <cellStyle name="Good 17" xfId="2170"/>
    <cellStyle name="Good 17 2" xfId="2171"/>
    <cellStyle name="Good 18" xfId="2172"/>
    <cellStyle name="Good 18 2" xfId="2173"/>
    <cellStyle name="Good 19" xfId="2174"/>
    <cellStyle name="Good 19 2" xfId="2175"/>
    <cellStyle name="Good 2" xfId="2176"/>
    <cellStyle name="Good 2 2" xfId="2177"/>
    <cellStyle name="Good 2 3" xfId="2178"/>
    <cellStyle name="Good 20" xfId="2179"/>
    <cellStyle name="Good 21" xfId="2180"/>
    <cellStyle name="Good 22" xfId="2181"/>
    <cellStyle name="Good 23" xfId="2182"/>
    <cellStyle name="Good 24" xfId="2183"/>
    <cellStyle name="Good 25" xfId="2184"/>
    <cellStyle name="Good 26" xfId="2185"/>
    <cellStyle name="Good 27" xfId="2186"/>
    <cellStyle name="Good 28" xfId="2187"/>
    <cellStyle name="Good 29" xfId="2188"/>
    <cellStyle name="Good 3" xfId="2189"/>
    <cellStyle name="Good 3 2" xfId="2190"/>
    <cellStyle name="Good 30" xfId="2191"/>
    <cellStyle name="Good 31" xfId="2192"/>
    <cellStyle name="Good 32" xfId="2193"/>
    <cellStyle name="Good 33" xfId="2194"/>
    <cellStyle name="Good 34" xfId="2195"/>
    <cellStyle name="Good 35" xfId="2196"/>
    <cellStyle name="Good 36" xfId="2197"/>
    <cellStyle name="Good 37" xfId="9446"/>
    <cellStyle name="Good 4" xfId="2198"/>
    <cellStyle name="Good 4 2" xfId="2199"/>
    <cellStyle name="Good 5" xfId="2200"/>
    <cellStyle name="Good 5 2" xfId="2201"/>
    <cellStyle name="Good 6" xfId="2202"/>
    <cellStyle name="Good 6 2" xfId="2203"/>
    <cellStyle name="Good 7" xfId="2204"/>
    <cellStyle name="Good 7 2" xfId="2205"/>
    <cellStyle name="Good 8" xfId="2206"/>
    <cellStyle name="Good 8 2" xfId="2207"/>
    <cellStyle name="Good 9" xfId="2208"/>
    <cellStyle name="Good 9 2" xfId="2209"/>
    <cellStyle name="Heading 1" xfId="37" builtinId="16" customBuiltin="1"/>
    <cellStyle name="Heading 1 10" xfId="2210"/>
    <cellStyle name="Heading 1 10 2" xfId="2211"/>
    <cellStyle name="Heading 1 11" xfId="2212"/>
    <cellStyle name="Heading 1 11 2" xfId="2213"/>
    <cellStyle name="Heading 1 12" xfId="2214"/>
    <cellStyle name="Heading 1 12 2" xfId="2215"/>
    <cellStyle name="Heading 1 13" xfId="2216"/>
    <cellStyle name="Heading 1 13 2" xfId="2217"/>
    <cellStyle name="Heading 1 14" xfId="2218"/>
    <cellStyle name="Heading 1 14 2" xfId="2219"/>
    <cellStyle name="Heading 1 15" xfId="2220"/>
    <cellStyle name="Heading 1 15 2" xfId="2221"/>
    <cellStyle name="Heading 1 16" xfId="2222"/>
    <cellStyle name="Heading 1 16 2" xfId="2223"/>
    <cellStyle name="Heading 1 17" xfId="2224"/>
    <cellStyle name="Heading 1 17 2" xfId="2225"/>
    <cellStyle name="Heading 1 18" xfId="2226"/>
    <cellStyle name="Heading 1 18 2" xfId="2227"/>
    <cellStyle name="Heading 1 19" xfId="2228"/>
    <cellStyle name="Heading 1 19 2" xfId="2229"/>
    <cellStyle name="Heading 1 2" xfId="2230"/>
    <cellStyle name="Heading 1 2 2" xfId="2231"/>
    <cellStyle name="Heading 1 2 3" xfId="2232"/>
    <cellStyle name="Heading 1 20" xfId="2233"/>
    <cellStyle name="Heading 1 21" xfId="2234"/>
    <cellStyle name="Heading 1 22" xfId="2235"/>
    <cellStyle name="Heading 1 23" xfId="2236"/>
    <cellStyle name="Heading 1 24" xfId="2237"/>
    <cellStyle name="Heading 1 25" xfId="2238"/>
    <cellStyle name="Heading 1 26" xfId="2239"/>
    <cellStyle name="Heading 1 27" xfId="2240"/>
    <cellStyle name="Heading 1 28" xfId="2241"/>
    <cellStyle name="Heading 1 29" xfId="2242"/>
    <cellStyle name="Heading 1 3" xfId="2243"/>
    <cellStyle name="Heading 1 3 2" xfId="2244"/>
    <cellStyle name="Heading 1 30" xfId="2245"/>
    <cellStyle name="Heading 1 31" xfId="2246"/>
    <cellStyle name="Heading 1 32" xfId="2247"/>
    <cellStyle name="Heading 1 33" xfId="2248"/>
    <cellStyle name="Heading 1 34" xfId="2249"/>
    <cellStyle name="Heading 1 35" xfId="2250"/>
    <cellStyle name="Heading 1 36" xfId="2251"/>
    <cellStyle name="Heading 1 37" xfId="9447"/>
    <cellStyle name="Heading 1 4" xfId="2252"/>
    <cellStyle name="Heading 1 4 2" xfId="2253"/>
    <cellStyle name="Heading 1 5" xfId="2254"/>
    <cellStyle name="Heading 1 5 2" xfId="2255"/>
    <cellStyle name="Heading 1 6" xfId="2256"/>
    <cellStyle name="Heading 1 6 2" xfId="2257"/>
    <cellStyle name="Heading 1 7" xfId="2258"/>
    <cellStyle name="Heading 1 7 2" xfId="2259"/>
    <cellStyle name="Heading 1 8" xfId="2260"/>
    <cellStyle name="Heading 1 8 2" xfId="2261"/>
    <cellStyle name="Heading 1 9" xfId="2262"/>
    <cellStyle name="Heading 1 9 2" xfId="2263"/>
    <cellStyle name="Heading 2" xfId="38" builtinId="17" customBuiltin="1"/>
    <cellStyle name="Heading 2 10" xfId="2264"/>
    <cellStyle name="Heading 2 10 2" xfId="2265"/>
    <cellStyle name="Heading 2 11" xfId="2266"/>
    <cellStyle name="Heading 2 11 2" xfId="2267"/>
    <cellStyle name="Heading 2 12" xfId="2268"/>
    <cellStyle name="Heading 2 12 2" xfId="2269"/>
    <cellStyle name="Heading 2 13" xfId="2270"/>
    <cellStyle name="Heading 2 13 2" xfId="2271"/>
    <cellStyle name="Heading 2 14" xfId="2272"/>
    <cellStyle name="Heading 2 14 2" xfId="2273"/>
    <cellStyle name="Heading 2 15" xfId="2274"/>
    <cellStyle name="Heading 2 15 2" xfId="2275"/>
    <cellStyle name="Heading 2 16" xfId="2276"/>
    <cellStyle name="Heading 2 16 2" xfId="2277"/>
    <cellStyle name="Heading 2 17" xfId="2278"/>
    <cellStyle name="Heading 2 17 2" xfId="2279"/>
    <cellStyle name="Heading 2 18" xfId="2280"/>
    <cellStyle name="Heading 2 18 2" xfId="2281"/>
    <cellStyle name="Heading 2 19" xfId="2282"/>
    <cellStyle name="Heading 2 19 2" xfId="2283"/>
    <cellStyle name="Heading 2 2" xfId="2284"/>
    <cellStyle name="Heading 2 2 2" xfId="2285"/>
    <cellStyle name="Heading 2 2 3" xfId="2286"/>
    <cellStyle name="Heading 2 20" xfId="2287"/>
    <cellStyle name="Heading 2 21" xfId="2288"/>
    <cellStyle name="Heading 2 22" xfId="2289"/>
    <cellStyle name="Heading 2 23" xfId="2290"/>
    <cellStyle name="Heading 2 24" xfId="2291"/>
    <cellStyle name="Heading 2 25" xfId="2292"/>
    <cellStyle name="Heading 2 26" xfId="2293"/>
    <cellStyle name="Heading 2 27" xfId="2294"/>
    <cellStyle name="Heading 2 28" xfId="2295"/>
    <cellStyle name="Heading 2 29" xfId="2296"/>
    <cellStyle name="Heading 2 3" xfId="2297"/>
    <cellStyle name="Heading 2 3 2" xfId="2298"/>
    <cellStyle name="Heading 2 30" xfId="2299"/>
    <cellStyle name="Heading 2 31" xfId="2300"/>
    <cellStyle name="Heading 2 32" xfId="2301"/>
    <cellStyle name="Heading 2 33" xfId="2302"/>
    <cellStyle name="Heading 2 34" xfId="2303"/>
    <cellStyle name="Heading 2 35" xfId="2304"/>
    <cellStyle name="Heading 2 36" xfId="2305"/>
    <cellStyle name="Heading 2 37" xfId="9448"/>
    <cellStyle name="Heading 2 4" xfId="2306"/>
    <cellStyle name="Heading 2 4 2" xfId="2307"/>
    <cellStyle name="Heading 2 5" xfId="2308"/>
    <cellStyle name="Heading 2 5 2" xfId="2309"/>
    <cellStyle name="Heading 2 6" xfId="2310"/>
    <cellStyle name="Heading 2 6 2" xfId="2311"/>
    <cellStyle name="Heading 2 7" xfId="2312"/>
    <cellStyle name="Heading 2 7 2" xfId="2313"/>
    <cellStyle name="Heading 2 8" xfId="2314"/>
    <cellStyle name="Heading 2 8 2" xfId="2315"/>
    <cellStyle name="Heading 2 9" xfId="2316"/>
    <cellStyle name="Heading 2 9 2" xfId="2317"/>
    <cellStyle name="Heading 3" xfId="39" builtinId="18" customBuiltin="1"/>
    <cellStyle name="Heading 3 10" xfId="2318"/>
    <cellStyle name="Heading 3 10 2" xfId="2319"/>
    <cellStyle name="Heading 3 11" xfId="2320"/>
    <cellStyle name="Heading 3 11 2" xfId="2321"/>
    <cellStyle name="Heading 3 12" xfId="2322"/>
    <cellStyle name="Heading 3 12 2" xfId="2323"/>
    <cellStyle name="Heading 3 13" xfId="2324"/>
    <cellStyle name="Heading 3 13 2" xfId="2325"/>
    <cellStyle name="Heading 3 14" xfId="2326"/>
    <cellStyle name="Heading 3 14 2" xfId="2327"/>
    <cellStyle name="Heading 3 15" xfId="2328"/>
    <cellStyle name="Heading 3 15 2" xfId="2329"/>
    <cellStyle name="Heading 3 16" xfId="2330"/>
    <cellStyle name="Heading 3 16 2" xfId="2331"/>
    <cellStyle name="Heading 3 17" xfId="2332"/>
    <cellStyle name="Heading 3 17 2" xfId="2333"/>
    <cellStyle name="Heading 3 18" xfId="2334"/>
    <cellStyle name="Heading 3 18 2" xfId="2335"/>
    <cellStyle name="Heading 3 19" xfId="2336"/>
    <cellStyle name="Heading 3 19 2" xfId="2337"/>
    <cellStyle name="Heading 3 2" xfId="2338"/>
    <cellStyle name="Heading 3 2 2" xfId="2339"/>
    <cellStyle name="Heading 3 2 3" xfId="2340"/>
    <cellStyle name="Heading 3 20" xfId="2341"/>
    <cellStyle name="Heading 3 21" xfId="2342"/>
    <cellStyle name="Heading 3 22" xfId="2343"/>
    <cellStyle name="Heading 3 23" xfId="2344"/>
    <cellStyle name="Heading 3 24" xfId="2345"/>
    <cellStyle name="Heading 3 25" xfId="2346"/>
    <cellStyle name="Heading 3 26" xfId="2347"/>
    <cellStyle name="Heading 3 27" xfId="2348"/>
    <cellStyle name="Heading 3 28" xfId="2349"/>
    <cellStyle name="Heading 3 29" xfId="2350"/>
    <cellStyle name="Heading 3 3" xfId="2351"/>
    <cellStyle name="Heading 3 3 2" xfId="2352"/>
    <cellStyle name="Heading 3 30" xfId="2353"/>
    <cellStyle name="Heading 3 31" xfId="2354"/>
    <cellStyle name="Heading 3 32" xfId="2355"/>
    <cellStyle name="Heading 3 33" xfId="2356"/>
    <cellStyle name="Heading 3 34" xfId="2357"/>
    <cellStyle name="Heading 3 35" xfId="2358"/>
    <cellStyle name="Heading 3 36" xfId="2359"/>
    <cellStyle name="Heading 3 37" xfId="9449"/>
    <cellStyle name="Heading 3 4" xfId="2360"/>
    <cellStyle name="Heading 3 4 2" xfId="2361"/>
    <cellStyle name="Heading 3 5" xfId="2362"/>
    <cellStyle name="Heading 3 5 2" xfId="2363"/>
    <cellStyle name="Heading 3 6" xfId="2364"/>
    <cellStyle name="Heading 3 6 2" xfId="2365"/>
    <cellStyle name="Heading 3 7" xfId="2366"/>
    <cellStyle name="Heading 3 7 2" xfId="2367"/>
    <cellStyle name="Heading 3 8" xfId="2368"/>
    <cellStyle name="Heading 3 8 2" xfId="2369"/>
    <cellStyle name="Heading 3 9" xfId="2370"/>
    <cellStyle name="Heading 3 9 2" xfId="2371"/>
    <cellStyle name="Heading 4" xfId="40" builtinId="19" customBuiltin="1"/>
    <cellStyle name="Heading 4 10" xfId="2372"/>
    <cellStyle name="Heading 4 10 2" xfId="2373"/>
    <cellStyle name="Heading 4 11" xfId="2374"/>
    <cellStyle name="Heading 4 11 2" xfId="2375"/>
    <cellStyle name="Heading 4 12" xfId="2376"/>
    <cellStyle name="Heading 4 12 2" xfId="2377"/>
    <cellStyle name="Heading 4 13" xfId="2378"/>
    <cellStyle name="Heading 4 13 2" xfId="2379"/>
    <cellStyle name="Heading 4 14" xfId="2380"/>
    <cellStyle name="Heading 4 14 2" xfId="2381"/>
    <cellStyle name="Heading 4 15" xfId="2382"/>
    <cellStyle name="Heading 4 15 2" xfId="2383"/>
    <cellStyle name="Heading 4 16" xfId="2384"/>
    <cellStyle name="Heading 4 16 2" xfId="2385"/>
    <cellStyle name="Heading 4 17" xfId="2386"/>
    <cellStyle name="Heading 4 17 2" xfId="2387"/>
    <cellStyle name="Heading 4 18" xfId="2388"/>
    <cellStyle name="Heading 4 18 2" xfId="2389"/>
    <cellStyle name="Heading 4 19" xfId="2390"/>
    <cellStyle name="Heading 4 19 2" xfId="2391"/>
    <cellStyle name="Heading 4 2" xfId="2392"/>
    <cellStyle name="Heading 4 2 2" xfId="2393"/>
    <cellStyle name="Heading 4 2 3" xfId="2394"/>
    <cellStyle name="Heading 4 20" xfId="2395"/>
    <cellStyle name="Heading 4 21" xfId="2396"/>
    <cellStyle name="Heading 4 22" xfId="2397"/>
    <cellStyle name="Heading 4 23" xfId="2398"/>
    <cellStyle name="Heading 4 24" xfId="2399"/>
    <cellStyle name="Heading 4 25" xfId="2400"/>
    <cellStyle name="Heading 4 26" xfId="2401"/>
    <cellStyle name="Heading 4 27" xfId="2402"/>
    <cellStyle name="Heading 4 28" xfId="2403"/>
    <cellStyle name="Heading 4 29" xfId="2404"/>
    <cellStyle name="Heading 4 3" xfId="2405"/>
    <cellStyle name="Heading 4 3 2" xfId="2406"/>
    <cellStyle name="Heading 4 30" xfId="2407"/>
    <cellStyle name="Heading 4 31" xfId="2408"/>
    <cellStyle name="Heading 4 32" xfId="2409"/>
    <cellStyle name="Heading 4 33" xfId="2410"/>
    <cellStyle name="Heading 4 34" xfId="2411"/>
    <cellStyle name="Heading 4 35" xfId="2412"/>
    <cellStyle name="Heading 4 36" xfId="2413"/>
    <cellStyle name="Heading 4 37" xfId="9450"/>
    <cellStyle name="Heading 4 4" xfId="2414"/>
    <cellStyle name="Heading 4 4 2" xfId="2415"/>
    <cellStyle name="Heading 4 5" xfId="2416"/>
    <cellStyle name="Heading 4 5 2" xfId="2417"/>
    <cellStyle name="Heading 4 6" xfId="2418"/>
    <cellStyle name="Heading 4 6 2" xfId="2419"/>
    <cellStyle name="Heading 4 7" xfId="2420"/>
    <cellStyle name="Heading 4 7 2" xfId="2421"/>
    <cellStyle name="Heading 4 8" xfId="2422"/>
    <cellStyle name="Heading 4 8 2" xfId="2423"/>
    <cellStyle name="Heading 4 9" xfId="2424"/>
    <cellStyle name="Heading 4 9 2" xfId="2425"/>
    <cellStyle name="Hyperlink 2" xfId="2426"/>
    <cellStyle name="Hyperlink 2 2" xfId="2427"/>
    <cellStyle name="Hyperlink 3" xfId="4301"/>
    <cellStyle name="Input" xfId="41" builtinId="20" customBuiltin="1"/>
    <cellStyle name="Input 10" xfId="2428"/>
    <cellStyle name="Input 10 2" xfId="2429"/>
    <cellStyle name="Input 11" xfId="2430"/>
    <cellStyle name="Input 11 2" xfId="2431"/>
    <cellStyle name="Input 12" xfId="2432"/>
    <cellStyle name="Input 12 2" xfId="2433"/>
    <cellStyle name="Input 13" xfId="2434"/>
    <cellStyle name="Input 13 2" xfId="2435"/>
    <cellStyle name="Input 14" xfId="2436"/>
    <cellStyle name="Input 14 2" xfId="2437"/>
    <cellStyle name="Input 15" xfId="2438"/>
    <cellStyle name="Input 15 2" xfId="2439"/>
    <cellStyle name="Input 16" xfId="2440"/>
    <cellStyle name="Input 16 2" xfId="2441"/>
    <cellStyle name="Input 17" xfId="2442"/>
    <cellStyle name="Input 17 2" xfId="2443"/>
    <cellStyle name="Input 18" xfId="2444"/>
    <cellStyle name="Input 18 2" xfId="2445"/>
    <cellStyle name="Input 19" xfId="2446"/>
    <cellStyle name="Input 19 2" xfId="2447"/>
    <cellStyle name="Input 2" xfId="2448"/>
    <cellStyle name="Input 2 2" xfId="2449"/>
    <cellStyle name="Input 2 3" xfId="2450"/>
    <cellStyle name="Input 20" xfId="2451"/>
    <cellStyle name="Input 21" xfId="2452"/>
    <cellStyle name="Input 22" xfId="2453"/>
    <cellStyle name="Input 23" xfId="2454"/>
    <cellStyle name="Input 24" xfId="2455"/>
    <cellStyle name="Input 25" xfId="2456"/>
    <cellStyle name="Input 26" xfId="2457"/>
    <cellStyle name="Input 27" xfId="2458"/>
    <cellStyle name="Input 28" xfId="2459"/>
    <cellStyle name="Input 29" xfId="2460"/>
    <cellStyle name="Input 3" xfId="2461"/>
    <cellStyle name="Input 3 2" xfId="2462"/>
    <cellStyle name="Input 30" xfId="2463"/>
    <cellStyle name="Input 31" xfId="2464"/>
    <cellStyle name="Input 32" xfId="2465"/>
    <cellStyle name="Input 33" xfId="2466"/>
    <cellStyle name="Input 34" xfId="2467"/>
    <cellStyle name="Input 35" xfId="2468"/>
    <cellStyle name="Input 36" xfId="2469"/>
    <cellStyle name="Input 37" xfId="9451"/>
    <cellStyle name="Input 4" xfId="2470"/>
    <cellStyle name="Input 4 2" xfId="2471"/>
    <cellStyle name="Input 5" xfId="2472"/>
    <cellStyle name="Input 5 2" xfId="2473"/>
    <cellStyle name="Input 6" xfId="2474"/>
    <cellStyle name="Input 6 2" xfId="2475"/>
    <cellStyle name="Input 7" xfId="2476"/>
    <cellStyle name="Input 7 2" xfId="2477"/>
    <cellStyle name="Input 8" xfId="2478"/>
    <cellStyle name="Input 8 2" xfId="2479"/>
    <cellStyle name="Input 9" xfId="2480"/>
    <cellStyle name="Input 9 2" xfId="2481"/>
    <cellStyle name="Linked Cell" xfId="42" builtinId="24" customBuiltin="1"/>
    <cellStyle name="Linked Cell 10" xfId="2482"/>
    <cellStyle name="Linked Cell 10 2" xfId="2483"/>
    <cellStyle name="Linked Cell 11" xfId="2484"/>
    <cellStyle name="Linked Cell 11 2" xfId="2485"/>
    <cellStyle name="Linked Cell 12" xfId="2486"/>
    <cellStyle name="Linked Cell 12 2" xfId="2487"/>
    <cellStyle name="Linked Cell 13" xfId="2488"/>
    <cellStyle name="Linked Cell 13 2" xfId="2489"/>
    <cellStyle name="Linked Cell 14" xfId="2490"/>
    <cellStyle name="Linked Cell 14 2" xfId="2491"/>
    <cellStyle name="Linked Cell 15" xfId="2492"/>
    <cellStyle name="Linked Cell 15 2" xfId="2493"/>
    <cellStyle name="Linked Cell 16" xfId="2494"/>
    <cellStyle name="Linked Cell 16 2" xfId="2495"/>
    <cellStyle name="Linked Cell 17" xfId="2496"/>
    <cellStyle name="Linked Cell 17 2" xfId="2497"/>
    <cellStyle name="Linked Cell 18" xfId="2498"/>
    <cellStyle name="Linked Cell 18 2" xfId="2499"/>
    <cellStyle name="Linked Cell 19" xfId="2500"/>
    <cellStyle name="Linked Cell 19 2" xfId="2501"/>
    <cellStyle name="Linked Cell 2" xfId="2502"/>
    <cellStyle name="Linked Cell 2 2" xfId="2503"/>
    <cellStyle name="Linked Cell 2 3" xfId="2504"/>
    <cellStyle name="Linked Cell 20" xfId="2505"/>
    <cellStyle name="Linked Cell 21" xfId="2506"/>
    <cellStyle name="Linked Cell 22" xfId="2507"/>
    <cellStyle name="Linked Cell 23" xfId="2508"/>
    <cellStyle name="Linked Cell 24" xfId="2509"/>
    <cellStyle name="Linked Cell 25" xfId="2510"/>
    <cellStyle name="Linked Cell 26" xfId="2511"/>
    <cellStyle name="Linked Cell 27" xfId="2512"/>
    <cellStyle name="Linked Cell 28" xfId="2513"/>
    <cellStyle name="Linked Cell 29" xfId="2514"/>
    <cellStyle name="Linked Cell 3" xfId="2515"/>
    <cellStyle name="Linked Cell 3 2" xfId="2516"/>
    <cellStyle name="Linked Cell 30" xfId="2517"/>
    <cellStyle name="Linked Cell 31" xfId="2518"/>
    <cellStyle name="Linked Cell 32" xfId="2519"/>
    <cellStyle name="Linked Cell 33" xfId="2520"/>
    <cellStyle name="Linked Cell 34" xfId="2521"/>
    <cellStyle name="Linked Cell 35" xfId="2522"/>
    <cellStyle name="Linked Cell 36" xfId="2523"/>
    <cellStyle name="Linked Cell 37" xfId="9452"/>
    <cellStyle name="Linked Cell 4" xfId="2524"/>
    <cellStyle name="Linked Cell 4 2" xfId="2525"/>
    <cellStyle name="Linked Cell 5" xfId="2526"/>
    <cellStyle name="Linked Cell 5 2" xfId="2527"/>
    <cellStyle name="Linked Cell 6" xfId="2528"/>
    <cellStyle name="Linked Cell 6 2" xfId="2529"/>
    <cellStyle name="Linked Cell 7" xfId="2530"/>
    <cellStyle name="Linked Cell 7 2" xfId="2531"/>
    <cellStyle name="Linked Cell 8" xfId="2532"/>
    <cellStyle name="Linked Cell 8 2" xfId="2533"/>
    <cellStyle name="Linked Cell 9" xfId="2534"/>
    <cellStyle name="Linked Cell 9 2" xfId="2535"/>
    <cellStyle name="Neutral" xfId="43" builtinId="28" customBuiltin="1"/>
    <cellStyle name="Neutral 10" xfId="2536"/>
    <cellStyle name="Neutral 10 2" xfId="2537"/>
    <cellStyle name="Neutral 11" xfId="2538"/>
    <cellStyle name="Neutral 11 2" xfId="2539"/>
    <cellStyle name="Neutral 12" xfId="2540"/>
    <cellStyle name="Neutral 12 2" xfId="2541"/>
    <cellStyle name="Neutral 13" xfId="2542"/>
    <cellStyle name="Neutral 13 2" xfId="2543"/>
    <cellStyle name="Neutral 14" xfId="2544"/>
    <cellStyle name="Neutral 14 2" xfId="2545"/>
    <cellStyle name="Neutral 15" xfId="2546"/>
    <cellStyle name="Neutral 15 2" xfId="2547"/>
    <cellStyle name="Neutral 16" xfId="2548"/>
    <cellStyle name="Neutral 16 2" xfId="2549"/>
    <cellStyle name="Neutral 17" xfId="2550"/>
    <cellStyle name="Neutral 17 2" xfId="2551"/>
    <cellStyle name="Neutral 18" xfId="2552"/>
    <cellStyle name="Neutral 18 2" xfId="2553"/>
    <cellStyle name="Neutral 19" xfId="2554"/>
    <cellStyle name="Neutral 19 2" xfId="2555"/>
    <cellStyle name="Neutral 2" xfId="2556"/>
    <cellStyle name="Neutral 2 2" xfId="2557"/>
    <cellStyle name="Neutral 2 3" xfId="2558"/>
    <cellStyle name="Neutral 20" xfId="2559"/>
    <cellStyle name="Neutral 21" xfId="2560"/>
    <cellStyle name="Neutral 22" xfId="2561"/>
    <cellStyle name="Neutral 23" xfId="2562"/>
    <cellStyle name="Neutral 24" xfId="2563"/>
    <cellStyle name="Neutral 25" xfId="2564"/>
    <cellStyle name="Neutral 26" xfId="2565"/>
    <cellStyle name="Neutral 27" xfId="2566"/>
    <cellStyle name="Neutral 28" xfId="2567"/>
    <cellStyle name="Neutral 29" xfId="2568"/>
    <cellStyle name="Neutral 3" xfId="2569"/>
    <cellStyle name="Neutral 3 2" xfId="2570"/>
    <cellStyle name="Neutral 30" xfId="2571"/>
    <cellStyle name="Neutral 31" xfId="2572"/>
    <cellStyle name="Neutral 32" xfId="2573"/>
    <cellStyle name="Neutral 33" xfId="2574"/>
    <cellStyle name="Neutral 34" xfId="2575"/>
    <cellStyle name="Neutral 35" xfId="2576"/>
    <cellStyle name="Neutral 36" xfId="2577"/>
    <cellStyle name="Neutral 37" xfId="9453"/>
    <cellStyle name="Neutral 4" xfId="2578"/>
    <cellStyle name="Neutral 4 2" xfId="2579"/>
    <cellStyle name="Neutral 5" xfId="2580"/>
    <cellStyle name="Neutral 5 2" xfId="2581"/>
    <cellStyle name="Neutral 6" xfId="2582"/>
    <cellStyle name="Neutral 6 2" xfId="2583"/>
    <cellStyle name="Neutral 7" xfId="2584"/>
    <cellStyle name="Neutral 7 2" xfId="2585"/>
    <cellStyle name="Neutral 8" xfId="2586"/>
    <cellStyle name="Neutral 8 2" xfId="2587"/>
    <cellStyle name="Neutral 9" xfId="2588"/>
    <cellStyle name="Neutral 9 2" xfId="2589"/>
    <cellStyle name="no dec" xfId="2590"/>
    <cellStyle name="Normal" xfId="0" builtinId="0"/>
    <cellStyle name="Normal 10" xfId="2591"/>
    <cellStyle name="Normal 10 2" xfId="2592"/>
    <cellStyle name="Normal 10 2 2" xfId="2593"/>
    <cellStyle name="Normal 10 2 2 2" xfId="2594"/>
    <cellStyle name="Normal 10 2 2 2 2" xfId="2595"/>
    <cellStyle name="Normal 10 2 2 2 2 2" xfId="2596"/>
    <cellStyle name="Normal 10 2 2 2 3" xfId="2597"/>
    <cellStyle name="Normal 10 2 2 3" xfId="9382"/>
    <cellStyle name="Normal 10 2 3" xfId="4302"/>
    <cellStyle name="Normal 10 3" xfId="2598"/>
    <cellStyle name="Normal 10 4" xfId="4303"/>
    <cellStyle name="Normal 10 8" xfId="2599"/>
    <cellStyle name="Normal 11" xfId="2600"/>
    <cellStyle name="Normal 11 2" xfId="2601"/>
    <cellStyle name="Normal 11 2 2" xfId="2602"/>
    <cellStyle name="Normal 11 2 3" xfId="4304"/>
    <cellStyle name="Normal 11 3" xfId="2603"/>
    <cellStyle name="Normal 11 3 2" xfId="2604"/>
    <cellStyle name="Normal 11 4" xfId="2605"/>
    <cellStyle name="Normal 11 4 2" xfId="2606"/>
    <cellStyle name="Normal 11 5" xfId="2607"/>
    <cellStyle name="Normal 116" xfId="9454"/>
    <cellStyle name="Normal 12" xfId="2608"/>
    <cellStyle name="Normal 12 2" xfId="2609"/>
    <cellStyle name="Normal 12 2 2" xfId="2610"/>
    <cellStyle name="Normal 12 2 3" xfId="4305"/>
    <cellStyle name="Normal 12 3" xfId="2611"/>
    <cellStyle name="Normal 12 3 2" xfId="2612"/>
    <cellStyle name="Normal 12 4" xfId="2613"/>
    <cellStyle name="Normal 12 4 2" xfId="2614"/>
    <cellStyle name="Normal 12 5" xfId="2615"/>
    <cellStyle name="Normal 13" xfId="2616"/>
    <cellStyle name="Normal 13 2" xfId="2617"/>
    <cellStyle name="Normal 13 2 2" xfId="4306"/>
    <cellStyle name="Normal 13 2 3" xfId="4307"/>
    <cellStyle name="Normal 13 3" xfId="4308"/>
    <cellStyle name="Normal 13 4" xfId="4309"/>
    <cellStyle name="Normal 14" xfId="2618"/>
    <cellStyle name="Normal 14 2" xfId="4310"/>
    <cellStyle name="Normal 14 2 2" xfId="4311"/>
    <cellStyle name="Normal 14 2 3" xfId="4312"/>
    <cellStyle name="Normal 14 3" xfId="4313"/>
    <cellStyle name="Normal 14 4" xfId="4314"/>
    <cellStyle name="Normal 143" xfId="9389"/>
    <cellStyle name="Normal 15" xfId="2619"/>
    <cellStyle name="Normal 15 2" xfId="2620"/>
    <cellStyle name="Normal 15 2 2" xfId="4315"/>
    <cellStyle name="Normal 15 2 3" xfId="4316"/>
    <cellStyle name="Normal 15 3" xfId="4317"/>
    <cellStyle name="Normal 15 4" xfId="4318"/>
    <cellStyle name="Normal 154" xfId="9472"/>
    <cellStyle name="Normal 156" xfId="9474"/>
    <cellStyle name="Normal 158" xfId="9471"/>
    <cellStyle name="Normal 16" xfId="2621"/>
    <cellStyle name="Normal 16 2" xfId="2622"/>
    <cellStyle name="Normal 16 2 2" xfId="4319"/>
    <cellStyle name="Normal 16 2 3" xfId="4320"/>
    <cellStyle name="Normal 16 3" xfId="4321"/>
    <cellStyle name="Normal 16 4" xfId="4322"/>
    <cellStyle name="Normal 167 2" xfId="9455"/>
    <cellStyle name="Normal 17" xfId="2623"/>
    <cellStyle name="Normal 17 2" xfId="2624"/>
    <cellStyle name="Normal 17 2 2" xfId="4323"/>
    <cellStyle name="Normal 17 2 3" xfId="4324"/>
    <cellStyle name="Normal 17 3" xfId="4325"/>
    <cellStyle name="Normal 17 4" xfId="4326"/>
    <cellStyle name="Normal 171" xfId="9456"/>
    <cellStyle name="Normal 18" xfId="2625"/>
    <cellStyle name="Normal 18 2" xfId="2626"/>
    <cellStyle name="Normal 18 2 2" xfId="4327"/>
    <cellStyle name="Normal 18 2 3" xfId="4328"/>
    <cellStyle name="Normal 18 3" xfId="4329"/>
    <cellStyle name="Normal 18 4" xfId="4330"/>
    <cellStyle name="Normal 19" xfId="2627"/>
    <cellStyle name="Normal 19 2" xfId="2628"/>
    <cellStyle name="Normal 19 2 2" xfId="4331"/>
    <cellStyle name="Normal 19 2 3" xfId="4332"/>
    <cellStyle name="Normal 19 3" xfId="4333"/>
    <cellStyle name="Normal 19 4" xfId="4334"/>
    <cellStyle name="Normal 2" xfId="44"/>
    <cellStyle name="Normal 2 10" xfId="2629"/>
    <cellStyle name="Normal 2 10 2" xfId="2630"/>
    <cellStyle name="Normal 2 10 2 2" xfId="4335"/>
    <cellStyle name="Normal 2 10 2 3" xfId="4336"/>
    <cellStyle name="Normal 2 10 3" xfId="4337"/>
    <cellStyle name="Normal 2 10 4" xfId="4338"/>
    <cellStyle name="Normal 2 11" xfId="2631"/>
    <cellStyle name="Normal 2 11 2" xfId="2632"/>
    <cellStyle name="Normal 2 11 3" xfId="4339"/>
    <cellStyle name="Normal 2 12" xfId="2633"/>
    <cellStyle name="Normal 2 12 2" xfId="2634"/>
    <cellStyle name="Normal 2 12 3" xfId="4340"/>
    <cellStyle name="Normal 2 13" xfId="2635"/>
    <cellStyle name="Normal 2 13 2" xfId="2636"/>
    <cellStyle name="Normal 2 13 3" xfId="4341"/>
    <cellStyle name="Normal 2 14" xfId="2637"/>
    <cellStyle name="Normal 2 14 2" xfId="2638"/>
    <cellStyle name="Normal 2 14 3" xfId="4342"/>
    <cellStyle name="Normal 2 15" xfId="2639"/>
    <cellStyle name="Normal 2 15 2" xfId="2640"/>
    <cellStyle name="Normal 2 15 3" xfId="4343"/>
    <cellStyle name="Normal 2 16" xfId="2641"/>
    <cellStyle name="Normal 2 16 2" xfId="2642"/>
    <cellStyle name="Normal 2 16 3" xfId="4344"/>
    <cellStyle name="Normal 2 17" xfId="2643"/>
    <cellStyle name="Normal 2 17 2" xfId="2644"/>
    <cellStyle name="Normal 2 18" xfId="2645"/>
    <cellStyle name="Normal 2 18 2" xfId="2646"/>
    <cellStyle name="Normal 2 19" xfId="2647"/>
    <cellStyle name="Normal 2 19 2" xfId="2648"/>
    <cellStyle name="Normal 2 2" xfId="2649"/>
    <cellStyle name="Normal 2 2 10" xfId="2650"/>
    <cellStyle name="Normal 2 2 10 2" xfId="2651"/>
    <cellStyle name="Normal 2 2 10 2 2" xfId="4345"/>
    <cellStyle name="Normal 2 2 10 2 3" xfId="4346"/>
    <cellStyle name="Normal 2 2 10 3" xfId="4347"/>
    <cellStyle name="Normal 2 2 10 4" xfId="4348"/>
    <cellStyle name="Normal 2 2 11" xfId="2652"/>
    <cellStyle name="Normal 2 2 11 2" xfId="2653"/>
    <cellStyle name="Normal 2 2 11 2 2" xfId="4349"/>
    <cellStyle name="Normal 2 2 11 2 3" xfId="4350"/>
    <cellStyle name="Normal 2 2 11 3" xfId="4351"/>
    <cellStyle name="Normal 2 2 11 4" xfId="4352"/>
    <cellStyle name="Normal 2 2 12" xfId="2654"/>
    <cellStyle name="Normal 2 2 12 2" xfId="4353"/>
    <cellStyle name="Normal 2 2 12 2 2" xfId="4354"/>
    <cellStyle name="Normal 2 2 12 2 3" xfId="4355"/>
    <cellStyle name="Normal 2 2 12 3" xfId="4356"/>
    <cellStyle name="Normal 2 2 12 4" xfId="4357"/>
    <cellStyle name="Normal 2 2 13" xfId="4358"/>
    <cellStyle name="Normal 2 2 13 2" xfId="4359"/>
    <cellStyle name="Normal 2 2 13 2 2" xfId="4360"/>
    <cellStyle name="Normal 2 2 13 2 3" xfId="4361"/>
    <cellStyle name="Normal 2 2 13 3" xfId="4362"/>
    <cellStyle name="Normal 2 2 13 4" xfId="4363"/>
    <cellStyle name="Normal 2 2 14" xfId="4364"/>
    <cellStyle name="Normal 2 2 14 2" xfId="4365"/>
    <cellStyle name="Normal 2 2 14 2 2" xfId="4366"/>
    <cellStyle name="Normal 2 2 14 2 3" xfId="4367"/>
    <cellStyle name="Normal 2 2 14 3" xfId="4368"/>
    <cellStyle name="Normal 2 2 14 4" xfId="4369"/>
    <cellStyle name="Normal 2 2 15" xfId="4370"/>
    <cellStyle name="Normal 2 2 15 2" xfId="4371"/>
    <cellStyle name="Normal 2 2 15 2 2" xfId="4372"/>
    <cellStyle name="Normal 2 2 15 2 3" xfId="4373"/>
    <cellStyle name="Normal 2 2 15 3" xfId="4374"/>
    <cellStyle name="Normal 2 2 15 4" xfId="4375"/>
    <cellStyle name="Normal 2 2 16" xfId="4376"/>
    <cellStyle name="Normal 2 2 16 2" xfId="4377"/>
    <cellStyle name="Normal 2 2 16 2 2" xfId="4378"/>
    <cellStyle name="Normal 2 2 16 2 3" xfId="4379"/>
    <cellStyle name="Normal 2 2 16 3" xfId="4380"/>
    <cellStyle name="Normal 2 2 16 4" xfId="4381"/>
    <cellStyle name="Normal 2 2 17" xfId="4382"/>
    <cellStyle name="Normal 2 2 17 2" xfId="4383"/>
    <cellStyle name="Normal 2 2 17 2 2" xfId="4384"/>
    <cellStyle name="Normal 2 2 17 2 3" xfId="4385"/>
    <cellStyle name="Normal 2 2 17 3" xfId="4386"/>
    <cellStyle name="Normal 2 2 17 4" xfId="4387"/>
    <cellStyle name="Normal 2 2 18" xfId="4388"/>
    <cellStyle name="Normal 2 2 18 2" xfId="4389"/>
    <cellStyle name="Normal 2 2 18 2 2" xfId="4390"/>
    <cellStyle name="Normal 2 2 18 2 3" xfId="4391"/>
    <cellStyle name="Normal 2 2 18 3" xfId="4392"/>
    <cellStyle name="Normal 2 2 18 4" xfId="4393"/>
    <cellStyle name="Normal 2 2 19" xfId="4394"/>
    <cellStyle name="Normal 2 2 19 2" xfId="4395"/>
    <cellStyle name="Normal 2 2 19 2 2" xfId="4396"/>
    <cellStyle name="Normal 2 2 19 2 3" xfId="4397"/>
    <cellStyle name="Normal 2 2 19 3" xfId="4398"/>
    <cellStyle name="Normal 2 2 19 4" xfId="4399"/>
    <cellStyle name="Normal 2 2 2" xfId="2655"/>
    <cellStyle name="Normal 2 2 2 2" xfId="2656"/>
    <cellStyle name="Normal 2 2 2 2 2" xfId="4400"/>
    <cellStyle name="Normal 2 2 2 2 2 2" xfId="4401"/>
    <cellStyle name="Normal 2 2 2 2 2 3" xfId="4402"/>
    <cellStyle name="Normal 2 2 2 2 3" xfId="4403"/>
    <cellStyle name="Normal 2 2 2 2 4" xfId="4404"/>
    <cellStyle name="Normal 2 2 2 3" xfId="4405"/>
    <cellStyle name="Normal 2 2 2 3 2" xfId="4406"/>
    <cellStyle name="Normal 2 2 2 3 3" xfId="4407"/>
    <cellStyle name="Normal 2 2 2 4" xfId="4408"/>
    <cellStyle name="Normal 2 2 2 5" xfId="4409"/>
    <cellStyle name="Normal 2 2 20" xfId="2657"/>
    <cellStyle name="Normal 2 2 20 2" xfId="2658"/>
    <cellStyle name="Normal 2 2 20 2 2" xfId="2659"/>
    <cellStyle name="Normal 2 2 20 2 3" xfId="4410"/>
    <cellStyle name="Normal 2 2 20 3" xfId="2660"/>
    <cellStyle name="Normal 2 2 20 3 2" xfId="2661"/>
    <cellStyle name="Normal 2 2 20 4" xfId="2662"/>
    <cellStyle name="Normal 2 2 20 4 2" xfId="2663"/>
    <cellStyle name="Normal 2 2 20 5" xfId="2664"/>
    <cellStyle name="Normal 2 2 21" xfId="4411"/>
    <cellStyle name="Normal 2 2 21 2" xfId="4412"/>
    <cellStyle name="Normal 2 2 21 2 2" xfId="4413"/>
    <cellStyle name="Normal 2 2 21 2 3" xfId="4414"/>
    <cellStyle name="Normal 2 2 21 3" xfId="4415"/>
    <cellStyle name="Normal 2 2 21 4" xfId="4416"/>
    <cellStyle name="Normal 2 2 22" xfId="4417"/>
    <cellStyle name="Normal 2 2 22 2" xfId="4418"/>
    <cellStyle name="Normal 2 2 22 2 2" xfId="4419"/>
    <cellStyle name="Normal 2 2 22 2 3" xfId="4420"/>
    <cellStyle name="Normal 2 2 22 3" xfId="4421"/>
    <cellStyle name="Normal 2 2 22 4" xfId="4422"/>
    <cellStyle name="Normal 2 2 23" xfId="4423"/>
    <cellStyle name="Normal 2 2 23 2" xfId="4424"/>
    <cellStyle name="Normal 2 2 23 2 2" xfId="4425"/>
    <cellStyle name="Normal 2 2 23 2 3" xfId="4426"/>
    <cellStyle name="Normal 2 2 23 3" xfId="4427"/>
    <cellStyle name="Normal 2 2 23 4" xfId="4428"/>
    <cellStyle name="Normal 2 2 24" xfId="4429"/>
    <cellStyle name="Normal 2 2 24 2" xfId="4430"/>
    <cellStyle name="Normal 2 2 24 2 2" xfId="4431"/>
    <cellStyle name="Normal 2 2 24 2 3" xfId="4432"/>
    <cellStyle name="Normal 2 2 24 3" xfId="4433"/>
    <cellStyle name="Normal 2 2 24 4" xfId="4434"/>
    <cellStyle name="Normal 2 2 25" xfId="4435"/>
    <cellStyle name="Normal 2 2 25 2" xfId="4436"/>
    <cellStyle name="Normal 2 2 25 2 2" xfId="4437"/>
    <cellStyle name="Normal 2 2 25 2 3" xfId="4438"/>
    <cellStyle name="Normal 2 2 25 3" xfId="4439"/>
    <cellStyle name="Normal 2 2 25 4" xfId="4440"/>
    <cellStyle name="Normal 2 2 26" xfId="4441"/>
    <cellStyle name="Normal 2 2 26 2" xfId="4442"/>
    <cellStyle name="Normal 2 2 26 2 2" xfId="4443"/>
    <cellStyle name="Normal 2 2 26 2 3" xfId="4444"/>
    <cellStyle name="Normal 2 2 26 3" xfId="4445"/>
    <cellStyle name="Normal 2 2 26 4" xfId="4446"/>
    <cellStyle name="Normal 2 2 27" xfId="4447"/>
    <cellStyle name="Normal 2 2 27 2" xfId="4448"/>
    <cellStyle name="Normal 2 2 27 2 2" xfId="4449"/>
    <cellStyle name="Normal 2 2 27 2 3" xfId="4450"/>
    <cellStyle name="Normal 2 2 27 3" xfId="4451"/>
    <cellStyle name="Normal 2 2 27 4" xfId="4452"/>
    <cellStyle name="Normal 2 2 28" xfId="4453"/>
    <cellStyle name="Normal 2 2 28 2" xfId="4454"/>
    <cellStyle name="Normal 2 2 28 2 2" xfId="4455"/>
    <cellStyle name="Normal 2 2 28 2 3" xfId="4456"/>
    <cellStyle name="Normal 2 2 28 3" xfId="4457"/>
    <cellStyle name="Normal 2 2 28 4" xfId="4458"/>
    <cellStyle name="Normal 2 2 29" xfId="4459"/>
    <cellStyle name="Normal 2 2 29 2" xfId="4460"/>
    <cellStyle name="Normal 2 2 29 2 2" xfId="4461"/>
    <cellStyle name="Normal 2 2 29 2 3" xfId="4462"/>
    <cellStyle name="Normal 2 2 29 3" xfId="4463"/>
    <cellStyle name="Normal 2 2 29 4" xfId="4464"/>
    <cellStyle name="Normal 2 2 3" xfId="2665"/>
    <cellStyle name="Normal 2 2 3 2" xfId="2666"/>
    <cellStyle name="Normal 2 2 3 2 2" xfId="4465"/>
    <cellStyle name="Normal 2 2 3 2 2 2" xfId="4466"/>
    <cellStyle name="Normal 2 2 3 2 2 3" xfId="4467"/>
    <cellStyle name="Normal 2 2 3 2 3" xfId="4468"/>
    <cellStyle name="Normal 2 2 3 2 4" xfId="4469"/>
    <cellStyle name="Normal 2 2 3 3" xfId="4470"/>
    <cellStyle name="Normal 2 2 3 3 2" xfId="4471"/>
    <cellStyle name="Normal 2 2 3 3 3" xfId="4472"/>
    <cellStyle name="Normal 2 2 3 4" xfId="4473"/>
    <cellStyle name="Normal 2 2 3 5" xfId="4474"/>
    <cellStyle name="Normal 2 2 30" xfId="4475"/>
    <cellStyle name="Normal 2 2 30 2" xfId="4476"/>
    <cellStyle name="Normal 2 2 30 2 2" xfId="4477"/>
    <cellStyle name="Normal 2 2 30 2 3" xfId="4478"/>
    <cellStyle name="Normal 2 2 30 3" xfId="4479"/>
    <cellStyle name="Normal 2 2 30 4" xfId="4480"/>
    <cellStyle name="Normal 2 2 31" xfId="4481"/>
    <cellStyle name="Normal 2 2 31 2" xfId="4482"/>
    <cellStyle name="Normal 2 2 31 2 2" xfId="4483"/>
    <cellStyle name="Normal 2 2 31 2 3" xfId="4484"/>
    <cellStyle name="Normal 2 2 31 3" xfId="4485"/>
    <cellStyle name="Normal 2 2 31 4" xfId="4486"/>
    <cellStyle name="Normal 2 2 32" xfId="4487"/>
    <cellStyle name="Normal 2 2 32 2" xfId="4488"/>
    <cellStyle name="Normal 2 2 32 3" xfId="4489"/>
    <cellStyle name="Normal 2 2 33" xfId="4490"/>
    <cellStyle name="Normal 2 2 34" xfId="4491"/>
    <cellStyle name="Normal 2 2 35" xfId="4492"/>
    <cellStyle name="Normal 2 2 4" xfId="2667"/>
    <cellStyle name="Normal 2 2 4 2" xfId="2668"/>
    <cellStyle name="Normal 2 2 4 2 2" xfId="4493"/>
    <cellStyle name="Normal 2 2 4 2 2 2" xfId="4494"/>
    <cellStyle name="Normal 2 2 4 2 2 3" xfId="4495"/>
    <cellStyle name="Normal 2 2 4 2 3" xfId="4496"/>
    <cellStyle name="Normal 2 2 4 2 4" xfId="4497"/>
    <cellStyle name="Normal 2 2 4 3" xfId="4498"/>
    <cellStyle name="Normal 2 2 4 3 2" xfId="4499"/>
    <cellStyle name="Normal 2 2 4 3 3" xfId="4500"/>
    <cellStyle name="Normal 2 2 4 4" xfId="4501"/>
    <cellStyle name="Normal 2 2 4 5" xfId="4502"/>
    <cellStyle name="Normal 2 2 5" xfId="2669"/>
    <cellStyle name="Normal 2 2 5 2" xfId="2670"/>
    <cellStyle name="Normal 2 2 5 2 2" xfId="4503"/>
    <cellStyle name="Normal 2 2 5 2 2 2" xfId="4504"/>
    <cellStyle name="Normal 2 2 5 2 2 3" xfId="4505"/>
    <cellStyle name="Normal 2 2 5 2 3" xfId="4506"/>
    <cellStyle name="Normal 2 2 5 2 4" xfId="4507"/>
    <cellStyle name="Normal 2 2 5 3" xfId="4508"/>
    <cellStyle name="Normal 2 2 5 3 2" xfId="4509"/>
    <cellStyle name="Normal 2 2 5 3 3" xfId="4510"/>
    <cellStyle name="Normal 2 2 5 4" xfId="4511"/>
    <cellStyle name="Normal 2 2 5 5" xfId="4512"/>
    <cellStyle name="Normal 2 2 6" xfId="2671"/>
    <cellStyle name="Normal 2 2 6 2" xfId="2672"/>
    <cellStyle name="Normal 2 2 6 2 2" xfId="4513"/>
    <cellStyle name="Normal 2 2 6 2 3" xfId="4514"/>
    <cellStyle name="Normal 2 2 6 3" xfId="4515"/>
    <cellStyle name="Normal 2 2 6 4" xfId="4516"/>
    <cellStyle name="Normal 2 2 7" xfId="2673"/>
    <cellStyle name="Normal 2 2 7 2" xfId="2674"/>
    <cellStyle name="Normal 2 2 7 2 2" xfId="4517"/>
    <cellStyle name="Normal 2 2 7 2 3" xfId="4518"/>
    <cellStyle name="Normal 2 2 7 3" xfId="4519"/>
    <cellStyle name="Normal 2 2 7 4" xfId="4520"/>
    <cellStyle name="Normal 2 2 8" xfId="2675"/>
    <cellStyle name="Normal 2 2 8 2" xfId="2676"/>
    <cellStyle name="Normal 2 2 8 2 2" xfId="4521"/>
    <cellStyle name="Normal 2 2 8 2 3" xfId="4522"/>
    <cellStyle name="Normal 2 2 8 3" xfId="4523"/>
    <cellStyle name="Normal 2 2 8 4" xfId="4524"/>
    <cellStyle name="Normal 2 2 9" xfId="2677"/>
    <cellStyle name="Normal 2 2 9 2" xfId="2678"/>
    <cellStyle name="Normal 2 2 9 2 2" xfId="4525"/>
    <cellStyle name="Normal 2 2 9 2 3" xfId="4526"/>
    <cellStyle name="Normal 2 2 9 3" xfId="4527"/>
    <cellStyle name="Normal 2 2 9 4" xfId="4528"/>
    <cellStyle name="Normal 2 2_IDD #5 - Pepco (Sept 2)" xfId="2679"/>
    <cellStyle name="Normal 2 20" xfId="2680"/>
    <cellStyle name="Normal 2 20 2" xfId="2681"/>
    <cellStyle name="Normal 2 21" xfId="2682"/>
    <cellStyle name="Normal 2 21 2" xfId="2683"/>
    <cellStyle name="Normal 2 22" xfId="2684"/>
    <cellStyle name="Normal 2 22 2" xfId="2685"/>
    <cellStyle name="Normal 2 23" xfId="2686"/>
    <cellStyle name="Normal 2 23 2" xfId="2687"/>
    <cellStyle name="Normal 2 24" xfId="2688"/>
    <cellStyle name="Normal 2 24 2" xfId="2689"/>
    <cellStyle name="Normal 2 25" xfId="2690"/>
    <cellStyle name="Normal 2 25 2" xfId="2691"/>
    <cellStyle name="Normal 2 26" xfId="2692"/>
    <cellStyle name="Normal 2 26 2" xfId="2693"/>
    <cellStyle name="Normal 2 27" xfId="2694"/>
    <cellStyle name="Normal 2 27 2" xfId="2695"/>
    <cellStyle name="Normal 2 28" xfId="2696"/>
    <cellStyle name="Normal 2 28 2" xfId="2697"/>
    <cellStyle name="Normal 2 29" xfId="2698"/>
    <cellStyle name="Normal 2 29 2" xfId="2699"/>
    <cellStyle name="Normal 2 3" xfId="2700"/>
    <cellStyle name="Normal 2 3 2" xfId="2701"/>
    <cellStyle name="Normal 2 3 2 2" xfId="4529"/>
    <cellStyle name="Normal 2 3 2 3" xfId="4530"/>
    <cellStyle name="Normal 2 3 3" xfId="4531"/>
    <cellStyle name="Normal 2 3 4" xfId="4532"/>
    <cellStyle name="Normal 2 30" xfId="2702"/>
    <cellStyle name="Normal 2 30 2" xfId="2703"/>
    <cellStyle name="Normal 2 31" xfId="2704"/>
    <cellStyle name="Normal 2 31 2" xfId="2705"/>
    <cellStyle name="Normal 2 32" xfId="2706"/>
    <cellStyle name="Normal 2 32 2" xfId="2707"/>
    <cellStyle name="Normal 2 33" xfId="2708"/>
    <cellStyle name="Normal 2 33 2" xfId="2709"/>
    <cellStyle name="Normal 2 34" xfId="2710"/>
    <cellStyle name="Normal 2 34 2" xfId="2711"/>
    <cellStyle name="Normal 2 35" xfId="2712"/>
    <cellStyle name="Normal 2 35 2" xfId="2713"/>
    <cellStyle name="Normal 2 36" xfId="2714"/>
    <cellStyle name="Normal 2 36 2" xfId="2715"/>
    <cellStyle name="Normal 2 37" xfId="2716"/>
    <cellStyle name="Normal 2 37 2" xfId="2717"/>
    <cellStyle name="Normal 2 38" xfId="2718"/>
    <cellStyle name="Normal 2 38 2" xfId="2719"/>
    <cellStyle name="Normal 2 39" xfId="2720"/>
    <cellStyle name="Normal 2 39 2" xfId="2721"/>
    <cellStyle name="Normal 2 4" xfId="2722"/>
    <cellStyle name="Normal 2 4 2" xfId="2723"/>
    <cellStyle name="Normal 2 4 2 2" xfId="4533"/>
    <cellStyle name="Normal 2 4 2 3" xfId="4534"/>
    <cellStyle name="Normal 2 4 3" xfId="4535"/>
    <cellStyle name="Normal 2 4 4" xfId="4536"/>
    <cellStyle name="Normal 2 40" xfId="2724"/>
    <cellStyle name="Normal 2 40 2" xfId="2725"/>
    <cellStyle name="Normal 2 41" xfId="2726"/>
    <cellStyle name="Normal 2 41 2" xfId="2727"/>
    <cellStyle name="Normal 2 42" xfId="2728"/>
    <cellStyle name="Normal 2 42 2" xfId="2729"/>
    <cellStyle name="Normal 2 43" xfId="2730"/>
    <cellStyle name="Normal 2 43 2" xfId="2731"/>
    <cellStyle name="Normal 2 44" xfId="2732"/>
    <cellStyle name="Normal 2 44 2" xfId="2733"/>
    <cellStyle name="Normal 2 45" xfId="2734"/>
    <cellStyle name="Normal 2 45 2" xfId="2735"/>
    <cellStyle name="Normal 2 46" xfId="2736"/>
    <cellStyle name="Normal 2 46 2" xfId="2737"/>
    <cellStyle name="Normal 2 47" xfId="2738"/>
    <cellStyle name="Normal 2 47 2" xfId="2739"/>
    <cellStyle name="Normal 2 48" xfId="2740"/>
    <cellStyle name="Normal 2 48 2" xfId="2741"/>
    <cellStyle name="Normal 2 49" xfId="2742"/>
    <cellStyle name="Normal 2 49 2" xfId="2743"/>
    <cellStyle name="Normal 2 5" xfId="2744"/>
    <cellStyle name="Normal 2 5 2" xfId="2745"/>
    <cellStyle name="Normal 2 5 2 2" xfId="4537"/>
    <cellStyle name="Normal 2 5 2 3" xfId="4538"/>
    <cellStyle name="Normal 2 5 3" xfId="4539"/>
    <cellStyle name="Normal 2 5 4" xfId="4540"/>
    <cellStyle name="Normal 2 50" xfId="2746"/>
    <cellStyle name="Normal 2 50 2" xfId="2747"/>
    <cellStyle name="Normal 2 51" xfId="2748"/>
    <cellStyle name="Normal 2 51 2" xfId="2749"/>
    <cellStyle name="Normal 2 52" xfId="2750"/>
    <cellStyle name="Normal 2 52 2" xfId="2751"/>
    <cellStyle name="Normal 2 53" xfId="2752"/>
    <cellStyle name="Normal 2 53 2" xfId="2753"/>
    <cellStyle name="Normal 2 54" xfId="2754"/>
    <cellStyle name="Normal 2 54 2" xfId="2755"/>
    <cellStyle name="Normal 2 55" xfId="2756"/>
    <cellStyle name="Normal 2 55 2" xfId="2757"/>
    <cellStyle name="Normal 2 56" xfId="2758"/>
    <cellStyle name="Normal 2 56 2" xfId="2759"/>
    <cellStyle name="Normal 2 57" xfId="2760"/>
    <cellStyle name="Normal 2 57 2" xfId="2761"/>
    <cellStyle name="Normal 2 58" xfId="2762"/>
    <cellStyle name="Normal 2 58 2" xfId="2763"/>
    <cellStyle name="Normal 2 59" xfId="2764"/>
    <cellStyle name="Normal 2 59 2" xfId="2765"/>
    <cellStyle name="Normal 2 6" xfId="2766"/>
    <cellStyle name="Normal 2 6 2" xfId="2767"/>
    <cellStyle name="Normal 2 6 2 2" xfId="4541"/>
    <cellStyle name="Normal 2 6 2 3" xfId="4542"/>
    <cellStyle name="Normal 2 6 3" xfId="4543"/>
    <cellStyle name="Normal 2 6 4" xfId="4544"/>
    <cellStyle name="Normal 2 60" xfId="2768"/>
    <cellStyle name="Normal 2 60 2" xfId="2769"/>
    <cellStyle name="Normal 2 61" xfId="2770"/>
    <cellStyle name="Normal 2 61 2" xfId="2771"/>
    <cellStyle name="Normal 2 62" xfId="2772"/>
    <cellStyle name="Normal 2 62 2" xfId="2773"/>
    <cellStyle name="Normal 2 63" xfId="2774"/>
    <cellStyle name="Normal 2 63 2" xfId="2775"/>
    <cellStyle name="Normal 2 64" xfId="2776"/>
    <cellStyle name="Normal 2 64 2" xfId="2777"/>
    <cellStyle name="Normal 2 65" xfId="2778"/>
    <cellStyle name="Normal 2 65 2" xfId="2779"/>
    <cellStyle name="Normal 2 66" xfId="2780"/>
    <cellStyle name="Normal 2 66 2" xfId="2781"/>
    <cellStyle name="Normal 2 67" xfId="2782"/>
    <cellStyle name="Normal 2 67 2" xfId="2783"/>
    <cellStyle name="Normal 2 68" xfId="2784"/>
    <cellStyle name="Normal 2 68 2" xfId="2785"/>
    <cellStyle name="Normal 2 69" xfId="2786"/>
    <cellStyle name="Normal 2 69 2" xfId="2787"/>
    <cellStyle name="Normal 2 7" xfId="2788"/>
    <cellStyle name="Normal 2 7 2" xfId="2789"/>
    <cellStyle name="Normal 2 7 2 2" xfId="4545"/>
    <cellStyle name="Normal 2 7 2 3" xfId="4546"/>
    <cellStyle name="Normal 2 7 3" xfId="4547"/>
    <cellStyle name="Normal 2 7 4" xfId="4548"/>
    <cellStyle name="Normal 2 70" xfId="2790"/>
    <cellStyle name="Normal 2 70 2" xfId="2791"/>
    <cellStyle name="Normal 2 71" xfId="2792"/>
    <cellStyle name="Normal 2 71 2" xfId="2793"/>
    <cellStyle name="Normal 2 72" xfId="2794"/>
    <cellStyle name="Normal 2 72 2" xfId="2795"/>
    <cellStyle name="Normal 2 73" xfId="2796"/>
    <cellStyle name="Normal 2 73 2" xfId="2797"/>
    <cellStyle name="Normal 2 74" xfId="2798"/>
    <cellStyle name="Normal 2 74 2" xfId="2799"/>
    <cellStyle name="Normal 2 75" xfId="2800"/>
    <cellStyle name="Normal 2 75 2" xfId="2801"/>
    <cellStyle name="Normal 2 76" xfId="2802"/>
    <cellStyle name="Normal 2 76 2" xfId="2803"/>
    <cellStyle name="Normal 2 77" xfId="2804"/>
    <cellStyle name="Normal 2 77 2" xfId="2805"/>
    <cellStyle name="Normal 2 78" xfId="2806"/>
    <cellStyle name="Normal 2 78 2" xfId="2807"/>
    <cellStyle name="Normal 2 79" xfId="2808"/>
    <cellStyle name="Normal 2 8" xfId="2809"/>
    <cellStyle name="Normal 2 8 2" xfId="2810"/>
    <cellStyle name="Normal 2 8 2 2" xfId="4549"/>
    <cellStyle name="Normal 2 8 2 3" xfId="4550"/>
    <cellStyle name="Normal 2 8 3" xfId="4551"/>
    <cellStyle name="Normal 2 8 4" xfId="4552"/>
    <cellStyle name="Normal 2 80" xfId="9380"/>
    <cellStyle name="Normal 2 9" xfId="2811"/>
    <cellStyle name="Normal 2 9 2" xfId="2812"/>
    <cellStyle name="Normal 2 9 2 2" xfId="4553"/>
    <cellStyle name="Normal 2 9 2 3" xfId="4554"/>
    <cellStyle name="Normal 2 9 3" xfId="4555"/>
    <cellStyle name="Normal 2 9 4" xfId="4556"/>
    <cellStyle name="Normal 2_July Normalization" xfId="2813"/>
    <cellStyle name="Normal 20" xfId="2814"/>
    <cellStyle name="Normal 20 2" xfId="2815"/>
    <cellStyle name="Normal 20 2 2" xfId="4557"/>
    <cellStyle name="Normal 20 2 3" xfId="4558"/>
    <cellStyle name="Normal 20 3" xfId="4559"/>
    <cellStyle name="Normal 20 4" xfId="4560"/>
    <cellStyle name="Normal 21" xfId="2816"/>
    <cellStyle name="Normal 21 2" xfId="2817"/>
    <cellStyle name="Normal 21 2 2" xfId="4561"/>
    <cellStyle name="Normal 21 2 3" xfId="4562"/>
    <cellStyle name="Normal 21 3" xfId="4563"/>
    <cellStyle name="Normal 21 4" xfId="4564"/>
    <cellStyle name="Normal 22" xfId="2818"/>
    <cellStyle name="Normal 22 2" xfId="2819"/>
    <cellStyle name="Normal 22 2 2" xfId="4565"/>
    <cellStyle name="Normal 22 2 3" xfId="4566"/>
    <cellStyle name="Normal 22 3" xfId="4567"/>
    <cellStyle name="Normal 22 4" xfId="4568"/>
    <cellStyle name="Normal 23" xfId="2820"/>
    <cellStyle name="Normal 23 2" xfId="2821"/>
    <cellStyle name="Normal 23 2 2" xfId="2822"/>
    <cellStyle name="Normal 23 2 3" xfId="4569"/>
    <cellStyle name="Normal 23 3" xfId="2823"/>
    <cellStyle name="Normal 23 3 2" xfId="2824"/>
    <cellStyle name="Normal 23 4" xfId="2825"/>
    <cellStyle name="Normal 23 4 2" xfId="2826"/>
    <cellStyle name="Normal 23 5" xfId="2827"/>
    <cellStyle name="Normal 23 5 2" xfId="2828"/>
    <cellStyle name="Normal 23 6" xfId="2829"/>
    <cellStyle name="Normal 23 6 2" xfId="2830"/>
    <cellStyle name="Normal 23 7" xfId="2831"/>
    <cellStyle name="Normal 23_11-03 - PHI Consolidated - Summary of FIN 48 Related To DC Q4 2010" xfId="2832"/>
    <cellStyle name="Normal 24" xfId="2833"/>
    <cellStyle name="Normal 24 2" xfId="2834"/>
    <cellStyle name="Normal 24 2 2" xfId="2835"/>
    <cellStyle name="Normal 24 2 3" xfId="4570"/>
    <cellStyle name="Normal 24 3" xfId="2836"/>
    <cellStyle name="Normal 24 3 2" xfId="2837"/>
    <cellStyle name="Normal 24 4" xfId="2838"/>
    <cellStyle name="Normal 24 4 2" xfId="2839"/>
    <cellStyle name="Normal 24 5" xfId="2840"/>
    <cellStyle name="Normal 24 5 2" xfId="2841"/>
    <cellStyle name="Normal 24 6" xfId="2842"/>
    <cellStyle name="Normal 24 6 2" xfId="2843"/>
    <cellStyle name="Normal 24 7" xfId="2844"/>
    <cellStyle name="Normal 24_11-03 - PHI Consolidated - Summary of FIN 48 Related To DC Q4 2010" xfId="2845"/>
    <cellStyle name="Normal 25" xfId="2846"/>
    <cellStyle name="Normal 25 2" xfId="2847"/>
    <cellStyle name="Normal 25 2 2" xfId="4571"/>
    <cellStyle name="Normal 25 2 3" xfId="4572"/>
    <cellStyle name="Normal 25 3" xfId="4573"/>
    <cellStyle name="Normal 25 4" xfId="4574"/>
    <cellStyle name="Normal 26" xfId="2848"/>
    <cellStyle name="Normal 26 2" xfId="2849"/>
    <cellStyle name="Normal 26 2 2" xfId="2850"/>
    <cellStyle name="Normal 26 2 2 2" xfId="4575"/>
    <cellStyle name="Normal 26 2 2 3" xfId="4576"/>
    <cellStyle name="Normal 26 2 3" xfId="4577"/>
    <cellStyle name="Normal 26 2 4" xfId="4578"/>
    <cellStyle name="Normal 26 3" xfId="2851"/>
    <cellStyle name="Normal 26 3 2" xfId="2852"/>
    <cellStyle name="Normal 26 3 3" xfId="4579"/>
    <cellStyle name="Normal 26 4" xfId="2853"/>
    <cellStyle name="Normal 26 4 2" xfId="2854"/>
    <cellStyle name="Normal 26 5" xfId="2855"/>
    <cellStyle name="Normal 26 5 2" xfId="2856"/>
    <cellStyle name="Normal 26 6" xfId="2857"/>
    <cellStyle name="Normal 26 6 2" xfId="2858"/>
    <cellStyle name="Normal 26 7" xfId="2859"/>
    <cellStyle name="Normal 26_11-03 - PHI Consolidated - Summary of FIN 48 Related To DC Q4 2010" xfId="2860"/>
    <cellStyle name="Normal 27" xfId="2861"/>
    <cellStyle name="Normal 27 2" xfId="2862"/>
    <cellStyle name="Normal 27 2 2" xfId="2863"/>
    <cellStyle name="Normal 27 2 3" xfId="4580"/>
    <cellStyle name="Normal 27 3" xfId="2864"/>
    <cellStyle name="Normal 27 3 2" xfId="2865"/>
    <cellStyle name="Normal 27 4" xfId="2866"/>
    <cellStyle name="Normal 27 4 2" xfId="2867"/>
    <cellStyle name="Normal 27 5" xfId="2868"/>
    <cellStyle name="Normal 27 5 2" xfId="2869"/>
    <cellStyle name="Normal 27 6" xfId="2870"/>
    <cellStyle name="Normal 27 6 2" xfId="2871"/>
    <cellStyle name="Normal 27 7" xfId="2872"/>
    <cellStyle name="Normal 27_11-03 - PHI Consolidated - Summary of FIN 48 Related To DC Q4 2010" xfId="2873"/>
    <cellStyle name="Normal 28" xfId="2874"/>
    <cellStyle name="Normal 28 2" xfId="2875"/>
    <cellStyle name="Normal 28 2 2" xfId="2876"/>
    <cellStyle name="Normal 28 2 3" xfId="4581"/>
    <cellStyle name="Normal 28 3" xfId="2877"/>
    <cellStyle name="Normal 28 3 2" xfId="2878"/>
    <cellStyle name="Normal 28 4" xfId="2879"/>
    <cellStyle name="Normal 28 4 2" xfId="2880"/>
    <cellStyle name="Normal 28 5" xfId="2881"/>
    <cellStyle name="Normal 29" xfId="2882"/>
    <cellStyle name="Normal 29 2" xfId="2883"/>
    <cellStyle name="Normal 29 2 2" xfId="2884"/>
    <cellStyle name="Normal 29 2 3" xfId="4582"/>
    <cellStyle name="Normal 29 3" xfId="2885"/>
    <cellStyle name="Normal 29 4" xfId="4583"/>
    <cellStyle name="Normal 3" xfId="45"/>
    <cellStyle name="Normal 3 10" xfId="4584"/>
    <cellStyle name="Normal 3 10 2" xfId="4585"/>
    <cellStyle name="Normal 3 10 3" xfId="4586"/>
    <cellStyle name="Normal 3 11" xfId="4587"/>
    <cellStyle name="Normal 3 12" xfId="4588"/>
    <cellStyle name="Normal 3 13" xfId="4589"/>
    <cellStyle name="Normal 3 14" xfId="4590"/>
    <cellStyle name="Normal 3 2" xfId="2886"/>
    <cellStyle name="Normal 3 2 2" xfId="2887"/>
    <cellStyle name="Normal 3 2 2 2" xfId="4591"/>
    <cellStyle name="Normal 3 2 2 3" xfId="4592"/>
    <cellStyle name="Normal 3 2 3" xfId="4593"/>
    <cellStyle name="Normal 3 2 4" xfId="4594"/>
    <cellStyle name="Normal 3 3" xfId="2888"/>
    <cellStyle name="Normal 3 3 2" xfId="2889"/>
    <cellStyle name="Normal 3 3 2 2" xfId="4595"/>
    <cellStyle name="Normal 3 3 2 3" xfId="4596"/>
    <cellStyle name="Normal 3 3 3" xfId="4597"/>
    <cellStyle name="Normal 3 3 4" xfId="4598"/>
    <cellStyle name="Normal 3 4" xfId="2890"/>
    <cellStyle name="Normal 3 4 2" xfId="2891"/>
    <cellStyle name="Normal 3 4 2 2" xfId="4599"/>
    <cellStyle name="Normal 3 4 2 3" xfId="4600"/>
    <cellStyle name="Normal 3 4 3" xfId="4601"/>
    <cellStyle name="Normal 3 4 4" xfId="4602"/>
    <cellStyle name="Normal 3 5" xfId="2892"/>
    <cellStyle name="Normal 3 5 2" xfId="4603"/>
    <cellStyle name="Normal 3 5 2 2" xfId="4604"/>
    <cellStyle name="Normal 3 5 2 3" xfId="4605"/>
    <cellStyle name="Normal 3 5 3" xfId="4606"/>
    <cellStyle name="Normal 3 5 4" xfId="4607"/>
    <cellStyle name="Normal 3 6" xfId="2893"/>
    <cellStyle name="Normal 3 6 2" xfId="4608"/>
    <cellStyle name="Normal 3 6 2 2" xfId="4609"/>
    <cellStyle name="Normal 3 6 2 3" xfId="4610"/>
    <cellStyle name="Normal 3 6 3" xfId="4611"/>
    <cellStyle name="Normal 3 6 4" xfId="4612"/>
    <cellStyle name="Normal 3 7" xfId="4613"/>
    <cellStyle name="Normal 3 7 2" xfId="4614"/>
    <cellStyle name="Normal 3 7 2 2" xfId="4615"/>
    <cellStyle name="Normal 3 7 2 3" xfId="4616"/>
    <cellStyle name="Normal 3 7 3" xfId="4617"/>
    <cellStyle name="Normal 3 7 4" xfId="4618"/>
    <cellStyle name="Normal 3 8" xfId="4619"/>
    <cellStyle name="Normal 3 8 2" xfId="4620"/>
    <cellStyle name="Normal 3 8 2 2" xfId="4621"/>
    <cellStyle name="Normal 3 8 2 3" xfId="4622"/>
    <cellStyle name="Normal 3 8 3" xfId="4623"/>
    <cellStyle name="Normal 3 8 4" xfId="4624"/>
    <cellStyle name="Normal 3 9" xfId="4625"/>
    <cellStyle name="Normal 3 9 2" xfId="4626"/>
    <cellStyle name="Normal 3 9 2 2" xfId="4627"/>
    <cellStyle name="Normal 3 9 2 3" xfId="4628"/>
    <cellStyle name="Normal 3 9 3" xfId="4629"/>
    <cellStyle name="Normal 3 9 4" xfId="4630"/>
    <cellStyle name="Normal 3_2009 DC WP &amp; attmts" xfId="2894"/>
    <cellStyle name="Normal 30" xfId="2895"/>
    <cellStyle name="Normal 30 2" xfId="2896"/>
    <cellStyle name="Normal 30 2 2" xfId="2897"/>
    <cellStyle name="Normal 30 2 3" xfId="4631"/>
    <cellStyle name="Normal 30 3" xfId="4632"/>
    <cellStyle name="Normal 30 4" xfId="4633"/>
    <cellStyle name="Normal 31" xfId="2898"/>
    <cellStyle name="Normal 31 2" xfId="2899"/>
    <cellStyle name="Normal 31 2 2" xfId="4634"/>
    <cellStyle name="Normal 31 2 3" xfId="4635"/>
    <cellStyle name="Normal 31 3" xfId="4636"/>
    <cellStyle name="Normal 31 4" xfId="4637"/>
    <cellStyle name="Normal 32" xfId="2900"/>
    <cellStyle name="Normal 32 2" xfId="2901"/>
    <cellStyle name="Normal 32 2 2" xfId="4638"/>
    <cellStyle name="Normal 32 2 3" xfId="4639"/>
    <cellStyle name="Normal 32 3" xfId="4640"/>
    <cellStyle name="Normal 32 4" xfId="4641"/>
    <cellStyle name="Normal 33" xfId="2902"/>
    <cellStyle name="Normal 33 2" xfId="4642"/>
    <cellStyle name="Normal 33 2 2" xfId="4643"/>
    <cellStyle name="Normal 33 2 3" xfId="4644"/>
    <cellStyle name="Normal 33 3" xfId="4645"/>
    <cellStyle name="Normal 33 4" xfId="4646"/>
    <cellStyle name="Normal 34" xfId="2903"/>
    <cellStyle name="Normal 34 2" xfId="2904"/>
    <cellStyle name="Normal 34 2 2" xfId="2905"/>
    <cellStyle name="Normal 34 2 3" xfId="4647"/>
    <cellStyle name="Normal 34 3" xfId="2906"/>
    <cellStyle name="Normal 34 3 2" xfId="2907"/>
    <cellStyle name="Normal 34 4" xfId="2908"/>
    <cellStyle name="Normal 34 4 2" xfId="2909"/>
    <cellStyle name="Normal 34 5" xfId="2910"/>
    <cellStyle name="Normal 35" xfId="4648"/>
    <cellStyle name="Normal 35 2" xfId="4649"/>
    <cellStyle name="Normal 35 2 2" xfId="4650"/>
    <cellStyle name="Normal 35 2 3" xfId="4651"/>
    <cellStyle name="Normal 35 3" xfId="4652"/>
    <cellStyle name="Normal 35 4" xfId="4653"/>
    <cellStyle name="Normal 36" xfId="2911"/>
    <cellStyle name="Normal 36 2" xfId="2912"/>
    <cellStyle name="Normal 36 3" xfId="4654"/>
    <cellStyle name="Normal 37" xfId="2913"/>
    <cellStyle name="Normal 37 2" xfId="2914"/>
    <cellStyle name="Normal 37 2 2" xfId="2915"/>
    <cellStyle name="Normal 37 3" xfId="2916"/>
    <cellStyle name="Normal 38" xfId="2917"/>
    <cellStyle name="Normal 38 2" xfId="2918"/>
    <cellStyle name="Normal 38 2 2" xfId="2919"/>
    <cellStyle name="Normal 38 3" xfId="2920"/>
    <cellStyle name="Normal 39" xfId="2921"/>
    <cellStyle name="Normal 39 2" xfId="2922"/>
    <cellStyle name="Normal 39 2 2" xfId="2923"/>
    <cellStyle name="Normal 39 3" xfId="2924"/>
    <cellStyle name="Normal 4" xfId="2925"/>
    <cellStyle name="Normal 4 10" xfId="4655"/>
    <cellStyle name="Normal 4 10 2" xfId="4656"/>
    <cellStyle name="Normal 4 10 3" xfId="4657"/>
    <cellStyle name="Normal 4 11" xfId="4658"/>
    <cellStyle name="Normal 4 11 2" xfId="4659"/>
    <cellStyle name="Normal 4 11 3" xfId="4660"/>
    <cellStyle name="Normal 4 12" xfId="4661"/>
    <cellStyle name="Normal 4 13" xfId="4662"/>
    <cellStyle name="Normal 4 14" xfId="4663"/>
    <cellStyle name="Normal 4 15" xfId="9457"/>
    <cellStyle name="Normal 4 2" xfId="2926"/>
    <cellStyle name="Normal 4 2 2" xfId="2927"/>
    <cellStyle name="Normal 4 2 2 2" xfId="4664"/>
    <cellStyle name="Normal 4 2 2 2 2" xfId="4665"/>
    <cellStyle name="Normal 4 2 2 2 3" xfId="4666"/>
    <cellStyle name="Normal 4 2 2 3" xfId="4667"/>
    <cellStyle name="Normal 4 2 2 4" xfId="4668"/>
    <cellStyle name="Normal 4 2 3" xfId="4669"/>
    <cellStyle name="Normal 4 2 3 2" xfId="4670"/>
    <cellStyle name="Normal 4 2 3 3" xfId="4671"/>
    <cellStyle name="Normal 4 2 4" xfId="4672"/>
    <cellStyle name="Normal 4 2 5" xfId="4673"/>
    <cellStyle name="Normal 4 3" xfId="2928"/>
    <cellStyle name="Normal 4 3 2" xfId="2929"/>
    <cellStyle name="Normal 4 3 2 2" xfId="4674"/>
    <cellStyle name="Normal 4 3 2 3" xfId="4675"/>
    <cellStyle name="Normal 4 3 3" xfId="4676"/>
    <cellStyle name="Normal 4 3 4" xfId="4677"/>
    <cellStyle name="Normal 4 4" xfId="2930"/>
    <cellStyle name="Normal 4 4 2" xfId="2931"/>
    <cellStyle name="Normal 4 4 2 2" xfId="4678"/>
    <cellStyle name="Normal 4 4 2 3" xfId="4679"/>
    <cellStyle name="Normal 4 4 3" xfId="4680"/>
    <cellStyle name="Normal 4 4 4" xfId="4681"/>
    <cellStyle name="Normal 4 5" xfId="2932"/>
    <cellStyle name="Normal 4 5 2" xfId="2933"/>
    <cellStyle name="Normal 4 5 2 2" xfId="4682"/>
    <cellStyle name="Normal 4 5 2 3" xfId="4683"/>
    <cellStyle name="Normal 4 5 3" xfId="4684"/>
    <cellStyle name="Normal 4 5 4" xfId="4685"/>
    <cellStyle name="Normal 4 6" xfId="2934"/>
    <cellStyle name="Normal 4 6 2" xfId="4686"/>
    <cellStyle name="Normal 4 6 2 2" xfId="4687"/>
    <cellStyle name="Normal 4 6 2 3" xfId="4688"/>
    <cellStyle name="Normal 4 6 3" xfId="4689"/>
    <cellStyle name="Normal 4 6 4" xfId="4690"/>
    <cellStyle name="Normal 4 7" xfId="4691"/>
    <cellStyle name="Normal 4 7 2" xfId="4692"/>
    <cellStyle name="Normal 4 7 2 2" xfId="4693"/>
    <cellStyle name="Normal 4 7 2 3" xfId="4694"/>
    <cellStyle name="Normal 4 7 3" xfId="4695"/>
    <cellStyle name="Normal 4 7 4" xfId="4696"/>
    <cellStyle name="Normal 4 8" xfId="4697"/>
    <cellStyle name="Normal 4 8 2" xfId="4698"/>
    <cellStyle name="Normal 4 8 2 2" xfId="4699"/>
    <cellStyle name="Normal 4 8 2 3" xfId="4700"/>
    <cellStyle name="Normal 4 8 3" xfId="4701"/>
    <cellStyle name="Normal 4 8 4" xfId="4702"/>
    <cellStyle name="Normal 4 9" xfId="4703"/>
    <cellStyle name="Normal 4 9 2" xfId="4704"/>
    <cellStyle name="Normal 4 9 2 2" xfId="4705"/>
    <cellStyle name="Normal 4 9 2 3" xfId="4706"/>
    <cellStyle name="Normal 4 9 3" xfId="4707"/>
    <cellStyle name="Normal 4 9 4" xfId="4708"/>
    <cellStyle name="Normal 4_2009 DC WP &amp; attmts" xfId="2935"/>
    <cellStyle name="Normal 40" xfId="2936"/>
    <cellStyle name="Normal 40 2" xfId="2937"/>
    <cellStyle name="Normal 40 2 2" xfId="2938"/>
    <cellStyle name="Normal 40 3" xfId="2939"/>
    <cellStyle name="Normal 41" xfId="4709"/>
    <cellStyle name="Normal 42" xfId="4710"/>
    <cellStyle name="Normal 42 2" xfId="4711"/>
    <cellStyle name="Normal 43" xfId="4712"/>
    <cellStyle name="Normal 44" xfId="4713"/>
    <cellStyle name="Normal 45" xfId="4714"/>
    <cellStyle name="Normal 45 2" xfId="2940"/>
    <cellStyle name="Normal 46" xfId="4715"/>
    <cellStyle name="Normal 47" xfId="4716"/>
    <cellStyle name="Normal 48" xfId="4717"/>
    <cellStyle name="Normal 49" xfId="4718"/>
    <cellStyle name="Normal 49 2" xfId="9390"/>
    <cellStyle name="Normal 5" xfId="2941"/>
    <cellStyle name="Normal 5 10" xfId="4719"/>
    <cellStyle name="Normal 5 10 2" xfId="4720"/>
    <cellStyle name="Normal 5 10 3" xfId="4721"/>
    <cellStyle name="Normal 5 11" xfId="4722"/>
    <cellStyle name="Normal 5 12" xfId="4723"/>
    <cellStyle name="Normal 5 13" xfId="4724"/>
    <cellStyle name="Normal 5 2" xfId="2942"/>
    <cellStyle name="Normal 5 2 2" xfId="2943"/>
    <cellStyle name="Normal 5 2 2 2" xfId="4725"/>
    <cellStyle name="Normal 5 2 2 3" xfId="4726"/>
    <cellStyle name="Normal 5 2 3" xfId="4727"/>
    <cellStyle name="Normal 5 2 4" xfId="4728"/>
    <cellStyle name="Normal 5 3" xfId="2944"/>
    <cellStyle name="Normal 5 3 2" xfId="4729"/>
    <cellStyle name="Normal 5 3 2 2" xfId="4730"/>
    <cellStyle name="Normal 5 3 2 3" xfId="4731"/>
    <cellStyle name="Normal 5 3 3" xfId="4732"/>
    <cellStyle name="Normal 5 3 4" xfId="4733"/>
    <cellStyle name="Normal 5 4" xfId="2945"/>
    <cellStyle name="Normal 5 4 2" xfId="4734"/>
    <cellStyle name="Normal 5 4 2 2" xfId="4735"/>
    <cellStyle name="Normal 5 4 2 3" xfId="4736"/>
    <cellStyle name="Normal 5 4 3" xfId="4737"/>
    <cellStyle name="Normal 5 4 4" xfId="4738"/>
    <cellStyle name="Normal 5 5" xfId="2946"/>
    <cellStyle name="Normal 5 5 2" xfId="4739"/>
    <cellStyle name="Normal 5 5 2 2" xfId="4740"/>
    <cellStyle name="Normal 5 5 2 3" xfId="4741"/>
    <cellStyle name="Normal 5 5 3" xfId="4742"/>
    <cellStyle name="Normal 5 5 4" xfId="4743"/>
    <cellStyle name="Normal 5 6" xfId="4744"/>
    <cellStyle name="Normal 5 6 2" xfId="4745"/>
    <cellStyle name="Normal 5 6 2 2" xfId="4746"/>
    <cellStyle name="Normal 5 6 2 3" xfId="4747"/>
    <cellStyle name="Normal 5 6 3" xfId="4748"/>
    <cellStyle name="Normal 5 6 4" xfId="4749"/>
    <cellStyle name="Normal 5 7" xfId="4750"/>
    <cellStyle name="Normal 5 7 2" xfId="4751"/>
    <cellStyle name="Normal 5 7 2 2" xfId="4752"/>
    <cellStyle name="Normal 5 7 2 3" xfId="4753"/>
    <cellStyle name="Normal 5 7 3" xfId="4754"/>
    <cellStyle name="Normal 5 7 4" xfId="4755"/>
    <cellStyle name="Normal 5 8" xfId="4756"/>
    <cellStyle name="Normal 5 8 2" xfId="4757"/>
    <cellStyle name="Normal 5 8 2 2" xfId="4758"/>
    <cellStyle name="Normal 5 8 2 3" xfId="4759"/>
    <cellStyle name="Normal 5 8 3" xfId="4760"/>
    <cellStyle name="Normal 5 8 4" xfId="4761"/>
    <cellStyle name="Normal 5 9" xfId="4762"/>
    <cellStyle name="Normal 5 9 2" xfId="4763"/>
    <cellStyle name="Normal 5 9 2 2" xfId="4764"/>
    <cellStyle name="Normal 5 9 2 3" xfId="4765"/>
    <cellStyle name="Normal 5 9 3" xfId="4766"/>
    <cellStyle name="Normal 5 9 4" xfId="4767"/>
    <cellStyle name="Normal 5_2010-12 Current Payable Netting Rpt - FINAL" xfId="2947"/>
    <cellStyle name="Normal 50" xfId="4768"/>
    <cellStyle name="Normal 51" xfId="4769"/>
    <cellStyle name="Normal 52" xfId="9379"/>
    <cellStyle name="Normal 53" xfId="9391"/>
    <cellStyle name="Normal 54" xfId="9392"/>
    <cellStyle name="Normal 55" xfId="9394"/>
    <cellStyle name="Normal 55 4" xfId="9473"/>
    <cellStyle name="Normal 6" xfId="2948"/>
    <cellStyle name="Normal 6 2" xfId="2949"/>
    <cellStyle name="Normal 6 2 2" xfId="2950"/>
    <cellStyle name="Normal 6 2 2 2" xfId="2951"/>
    <cellStyle name="Normal 6 2 2 3" xfId="4770"/>
    <cellStyle name="Normal 6 2 3" xfId="2952"/>
    <cellStyle name="Normal 6 2 4" xfId="4771"/>
    <cellStyle name="Normal 6 3" xfId="2953"/>
    <cellStyle name="Normal 6 3 2" xfId="4772"/>
    <cellStyle name="Normal 6 3 3" xfId="4773"/>
    <cellStyle name="Normal 6 4" xfId="4774"/>
    <cellStyle name="Normal 6 5" xfId="4775"/>
    <cellStyle name="Normal 65" xfId="2954"/>
    <cellStyle name="Normal 65 2" xfId="2955"/>
    <cellStyle name="Normal 67" xfId="2956"/>
    <cellStyle name="Normal 67 2" xfId="2957"/>
    <cellStyle name="Normal 67 2 2" xfId="2958"/>
    <cellStyle name="Normal 67 3" xfId="2959"/>
    <cellStyle name="Normal 67 3 2" xfId="2960"/>
    <cellStyle name="Normal 67 4" xfId="2961"/>
    <cellStyle name="Normal 67 4 2" xfId="2962"/>
    <cellStyle name="Normal 67 5" xfId="2963"/>
    <cellStyle name="Normal 68" xfId="2964"/>
    <cellStyle name="Normal 68 2" xfId="2965"/>
    <cellStyle name="Normal 68 2 2" xfId="2966"/>
    <cellStyle name="Normal 68 3" xfId="2967"/>
    <cellStyle name="Normal 68 3 2" xfId="2968"/>
    <cellStyle name="Normal 68 4" xfId="2969"/>
    <cellStyle name="Normal 68 4 2" xfId="2970"/>
    <cellStyle name="Normal 68 5" xfId="2971"/>
    <cellStyle name="Normal 69" xfId="2972"/>
    <cellStyle name="Normal 69 2" xfId="2973"/>
    <cellStyle name="Normal 69 2 2" xfId="2974"/>
    <cellStyle name="Normal 69 3" xfId="2975"/>
    <cellStyle name="Normal 69 3 2" xfId="2976"/>
    <cellStyle name="Normal 69 4" xfId="2977"/>
    <cellStyle name="Normal 69 4 2" xfId="2978"/>
    <cellStyle name="Normal 69 5" xfId="2979"/>
    <cellStyle name="Normal 7" xfId="2980"/>
    <cellStyle name="Normal 7 2" xfId="2981"/>
    <cellStyle name="Normal 7 2 2" xfId="2982"/>
    <cellStyle name="Normal 7 2 2 2" xfId="4776"/>
    <cellStyle name="Normal 7 2 2 3" xfId="4777"/>
    <cellStyle name="Normal 7 2 3" xfId="4778"/>
    <cellStyle name="Normal 7 2 4" xfId="4779"/>
    <cellStyle name="Normal 7 3" xfId="4780"/>
    <cellStyle name="Normal 7 3 2" xfId="4781"/>
    <cellStyle name="Normal 7 3 3" xfId="4782"/>
    <cellStyle name="Normal 7 4" xfId="4783"/>
    <cellStyle name="Normal 7 5" xfId="4784"/>
    <cellStyle name="Normal 7 6" xfId="4785"/>
    <cellStyle name="Normal 7_2010-12 Current Payable Netting Rpt - FINAL" xfId="2983"/>
    <cellStyle name="Normal 70" xfId="2984"/>
    <cellStyle name="Normal 70 2" xfId="2985"/>
    <cellStyle name="Normal 70 2 2" xfId="2986"/>
    <cellStyle name="Normal 70 3" xfId="2987"/>
    <cellStyle name="Normal 70 3 2" xfId="2988"/>
    <cellStyle name="Normal 70 4" xfId="2989"/>
    <cellStyle name="Normal 70 4 2" xfId="2990"/>
    <cellStyle name="Normal 70 5" xfId="2991"/>
    <cellStyle name="Normal 71" xfId="2992"/>
    <cellStyle name="Normal 71 2" xfId="2993"/>
    <cellStyle name="Normal 71 2 2" xfId="2994"/>
    <cellStyle name="Normal 71 3" xfId="2995"/>
    <cellStyle name="Normal 71 3 2" xfId="2996"/>
    <cellStyle name="Normal 71 4" xfId="2997"/>
    <cellStyle name="Normal 71 4 2" xfId="2998"/>
    <cellStyle name="Normal 71 5" xfId="2999"/>
    <cellStyle name="Normal 72" xfId="3000"/>
    <cellStyle name="Normal 72 2" xfId="3001"/>
    <cellStyle name="Normal 72 2 2" xfId="3002"/>
    <cellStyle name="Normal 72 3" xfId="3003"/>
    <cellStyle name="Normal 72 3 2" xfId="3004"/>
    <cellStyle name="Normal 72 4" xfId="3005"/>
    <cellStyle name="Normal 72 4 2" xfId="3006"/>
    <cellStyle name="Normal 72 5" xfId="3007"/>
    <cellStyle name="Normal 8" xfId="3008"/>
    <cellStyle name="Normal 8 2" xfId="3009"/>
    <cellStyle name="Normal 8 2 2" xfId="3010"/>
    <cellStyle name="Normal 8 2 2 2" xfId="4786"/>
    <cellStyle name="Normal 8 2 2 3" xfId="4787"/>
    <cellStyle name="Normal 8 2 3" xfId="3011"/>
    <cellStyle name="Normal 8 2 4" xfId="4788"/>
    <cellStyle name="Normal 8 3" xfId="4789"/>
    <cellStyle name="Normal 8 3 2" xfId="4790"/>
    <cellStyle name="Normal 8 3 3" xfId="4791"/>
    <cellStyle name="Normal 8 4" xfId="4792"/>
    <cellStyle name="Normal 8 5" xfId="4793"/>
    <cellStyle name="Normal 8 6" xfId="4794"/>
    <cellStyle name="Normal 9" xfId="3012"/>
    <cellStyle name="Normal 9 2" xfId="3013"/>
    <cellStyle name="Normal 9 2 2" xfId="3014"/>
    <cellStyle name="Normal 9 2 2 2" xfId="4795"/>
    <cellStyle name="Normal 9 2 2 3" xfId="4796"/>
    <cellStyle name="Normal 9 2 3" xfId="4797"/>
    <cellStyle name="Normal 9 2 4" xfId="4798"/>
    <cellStyle name="Normal 9 3" xfId="3015"/>
    <cellStyle name="Normal 9 3 2" xfId="4799"/>
    <cellStyle name="Normal 9 3 3" xfId="4800"/>
    <cellStyle name="Normal 9 4" xfId="4801"/>
    <cellStyle name="Normal 9 5" xfId="4802"/>
    <cellStyle name="Normal 9 6" xfId="9458"/>
    <cellStyle name="Normal 91" xfId="3016"/>
    <cellStyle name="Normal 91 2" xfId="3017"/>
    <cellStyle name="Normal_1995 FCWS" xfId="46"/>
    <cellStyle name="Normal_FN1 Ratebase Draft SPP template (6-11-04) v2" xfId="47"/>
    <cellStyle name="Normal_TrAILCo attach 6 &amp; 7 and Appendix A" xfId="48"/>
    <cellStyle name="Note" xfId="49" builtinId="10" customBuiltin="1"/>
    <cellStyle name="Note 10" xfId="3018"/>
    <cellStyle name="Note 10 2" xfId="3019"/>
    <cellStyle name="Note 10 2 2" xfId="3020"/>
    <cellStyle name="Note 10 2 2 2" xfId="4803"/>
    <cellStyle name="Note 10 2 2 3" xfId="4804"/>
    <cellStyle name="Note 10 2 3" xfId="4805"/>
    <cellStyle name="Note 10 2 4" xfId="4806"/>
    <cellStyle name="Note 10 2_JE 5 2002.2 FED" xfId="4807"/>
    <cellStyle name="Note 10 3" xfId="3021"/>
    <cellStyle name="Note 10 3 2" xfId="4808"/>
    <cellStyle name="Note 10 3 2 2" xfId="4809"/>
    <cellStyle name="Note 10 3 2 3" xfId="4810"/>
    <cellStyle name="Note 10 3 3" xfId="4811"/>
    <cellStyle name="Note 10 3 4" xfId="4812"/>
    <cellStyle name="Note 10 3_JE 5 2002.2 FED" xfId="4813"/>
    <cellStyle name="Note 10 4" xfId="4814"/>
    <cellStyle name="Note 10 4 2" xfId="4815"/>
    <cellStyle name="Note 10 4 2 2" xfId="4816"/>
    <cellStyle name="Note 10 4 2 3" xfId="4817"/>
    <cellStyle name="Note 10 4 3" xfId="4818"/>
    <cellStyle name="Note 10 4 4" xfId="4819"/>
    <cellStyle name="Note 10 4_JE 5 2002.2 FED" xfId="4820"/>
    <cellStyle name="Note 10 5" xfId="4821"/>
    <cellStyle name="Note 10 5 2" xfId="4822"/>
    <cellStyle name="Note 10 5 2 2" xfId="4823"/>
    <cellStyle name="Note 10 5 2 3" xfId="4824"/>
    <cellStyle name="Note 10 5 3" xfId="4825"/>
    <cellStyle name="Note 10 5 4" xfId="4826"/>
    <cellStyle name="Note 10 5_JE 5 2002.2 FED" xfId="4827"/>
    <cellStyle name="Note 10 6" xfId="4828"/>
    <cellStyle name="Note 10 6 2" xfId="4829"/>
    <cellStyle name="Note 10 6 3" xfId="4830"/>
    <cellStyle name="Note 10 7" xfId="4831"/>
    <cellStyle name="Note 10 8" xfId="4832"/>
    <cellStyle name="Note 10_JE 5 2002.2 FED" xfId="4833"/>
    <cellStyle name="Note 11" xfId="3022"/>
    <cellStyle name="Note 11 2" xfId="3023"/>
    <cellStyle name="Note 11 2 2" xfId="3024"/>
    <cellStyle name="Note 11 2 2 2" xfId="4834"/>
    <cellStyle name="Note 11 2 2 3" xfId="4835"/>
    <cellStyle name="Note 11 2 3" xfId="4836"/>
    <cellStyle name="Note 11 2 4" xfId="4837"/>
    <cellStyle name="Note 11 2_JE 5 2002.2 FED" xfId="4838"/>
    <cellStyle name="Note 11 3" xfId="3025"/>
    <cellStyle name="Note 11 3 2" xfId="4839"/>
    <cellStyle name="Note 11 3 2 2" xfId="4840"/>
    <cellStyle name="Note 11 3 2 3" xfId="4841"/>
    <cellStyle name="Note 11 3 3" xfId="4842"/>
    <cellStyle name="Note 11 3 4" xfId="4843"/>
    <cellStyle name="Note 11 3_JE 5 2002.2 FED" xfId="4844"/>
    <cellStyle name="Note 11 4" xfId="4845"/>
    <cellStyle name="Note 11 4 2" xfId="4846"/>
    <cellStyle name="Note 11 4 2 2" xfId="4847"/>
    <cellStyle name="Note 11 4 2 3" xfId="4848"/>
    <cellStyle name="Note 11 4 3" xfId="4849"/>
    <cellStyle name="Note 11 4 4" xfId="4850"/>
    <cellStyle name="Note 11 4_JE 5 2002.2 FED" xfId="4851"/>
    <cellStyle name="Note 11 5" xfId="4852"/>
    <cellStyle name="Note 11 5 2" xfId="4853"/>
    <cellStyle name="Note 11 5 2 2" xfId="4854"/>
    <cellStyle name="Note 11 5 2 3" xfId="4855"/>
    <cellStyle name="Note 11 5 3" xfId="4856"/>
    <cellStyle name="Note 11 5 4" xfId="4857"/>
    <cellStyle name="Note 11 5_JE 5 2002.2 FED" xfId="4858"/>
    <cellStyle name="Note 11 6" xfId="4859"/>
    <cellStyle name="Note 11 6 2" xfId="4860"/>
    <cellStyle name="Note 11 6 3" xfId="4861"/>
    <cellStyle name="Note 11 7" xfId="4862"/>
    <cellStyle name="Note 11 8" xfId="4863"/>
    <cellStyle name="Note 11_JE 5 2002.2 FED" xfId="4864"/>
    <cellStyle name="Note 12" xfId="3026"/>
    <cellStyle name="Note 12 2" xfId="3027"/>
    <cellStyle name="Note 12 2 2" xfId="3028"/>
    <cellStyle name="Note 12 2 2 2" xfId="4865"/>
    <cellStyle name="Note 12 2 2 3" xfId="4866"/>
    <cellStyle name="Note 12 2 3" xfId="4867"/>
    <cellStyle name="Note 12 2 4" xfId="4868"/>
    <cellStyle name="Note 12 2_JE 5 2002.2 FED" xfId="4869"/>
    <cellStyle name="Note 12 3" xfId="3029"/>
    <cellStyle name="Note 12 3 2" xfId="4870"/>
    <cellStyle name="Note 12 3 2 2" xfId="4871"/>
    <cellStyle name="Note 12 3 2 3" xfId="4872"/>
    <cellStyle name="Note 12 3 3" xfId="4873"/>
    <cellStyle name="Note 12 3 4" xfId="4874"/>
    <cellStyle name="Note 12 3_JE 5 2002.2 FED" xfId="4875"/>
    <cellStyle name="Note 12 4" xfId="4876"/>
    <cellStyle name="Note 12 4 2" xfId="4877"/>
    <cellStyle name="Note 12 4 2 2" xfId="4878"/>
    <cellStyle name="Note 12 4 2 3" xfId="4879"/>
    <cellStyle name="Note 12 4 3" xfId="4880"/>
    <cellStyle name="Note 12 4 4" xfId="4881"/>
    <cellStyle name="Note 12 4_JE 5 2002.2 FED" xfId="4882"/>
    <cellStyle name="Note 12 5" xfId="4883"/>
    <cellStyle name="Note 12 5 2" xfId="4884"/>
    <cellStyle name="Note 12 5 2 2" xfId="4885"/>
    <cellStyle name="Note 12 5 2 3" xfId="4886"/>
    <cellStyle name="Note 12 5 3" xfId="4887"/>
    <cellStyle name="Note 12 5 4" xfId="4888"/>
    <cellStyle name="Note 12 5_JE 5 2002.2 FED" xfId="4889"/>
    <cellStyle name="Note 12 6" xfId="4890"/>
    <cellStyle name="Note 12 6 2" xfId="4891"/>
    <cellStyle name="Note 12 6 3" xfId="4892"/>
    <cellStyle name="Note 12 7" xfId="4893"/>
    <cellStyle name="Note 12 8" xfId="4894"/>
    <cellStyle name="Note 12_JE 5 2002.2 FED" xfId="4895"/>
    <cellStyle name="Note 13" xfId="3030"/>
    <cellStyle name="Note 13 2" xfId="3031"/>
    <cellStyle name="Note 13 2 2" xfId="3032"/>
    <cellStyle name="Note 13 2 2 2" xfId="4896"/>
    <cellStyle name="Note 13 2 2 3" xfId="4897"/>
    <cellStyle name="Note 13 2 3" xfId="4898"/>
    <cellStyle name="Note 13 2 4" xfId="4899"/>
    <cellStyle name="Note 13 2_JE 5 2002.2 FED" xfId="4900"/>
    <cellStyle name="Note 13 3" xfId="3033"/>
    <cellStyle name="Note 13 3 2" xfId="4901"/>
    <cellStyle name="Note 13 3 2 2" xfId="4902"/>
    <cellStyle name="Note 13 3 2 3" xfId="4903"/>
    <cellStyle name="Note 13 3 3" xfId="4904"/>
    <cellStyle name="Note 13 3 4" xfId="4905"/>
    <cellStyle name="Note 13 3_JE 5 2002.2 FED" xfId="4906"/>
    <cellStyle name="Note 13 4" xfId="4907"/>
    <cellStyle name="Note 13 4 2" xfId="4908"/>
    <cellStyle name="Note 13 4 2 2" xfId="4909"/>
    <cellStyle name="Note 13 4 2 3" xfId="4910"/>
    <cellStyle name="Note 13 4 3" xfId="4911"/>
    <cellStyle name="Note 13 4 4" xfId="4912"/>
    <cellStyle name="Note 13 4_JE 5 2002.2 FED" xfId="4913"/>
    <cellStyle name="Note 13 5" xfId="4914"/>
    <cellStyle name="Note 13 5 2" xfId="4915"/>
    <cellStyle name="Note 13 5 2 2" xfId="4916"/>
    <cellStyle name="Note 13 5 2 3" xfId="4917"/>
    <cellStyle name="Note 13 5 3" xfId="4918"/>
    <cellStyle name="Note 13 5 4" xfId="4919"/>
    <cellStyle name="Note 13 5_JE 5 2002.2 FED" xfId="4920"/>
    <cellStyle name="Note 13 6" xfId="4921"/>
    <cellStyle name="Note 13 6 2" xfId="4922"/>
    <cellStyle name="Note 13 6 3" xfId="4923"/>
    <cellStyle name="Note 13 7" xfId="4924"/>
    <cellStyle name="Note 13 8" xfId="4925"/>
    <cellStyle name="Note 13_JE 5 2002.2 FED" xfId="4926"/>
    <cellStyle name="Note 14" xfId="3034"/>
    <cellStyle name="Note 14 2" xfId="3035"/>
    <cellStyle name="Note 14 2 2" xfId="3036"/>
    <cellStyle name="Note 14 2 2 2" xfId="4927"/>
    <cellStyle name="Note 14 2 2 3" xfId="4928"/>
    <cellStyle name="Note 14 2 3" xfId="4929"/>
    <cellStyle name="Note 14 2 4" xfId="4930"/>
    <cellStyle name="Note 14 2_JE 5 2002.2 FED" xfId="4931"/>
    <cellStyle name="Note 14 3" xfId="3037"/>
    <cellStyle name="Note 14 3 2" xfId="4932"/>
    <cellStyle name="Note 14 3 2 2" xfId="4933"/>
    <cellStyle name="Note 14 3 2 3" xfId="4934"/>
    <cellStyle name="Note 14 3 3" xfId="4935"/>
    <cellStyle name="Note 14 3 4" xfId="4936"/>
    <cellStyle name="Note 14 3_JE 5 2002.2 FED" xfId="4937"/>
    <cellStyle name="Note 14 4" xfId="4938"/>
    <cellStyle name="Note 14 4 2" xfId="4939"/>
    <cellStyle name="Note 14 4 2 2" xfId="4940"/>
    <cellStyle name="Note 14 4 2 3" xfId="4941"/>
    <cellStyle name="Note 14 4 3" xfId="4942"/>
    <cellStyle name="Note 14 4 4" xfId="4943"/>
    <cellStyle name="Note 14 4_JE 5 2002.2 FED" xfId="4944"/>
    <cellStyle name="Note 14 5" xfId="4945"/>
    <cellStyle name="Note 14 5 2" xfId="4946"/>
    <cellStyle name="Note 14 5 2 2" xfId="4947"/>
    <cellStyle name="Note 14 5 2 3" xfId="4948"/>
    <cellStyle name="Note 14 5 3" xfId="4949"/>
    <cellStyle name="Note 14 5 4" xfId="4950"/>
    <cellStyle name="Note 14 5_JE 5 2002.2 FED" xfId="4951"/>
    <cellStyle name="Note 14 6" xfId="4952"/>
    <cellStyle name="Note 14 6 2" xfId="4953"/>
    <cellStyle name="Note 14 6 3" xfId="4954"/>
    <cellStyle name="Note 14 7" xfId="4955"/>
    <cellStyle name="Note 14 8" xfId="4956"/>
    <cellStyle name="Note 14_JE 5 2002.2 FED" xfId="4957"/>
    <cellStyle name="Note 15" xfId="3038"/>
    <cellStyle name="Note 15 2" xfId="3039"/>
    <cellStyle name="Note 15 2 2" xfId="3040"/>
    <cellStyle name="Note 15 2 2 2" xfId="4958"/>
    <cellStyle name="Note 15 2 2 3" xfId="4959"/>
    <cellStyle name="Note 15 2 3" xfId="4960"/>
    <cellStyle name="Note 15 2 4" xfId="4961"/>
    <cellStyle name="Note 15 2_JE 5 2002.2 FED" xfId="4962"/>
    <cellStyle name="Note 15 3" xfId="3041"/>
    <cellStyle name="Note 15 3 2" xfId="4963"/>
    <cellStyle name="Note 15 3 2 2" xfId="4964"/>
    <cellStyle name="Note 15 3 2 3" xfId="4965"/>
    <cellStyle name="Note 15 3 3" xfId="4966"/>
    <cellStyle name="Note 15 3 4" xfId="4967"/>
    <cellStyle name="Note 15 3_JE 5 2002.2 FED" xfId="4968"/>
    <cellStyle name="Note 15 4" xfId="4969"/>
    <cellStyle name="Note 15 4 2" xfId="4970"/>
    <cellStyle name="Note 15 4 2 2" xfId="4971"/>
    <cellStyle name="Note 15 4 2 3" xfId="4972"/>
    <cellStyle name="Note 15 4 3" xfId="4973"/>
    <cellStyle name="Note 15 4 4" xfId="4974"/>
    <cellStyle name="Note 15 4_JE 5 2002.2 FED" xfId="4975"/>
    <cellStyle name="Note 15 5" xfId="4976"/>
    <cellStyle name="Note 15 5 2" xfId="4977"/>
    <cellStyle name="Note 15 5 2 2" xfId="4978"/>
    <cellStyle name="Note 15 5 2 3" xfId="4979"/>
    <cellStyle name="Note 15 5 3" xfId="4980"/>
    <cellStyle name="Note 15 5 4" xfId="4981"/>
    <cellStyle name="Note 15 5_JE 5 2002.2 FED" xfId="4982"/>
    <cellStyle name="Note 15 6" xfId="4983"/>
    <cellStyle name="Note 15 6 2" xfId="4984"/>
    <cellStyle name="Note 15 6 3" xfId="4985"/>
    <cellStyle name="Note 15 7" xfId="4986"/>
    <cellStyle name="Note 15 8" xfId="4987"/>
    <cellStyle name="Note 15_JE 5 2002.2 FED" xfId="4988"/>
    <cellStyle name="Note 16" xfId="3042"/>
    <cellStyle name="Note 16 2" xfId="3043"/>
    <cellStyle name="Note 16 2 2" xfId="3044"/>
    <cellStyle name="Note 16 2 3" xfId="4989"/>
    <cellStyle name="Note 16 3" xfId="3045"/>
    <cellStyle name="Note 16 4" xfId="4990"/>
    <cellStyle name="Note 16_JE 5 2002.2 FED" xfId="4991"/>
    <cellStyle name="Note 17" xfId="3046"/>
    <cellStyle name="Note 17 2" xfId="3047"/>
    <cellStyle name="Note 17 2 2" xfId="3048"/>
    <cellStyle name="Note 17 2 3" xfId="4992"/>
    <cellStyle name="Note 17 3" xfId="3049"/>
    <cellStyle name="Note 17 4" xfId="4993"/>
    <cellStyle name="Note 17_JE 5 2002.2 FED" xfId="4994"/>
    <cellStyle name="Note 18" xfId="3050"/>
    <cellStyle name="Note 18 2" xfId="3051"/>
    <cellStyle name="Note 18 2 2" xfId="3052"/>
    <cellStyle name="Note 18 3" xfId="3053"/>
    <cellStyle name="Note 19" xfId="3054"/>
    <cellStyle name="Note 19 2" xfId="3055"/>
    <cellStyle name="Note 19 2 2" xfId="3056"/>
    <cellStyle name="Note 19 3" xfId="3057"/>
    <cellStyle name="Note 2" xfId="3058"/>
    <cellStyle name="Note 2 10" xfId="3059"/>
    <cellStyle name="Note 2 10 2" xfId="3060"/>
    <cellStyle name="Note 2 10 3" xfId="4995"/>
    <cellStyle name="Note 2 11" xfId="3061"/>
    <cellStyle name="Note 2 11 2" xfId="3062"/>
    <cellStyle name="Note 2 11 3" xfId="4996"/>
    <cellStyle name="Note 2 12" xfId="3063"/>
    <cellStyle name="Note 2 12 2" xfId="3064"/>
    <cellStyle name="Note 2 12 3" xfId="4997"/>
    <cellStyle name="Note 2 13" xfId="3065"/>
    <cellStyle name="Note 2 13 2" xfId="3066"/>
    <cellStyle name="Note 2 13 3" xfId="4998"/>
    <cellStyle name="Note 2 14" xfId="3067"/>
    <cellStyle name="Note 2 14 2" xfId="4999"/>
    <cellStyle name="Note 2 14 3" xfId="5000"/>
    <cellStyle name="Note 2 15" xfId="5001"/>
    <cellStyle name="Note 2 15 2" xfId="5002"/>
    <cellStyle name="Note 2 15 3" xfId="5003"/>
    <cellStyle name="Note 2 16" xfId="5004"/>
    <cellStyle name="Note 2 17" xfId="5005"/>
    <cellStyle name="Note 2 2" xfId="3068"/>
    <cellStyle name="Note 2 2 2" xfId="5006"/>
    <cellStyle name="Note 2 2 2 2" xfId="5007"/>
    <cellStyle name="Note 2 2 2 3" xfId="5008"/>
    <cellStyle name="Note 2 2 3" xfId="5009"/>
    <cellStyle name="Note 2 2 4" xfId="5010"/>
    <cellStyle name="Note 2 2_JE 5 2002.2 FED" xfId="5011"/>
    <cellStyle name="Note 2 3" xfId="3069"/>
    <cellStyle name="Note 2 3 2" xfId="3070"/>
    <cellStyle name="Note 2 3 2 2" xfId="5012"/>
    <cellStyle name="Note 2 3 2 3" xfId="5013"/>
    <cellStyle name="Note 2 3 3" xfId="5014"/>
    <cellStyle name="Note 2 3 4" xfId="5015"/>
    <cellStyle name="Note 2 3_JE 5 2002.2 FED" xfId="5016"/>
    <cellStyle name="Note 2 4" xfId="3071"/>
    <cellStyle name="Note 2 4 2" xfId="3072"/>
    <cellStyle name="Note 2 4 2 2" xfId="5017"/>
    <cellStyle name="Note 2 4 2 3" xfId="5018"/>
    <cellStyle name="Note 2 4 3" xfId="5019"/>
    <cellStyle name="Note 2 4 4" xfId="5020"/>
    <cellStyle name="Note 2 4_JE 5 2002.2 FED" xfId="5021"/>
    <cellStyle name="Note 2 5" xfId="3073"/>
    <cellStyle name="Note 2 5 2" xfId="3074"/>
    <cellStyle name="Note 2 5 2 2" xfId="5022"/>
    <cellStyle name="Note 2 5 2 3" xfId="5023"/>
    <cellStyle name="Note 2 5 3" xfId="5024"/>
    <cellStyle name="Note 2 5 4" xfId="5025"/>
    <cellStyle name="Note 2 5_JE 5 2002.2 FED" xfId="5026"/>
    <cellStyle name="Note 2 6" xfId="3075"/>
    <cellStyle name="Note 2 6 2" xfId="3076"/>
    <cellStyle name="Note 2 6 2 2" xfId="5027"/>
    <cellStyle name="Note 2 6 2 3" xfId="5028"/>
    <cellStyle name="Note 2 6 3" xfId="5029"/>
    <cellStyle name="Note 2 6 4" xfId="5030"/>
    <cellStyle name="Note 2 6_JE 5 2002.2 FED" xfId="5031"/>
    <cellStyle name="Note 2 7" xfId="3077"/>
    <cellStyle name="Note 2 7 2" xfId="3078"/>
    <cellStyle name="Note 2 7 2 2" xfId="5032"/>
    <cellStyle name="Note 2 7 2 3" xfId="5033"/>
    <cellStyle name="Note 2 7 3" xfId="5034"/>
    <cellStyle name="Note 2 7 4" xfId="5035"/>
    <cellStyle name="Note 2 7_JE 5 2002.2 FED" xfId="5036"/>
    <cellStyle name="Note 2 8" xfId="3079"/>
    <cellStyle name="Note 2 8 2" xfId="3080"/>
    <cellStyle name="Note 2 8 2 2" xfId="5037"/>
    <cellStyle name="Note 2 8 2 3" xfId="5038"/>
    <cellStyle name="Note 2 8 3" xfId="5039"/>
    <cellStyle name="Note 2 8 4" xfId="5040"/>
    <cellStyle name="Note 2 8_JE 5 2002.2 FED" xfId="5041"/>
    <cellStyle name="Note 2 9" xfId="3081"/>
    <cellStyle name="Note 2 9 2" xfId="3082"/>
    <cellStyle name="Note 2 9 2 2" xfId="5042"/>
    <cellStyle name="Note 2 9 2 3" xfId="5043"/>
    <cellStyle name="Note 2 9 3" xfId="5044"/>
    <cellStyle name="Note 2 9 4" xfId="5045"/>
    <cellStyle name="Note 2 9_JE 5 2002.2 FED" xfId="5046"/>
    <cellStyle name="Note 2_JE 5 2002.2 FED" xfId="5047"/>
    <cellStyle name="Note 20" xfId="3083"/>
    <cellStyle name="Note 20 2" xfId="3084"/>
    <cellStyle name="Note 20 3" xfId="5048"/>
    <cellStyle name="Note 21" xfId="3085"/>
    <cellStyle name="Note 21 2" xfId="3086"/>
    <cellStyle name="Note 21 3" xfId="5049"/>
    <cellStyle name="Note 22" xfId="3087"/>
    <cellStyle name="Note 22 2" xfId="3088"/>
    <cellStyle name="Note 22 3" xfId="5050"/>
    <cellStyle name="Note 23" xfId="3089"/>
    <cellStyle name="Note 23 2" xfId="3090"/>
    <cellStyle name="Note 23 3" xfId="5051"/>
    <cellStyle name="Note 24" xfId="3091"/>
    <cellStyle name="Note 24 2" xfId="3092"/>
    <cellStyle name="Note 25" xfId="3093"/>
    <cellStyle name="Note 25 2" xfId="3094"/>
    <cellStyle name="Note 26" xfId="3095"/>
    <cellStyle name="Note 26 2" xfId="3096"/>
    <cellStyle name="Note 27" xfId="3097"/>
    <cellStyle name="Note 27 2" xfId="3098"/>
    <cellStyle name="Note 28" xfId="3099"/>
    <cellStyle name="Note 28 2" xfId="3100"/>
    <cellStyle name="Note 29" xfId="3101"/>
    <cellStyle name="Note 29 2" xfId="3102"/>
    <cellStyle name="Note 3" xfId="3103"/>
    <cellStyle name="Note 3 10" xfId="3104"/>
    <cellStyle name="Note 3 10 2" xfId="3105"/>
    <cellStyle name="Note 3 10 3" xfId="5052"/>
    <cellStyle name="Note 3 11" xfId="3106"/>
    <cellStyle name="Note 3 11 2" xfId="3107"/>
    <cellStyle name="Note 3 12" xfId="3108"/>
    <cellStyle name="Note 3 12 2" xfId="3109"/>
    <cellStyle name="Note 3 13" xfId="3110"/>
    <cellStyle name="Note 3 13 2" xfId="3111"/>
    <cellStyle name="Note 3 2" xfId="3112"/>
    <cellStyle name="Note 3 2 2" xfId="3113"/>
    <cellStyle name="Note 3 2 2 2" xfId="5053"/>
    <cellStyle name="Note 3 2 2 3" xfId="5054"/>
    <cellStyle name="Note 3 2 3" xfId="5055"/>
    <cellStyle name="Note 3 2 4" xfId="5056"/>
    <cellStyle name="Note 3 2_JE 5 2002.2 FED" xfId="5057"/>
    <cellStyle name="Note 3 3" xfId="3114"/>
    <cellStyle name="Note 3 3 2" xfId="3115"/>
    <cellStyle name="Note 3 3 2 2" xfId="5058"/>
    <cellStyle name="Note 3 3 2 3" xfId="5059"/>
    <cellStyle name="Note 3 3 3" xfId="5060"/>
    <cellStyle name="Note 3 3 4" xfId="5061"/>
    <cellStyle name="Note 3 3_JE 5 2002.2 FED" xfId="5062"/>
    <cellStyle name="Note 3 4" xfId="3116"/>
    <cellStyle name="Note 3 4 2" xfId="3117"/>
    <cellStyle name="Note 3 4 2 2" xfId="5063"/>
    <cellStyle name="Note 3 4 2 3" xfId="5064"/>
    <cellStyle name="Note 3 4 3" xfId="5065"/>
    <cellStyle name="Note 3 4 4" xfId="5066"/>
    <cellStyle name="Note 3 4_JE 5 2002.2 FED" xfId="5067"/>
    <cellStyle name="Note 3 5" xfId="3118"/>
    <cellStyle name="Note 3 5 2" xfId="3119"/>
    <cellStyle name="Note 3 5 2 2" xfId="5068"/>
    <cellStyle name="Note 3 5 2 3" xfId="5069"/>
    <cellStyle name="Note 3 5 3" xfId="5070"/>
    <cellStyle name="Note 3 5 4" xfId="5071"/>
    <cellStyle name="Note 3 5_JE 5 2002.2 FED" xfId="5072"/>
    <cellStyle name="Note 3 6" xfId="3120"/>
    <cellStyle name="Note 3 6 2" xfId="3121"/>
    <cellStyle name="Note 3 6 2 2" xfId="5073"/>
    <cellStyle name="Note 3 6 2 3" xfId="5074"/>
    <cellStyle name="Note 3 6 3" xfId="5075"/>
    <cellStyle name="Note 3 6 4" xfId="5076"/>
    <cellStyle name="Note 3 6_JE 5 2002.2 FED" xfId="5077"/>
    <cellStyle name="Note 3 7" xfId="3122"/>
    <cellStyle name="Note 3 7 2" xfId="3123"/>
    <cellStyle name="Note 3 7 2 2" xfId="5078"/>
    <cellStyle name="Note 3 7 2 3" xfId="5079"/>
    <cellStyle name="Note 3 7 3" xfId="5080"/>
    <cellStyle name="Note 3 7 4" xfId="5081"/>
    <cellStyle name="Note 3 7_JE 5 2002.2 FED" xfId="5082"/>
    <cellStyle name="Note 3 8" xfId="3124"/>
    <cellStyle name="Note 3 8 2" xfId="3125"/>
    <cellStyle name="Note 3 8 2 2" xfId="5083"/>
    <cellStyle name="Note 3 8 2 3" xfId="5084"/>
    <cellStyle name="Note 3 8 3" xfId="5085"/>
    <cellStyle name="Note 3 8 4" xfId="5086"/>
    <cellStyle name="Note 3 8_JE 5 2002.2 FED" xfId="5087"/>
    <cellStyle name="Note 3 9" xfId="3126"/>
    <cellStyle name="Note 3 9 2" xfId="3127"/>
    <cellStyle name="Note 3 9 2 2" xfId="5088"/>
    <cellStyle name="Note 3 9 2 3" xfId="5089"/>
    <cellStyle name="Note 3 9 3" xfId="5090"/>
    <cellStyle name="Note 3 9 4" xfId="5091"/>
    <cellStyle name="Note 3 9_JE 5 2002.2 FED" xfId="5092"/>
    <cellStyle name="Note 3_JE 5 2002.2 FED" xfId="5093"/>
    <cellStyle name="Note 30" xfId="3128"/>
    <cellStyle name="Note 30 2" xfId="3129"/>
    <cellStyle name="Note 31" xfId="3130"/>
    <cellStyle name="Note 31 2" xfId="3131"/>
    <cellStyle name="Note 32" xfId="3132"/>
    <cellStyle name="Note 32 2" xfId="3133"/>
    <cellStyle name="Note 33" xfId="3134"/>
    <cellStyle name="Note 33 2" xfId="3135"/>
    <cellStyle name="Note 34" xfId="3136"/>
    <cellStyle name="Note 34 2" xfId="3137"/>
    <cellStyle name="Note 35" xfId="3138"/>
    <cellStyle name="Note 35 2" xfId="3139"/>
    <cellStyle name="Note 36" xfId="3140"/>
    <cellStyle name="Note 36 2" xfId="3141"/>
    <cellStyle name="Note 36 3" xfId="3142"/>
    <cellStyle name="Note 36 4" xfId="3143"/>
    <cellStyle name="Note 36 5" xfId="3144"/>
    <cellStyle name="Note 36 6" xfId="3145"/>
    <cellStyle name="Note 37" xfId="3146"/>
    <cellStyle name="Note 37 2" xfId="3147"/>
    <cellStyle name="Note 38" xfId="3148"/>
    <cellStyle name="Note 38 2" xfId="3149"/>
    <cellStyle name="Note 39" xfId="9459"/>
    <cellStyle name="Note 4" xfId="3150"/>
    <cellStyle name="Note 4 10" xfId="5094"/>
    <cellStyle name="Note 4 10 2" xfId="5095"/>
    <cellStyle name="Note 4 10 3" xfId="5096"/>
    <cellStyle name="Note 4 11" xfId="5097"/>
    <cellStyle name="Note 4 11 2" xfId="5098"/>
    <cellStyle name="Note 4 11 3" xfId="5099"/>
    <cellStyle name="Note 4 12" xfId="5100"/>
    <cellStyle name="Note 4 13" xfId="5101"/>
    <cellStyle name="Note 4 2" xfId="3151"/>
    <cellStyle name="Note 4 2 2" xfId="3152"/>
    <cellStyle name="Note 4 2 2 2" xfId="5102"/>
    <cellStyle name="Note 4 2 2 3" xfId="5103"/>
    <cellStyle name="Note 4 2 3" xfId="5104"/>
    <cellStyle name="Note 4 2 4" xfId="5105"/>
    <cellStyle name="Note 4 2_JE 5 2002.2 FED" xfId="5106"/>
    <cellStyle name="Note 4 3" xfId="5107"/>
    <cellStyle name="Note 4 3 2" xfId="5108"/>
    <cellStyle name="Note 4 3 2 2" xfId="5109"/>
    <cellStyle name="Note 4 3 2 3" xfId="5110"/>
    <cellStyle name="Note 4 3 3" xfId="5111"/>
    <cellStyle name="Note 4 3 4" xfId="5112"/>
    <cellStyle name="Note 4 3_JE 5 2002.2 FED" xfId="5113"/>
    <cellStyle name="Note 4 4" xfId="5114"/>
    <cellStyle name="Note 4 4 2" xfId="5115"/>
    <cellStyle name="Note 4 4 2 2" xfId="5116"/>
    <cellStyle name="Note 4 4 2 3" xfId="5117"/>
    <cellStyle name="Note 4 4 3" xfId="5118"/>
    <cellStyle name="Note 4 4 4" xfId="5119"/>
    <cellStyle name="Note 4 4_JE 5 2002.2 FED" xfId="5120"/>
    <cellStyle name="Note 4 5" xfId="5121"/>
    <cellStyle name="Note 4 5 2" xfId="5122"/>
    <cellStyle name="Note 4 5 2 2" xfId="5123"/>
    <cellStyle name="Note 4 5 2 3" xfId="5124"/>
    <cellStyle name="Note 4 5 3" xfId="5125"/>
    <cellStyle name="Note 4 5 4" xfId="5126"/>
    <cellStyle name="Note 4 5_JE 5 2002.2 FED" xfId="5127"/>
    <cellStyle name="Note 4 6" xfId="5128"/>
    <cellStyle name="Note 4 6 2" xfId="5129"/>
    <cellStyle name="Note 4 6 2 2" xfId="5130"/>
    <cellStyle name="Note 4 6 2 3" xfId="5131"/>
    <cellStyle name="Note 4 6 3" xfId="5132"/>
    <cellStyle name="Note 4 6 4" xfId="5133"/>
    <cellStyle name="Note 4 6_JE 5 2002.2 FED" xfId="5134"/>
    <cellStyle name="Note 4 7" xfId="5135"/>
    <cellStyle name="Note 4 7 2" xfId="5136"/>
    <cellStyle name="Note 4 7 2 2" xfId="5137"/>
    <cellStyle name="Note 4 7 2 3" xfId="5138"/>
    <cellStyle name="Note 4 7 3" xfId="5139"/>
    <cellStyle name="Note 4 7 4" xfId="5140"/>
    <cellStyle name="Note 4 7_JE 5 2002.2 FED" xfId="5141"/>
    <cellStyle name="Note 4 8" xfId="5142"/>
    <cellStyle name="Note 4 8 2" xfId="5143"/>
    <cellStyle name="Note 4 8 2 2" xfId="5144"/>
    <cellStyle name="Note 4 8 2 3" xfId="5145"/>
    <cellStyle name="Note 4 8 3" xfId="5146"/>
    <cellStyle name="Note 4 8 4" xfId="5147"/>
    <cellStyle name="Note 4 8_JE 5 2002.2 FED" xfId="5148"/>
    <cellStyle name="Note 4 9" xfId="5149"/>
    <cellStyle name="Note 4 9 2" xfId="5150"/>
    <cellStyle name="Note 4 9 2 2" xfId="5151"/>
    <cellStyle name="Note 4 9 2 3" xfId="5152"/>
    <cellStyle name="Note 4 9 3" xfId="5153"/>
    <cellStyle name="Note 4 9 4" xfId="5154"/>
    <cellStyle name="Note 4 9_JE 5 2002.2 FED" xfId="5155"/>
    <cellStyle name="Note 4_JE 5 2002.2 FED" xfId="5156"/>
    <cellStyle name="Note 40" xfId="9460"/>
    <cellStyle name="Note 41" xfId="9461"/>
    <cellStyle name="Note 5" xfId="3153"/>
    <cellStyle name="Note 5 10" xfId="5157"/>
    <cellStyle name="Note 5 10 2" xfId="5158"/>
    <cellStyle name="Note 5 10 3" xfId="5159"/>
    <cellStyle name="Note 5 11" xfId="5160"/>
    <cellStyle name="Note 5 12" xfId="5161"/>
    <cellStyle name="Note 5 2" xfId="3154"/>
    <cellStyle name="Note 5 2 2" xfId="3155"/>
    <cellStyle name="Note 5 2 2 2" xfId="5162"/>
    <cellStyle name="Note 5 2 2 3" xfId="5163"/>
    <cellStyle name="Note 5 2 3" xfId="5164"/>
    <cellStyle name="Note 5 2 4" xfId="5165"/>
    <cellStyle name="Note 5 2_JE 5 2002.2 FED" xfId="5166"/>
    <cellStyle name="Note 5 3" xfId="3156"/>
    <cellStyle name="Note 5 3 2" xfId="5167"/>
    <cellStyle name="Note 5 3 2 2" xfId="5168"/>
    <cellStyle name="Note 5 3 2 3" xfId="5169"/>
    <cellStyle name="Note 5 3 3" xfId="5170"/>
    <cellStyle name="Note 5 3 4" xfId="5171"/>
    <cellStyle name="Note 5 3_JE 5 2002.2 FED" xfId="5172"/>
    <cellStyle name="Note 5 4" xfId="5173"/>
    <cellStyle name="Note 5 4 2" xfId="5174"/>
    <cellStyle name="Note 5 4 2 2" xfId="5175"/>
    <cellStyle name="Note 5 4 2 3" xfId="5176"/>
    <cellStyle name="Note 5 4 3" xfId="5177"/>
    <cellStyle name="Note 5 4 4" xfId="5178"/>
    <cellStyle name="Note 5 4_JE 5 2002.2 FED" xfId="5179"/>
    <cellStyle name="Note 5 5" xfId="5180"/>
    <cellStyle name="Note 5 5 2" xfId="5181"/>
    <cellStyle name="Note 5 5 2 2" xfId="5182"/>
    <cellStyle name="Note 5 5 2 3" xfId="5183"/>
    <cellStyle name="Note 5 5 3" xfId="5184"/>
    <cellStyle name="Note 5 5 4" xfId="5185"/>
    <cellStyle name="Note 5 5_JE 5 2002.2 FED" xfId="5186"/>
    <cellStyle name="Note 5 6" xfId="5187"/>
    <cellStyle name="Note 5 6 2" xfId="5188"/>
    <cellStyle name="Note 5 6 2 2" xfId="5189"/>
    <cellStyle name="Note 5 6 2 3" xfId="5190"/>
    <cellStyle name="Note 5 6 3" xfId="5191"/>
    <cellStyle name="Note 5 6 4" xfId="5192"/>
    <cellStyle name="Note 5 6_JE 5 2002.2 FED" xfId="5193"/>
    <cellStyle name="Note 5 7" xfId="5194"/>
    <cellStyle name="Note 5 7 2" xfId="5195"/>
    <cellStyle name="Note 5 7 2 2" xfId="5196"/>
    <cellStyle name="Note 5 7 2 3" xfId="5197"/>
    <cellStyle name="Note 5 7 3" xfId="5198"/>
    <cellStyle name="Note 5 7 4" xfId="5199"/>
    <cellStyle name="Note 5 7_JE 5 2002.2 FED" xfId="5200"/>
    <cellStyle name="Note 5 8" xfId="5201"/>
    <cellStyle name="Note 5 8 2" xfId="5202"/>
    <cellStyle name="Note 5 8 2 2" xfId="5203"/>
    <cellStyle name="Note 5 8 2 3" xfId="5204"/>
    <cellStyle name="Note 5 8 3" xfId="5205"/>
    <cellStyle name="Note 5 8 4" xfId="5206"/>
    <cellStyle name="Note 5 8_JE 5 2002.2 FED" xfId="5207"/>
    <cellStyle name="Note 5 9" xfId="5208"/>
    <cellStyle name="Note 5 9 2" xfId="5209"/>
    <cellStyle name="Note 5 9 2 2" xfId="5210"/>
    <cellStyle name="Note 5 9 2 3" xfId="5211"/>
    <cellStyle name="Note 5 9 3" xfId="5212"/>
    <cellStyle name="Note 5 9 4" xfId="5213"/>
    <cellStyle name="Note 5 9_JE 5 2002.2 FED" xfId="5214"/>
    <cellStyle name="Note 5_JE 5 2002.2 FED" xfId="5215"/>
    <cellStyle name="Note 6" xfId="3157"/>
    <cellStyle name="Note 6 10" xfId="5216"/>
    <cellStyle name="Note 6 10 2" xfId="5217"/>
    <cellStyle name="Note 6 10 3" xfId="5218"/>
    <cellStyle name="Note 6 11" xfId="5219"/>
    <cellStyle name="Note 6 12" xfId="5220"/>
    <cellStyle name="Note 6 2" xfId="3158"/>
    <cellStyle name="Note 6 2 2" xfId="3159"/>
    <cellStyle name="Note 6 2 2 2" xfId="5221"/>
    <cellStyle name="Note 6 2 2 3" xfId="5222"/>
    <cellStyle name="Note 6 2 3" xfId="5223"/>
    <cellStyle name="Note 6 2 4" xfId="5224"/>
    <cellStyle name="Note 6 2_JE 5 2002.2 FED" xfId="5225"/>
    <cellStyle name="Note 6 3" xfId="3160"/>
    <cellStyle name="Note 6 3 2" xfId="5226"/>
    <cellStyle name="Note 6 3 2 2" xfId="5227"/>
    <cellStyle name="Note 6 3 2 3" xfId="5228"/>
    <cellStyle name="Note 6 3 3" xfId="5229"/>
    <cellStyle name="Note 6 3 4" xfId="5230"/>
    <cellStyle name="Note 6 3_JE 5 2002.2 FED" xfId="5231"/>
    <cellStyle name="Note 6 4" xfId="5232"/>
    <cellStyle name="Note 6 4 2" xfId="5233"/>
    <cellStyle name="Note 6 4 2 2" xfId="5234"/>
    <cellStyle name="Note 6 4 2 3" xfId="5235"/>
    <cellStyle name="Note 6 4 3" xfId="5236"/>
    <cellStyle name="Note 6 4 4" xfId="5237"/>
    <cellStyle name="Note 6 4_JE 5 2002.2 FED" xfId="5238"/>
    <cellStyle name="Note 6 5" xfId="5239"/>
    <cellStyle name="Note 6 5 2" xfId="5240"/>
    <cellStyle name="Note 6 5 2 2" xfId="5241"/>
    <cellStyle name="Note 6 5 2 3" xfId="5242"/>
    <cellStyle name="Note 6 5 3" xfId="5243"/>
    <cellStyle name="Note 6 5 4" xfId="5244"/>
    <cellStyle name="Note 6 5_JE 5 2002.2 FED" xfId="5245"/>
    <cellStyle name="Note 6 6" xfId="5246"/>
    <cellStyle name="Note 6 6 2" xfId="5247"/>
    <cellStyle name="Note 6 6 2 2" xfId="5248"/>
    <cellStyle name="Note 6 6 2 3" xfId="5249"/>
    <cellStyle name="Note 6 6 3" xfId="5250"/>
    <cellStyle name="Note 6 6 4" xfId="5251"/>
    <cellStyle name="Note 6 6_JE 5 2002.2 FED" xfId="5252"/>
    <cellStyle name="Note 6 7" xfId="5253"/>
    <cellStyle name="Note 6 7 2" xfId="5254"/>
    <cellStyle name="Note 6 7 2 2" xfId="5255"/>
    <cellStyle name="Note 6 7 2 3" xfId="5256"/>
    <cellStyle name="Note 6 7 3" xfId="5257"/>
    <cellStyle name="Note 6 7 4" xfId="5258"/>
    <cellStyle name="Note 6 7_JE 5 2002.2 FED" xfId="5259"/>
    <cellStyle name="Note 6 8" xfId="5260"/>
    <cellStyle name="Note 6 8 2" xfId="5261"/>
    <cellStyle name="Note 6 8 2 2" xfId="5262"/>
    <cellStyle name="Note 6 8 2 3" xfId="5263"/>
    <cellStyle name="Note 6 8 3" xfId="5264"/>
    <cellStyle name="Note 6 8 4" xfId="5265"/>
    <cellStyle name="Note 6 8_JE 5 2002.2 FED" xfId="5266"/>
    <cellStyle name="Note 6 9" xfId="5267"/>
    <cellStyle name="Note 6 9 2" xfId="5268"/>
    <cellStyle name="Note 6 9 2 2" xfId="5269"/>
    <cellStyle name="Note 6 9 2 3" xfId="5270"/>
    <cellStyle name="Note 6 9 3" xfId="5271"/>
    <cellStyle name="Note 6 9 4" xfId="5272"/>
    <cellStyle name="Note 6 9_JE 5 2002.2 FED" xfId="5273"/>
    <cellStyle name="Note 6_JE 5 2002.2 FED" xfId="5274"/>
    <cellStyle name="Note 7" xfId="3161"/>
    <cellStyle name="Note 7 2" xfId="3162"/>
    <cellStyle name="Note 7 2 2" xfId="3163"/>
    <cellStyle name="Note 7 2 2 2" xfId="5275"/>
    <cellStyle name="Note 7 2 2 3" xfId="5276"/>
    <cellStyle name="Note 7 2 3" xfId="5277"/>
    <cellStyle name="Note 7 2 4" xfId="5278"/>
    <cellStyle name="Note 7 2_JE 5 2002.2 FED" xfId="5279"/>
    <cellStyle name="Note 7 3" xfId="3164"/>
    <cellStyle name="Note 7 3 2" xfId="5280"/>
    <cellStyle name="Note 7 3 2 2" xfId="5281"/>
    <cellStyle name="Note 7 3 2 3" xfId="5282"/>
    <cellStyle name="Note 7 3 3" xfId="5283"/>
    <cellStyle name="Note 7 3 4" xfId="5284"/>
    <cellStyle name="Note 7 3_JE 5 2002.2 FED" xfId="5285"/>
    <cellStyle name="Note 7 4" xfId="5286"/>
    <cellStyle name="Note 7 4 2" xfId="5287"/>
    <cellStyle name="Note 7 4 2 2" xfId="5288"/>
    <cellStyle name="Note 7 4 2 3" xfId="5289"/>
    <cellStyle name="Note 7 4 3" xfId="5290"/>
    <cellStyle name="Note 7 4 4" xfId="5291"/>
    <cellStyle name="Note 7 4_JE 5 2002.2 FED" xfId="5292"/>
    <cellStyle name="Note 7 5" xfId="5293"/>
    <cellStyle name="Note 7 5 2" xfId="5294"/>
    <cellStyle name="Note 7 5 2 2" xfId="5295"/>
    <cellStyle name="Note 7 5 2 3" xfId="5296"/>
    <cellStyle name="Note 7 5 3" xfId="5297"/>
    <cellStyle name="Note 7 5 4" xfId="5298"/>
    <cellStyle name="Note 7 5_JE 5 2002.2 FED" xfId="5299"/>
    <cellStyle name="Note 7 6" xfId="5300"/>
    <cellStyle name="Note 7 6 2" xfId="5301"/>
    <cellStyle name="Note 7 6 3" xfId="5302"/>
    <cellStyle name="Note 7 7" xfId="5303"/>
    <cellStyle name="Note 7 8" xfId="5304"/>
    <cellStyle name="Note 7_JE 5 2002.2 FED" xfId="5305"/>
    <cellStyle name="Note 8" xfId="3165"/>
    <cellStyle name="Note 8 2" xfId="3166"/>
    <cellStyle name="Note 8 2 2" xfId="3167"/>
    <cellStyle name="Note 8 2 2 2" xfId="5306"/>
    <cellStyle name="Note 8 2 2 3" xfId="5307"/>
    <cellStyle name="Note 8 2 3" xfId="5308"/>
    <cellStyle name="Note 8 2 4" xfId="5309"/>
    <cellStyle name="Note 8 2_JE 5 2002.2 FED" xfId="5310"/>
    <cellStyle name="Note 8 3" xfId="3168"/>
    <cellStyle name="Note 8 3 2" xfId="5311"/>
    <cellStyle name="Note 8 3 2 2" xfId="5312"/>
    <cellStyle name="Note 8 3 2 3" xfId="5313"/>
    <cellStyle name="Note 8 3 3" xfId="5314"/>
    <cellStyle name="Note 8 3 4" xfId="5315"/>
    <cellStyle name="Note 8 3_JE 5 2002.2 FED" xfId="5316"/>
    <cellStyle name="Note 8 4" xfId="5317"/>
    <cellStyle name="Note 8 4 2" xfId="5318"/>
    <cellStyle name="Note 8 4 2 2" xfId="5319"/>
    <cellStyle name="Note 8 4 2 3" xfId="5320"/>
    <cellStyle name="Note 8 4 3" xfId="5321"/>
    <cellStyle name="Note 8 4 4" xfId="5322"/>
    <cellStyle name="Note 8 4_JE 5 2002.2 FED" xfId="5323"/>
    <cellStyle name="Note 8 5" xfId="5324"/>
    <cellStyle name="Note 8 5 2" xfId="5325"/>
    <cellStyle name="Note 8 5 2 2" xfId="5326"/>
    <cellStyle name="Note 8 5 2 3" xfId="5327"/>
    <cellStyle name="Note 8 5 3" xfId="5328"/>
    <cellStyle name="Note 8 5 4" xfId="5329"/>
    <cellStyle name="Note 8 5_JE 5 2002.2 FED" xfId="5330"/>
    <cellStyle name="Note 8 6" xfId="5331"/>
    <cellStyle name="Note 8 6 2" xfId="5332"/>
    <cellStyle name="Note 8 6 3" xfId="5333"/>
    <cellStyle name="Note 8 7" xfId="5334"/>
    <cellStyle name="Note 8 8" xfId="5335"/>
    <cellStyle name="Note 8_JE 5 2002.2 FED" xfId="5336"/>
    <cellStyle name="Note 9" xfId="3169"/>
    <cellStyle name="Note 9 2" xfId="3170"/>
    <cellStyle name="Note 9 2 2" xfId="3171"/>
    <cellStyle name="Note 9 2 2 2" xfId="5337"/>
    <cellStyle name="Note 9 2 2 3" xfId="5338"/>
    <cellStyle name="Note 9 2 3" xfId="5339"/>
    <cellStyle name="Note 9 2 4" xfId="5340"/>
    <cellStyle name="Note 9 2_JE 5 2002.2 FED" xfId="5341"/>
    <cellStyle name="Note 9 3" xfId="3172"/>
    <cellStyle name="Note 9 3 2" xfId="5342"/>
    <cellStyle name="Note 9 3 2 2" xfId="5343"/>
    <cellStyle name="Note 9 3 2 3" xfId="5344"/>
    <cellStyle name="Note 9 3 3" xfId="5345"/>
    <cellStyle name="Note 9 3 4" xfId="5346"/>
    <cellStyle name="Note 9 3_JE 5 2002.2 FED" xfId="5347"/>
    <cellStyle name="Note 9 4" xfId="5348"/>
    <cellStyle name="Note 9 4 2" xfId="5349"/>
    <cellStyle name="Note 9 4 2 2" xfId="5350"/>
    <cellStyle name="Note 9 4 2 3" xfId="5351"/>
    <cellStyle name="Note 9 4 3" xfId="5352"/>
    <cellStyle name="Note 9 4 4" xfId="5353"/>
    <cellStyle name="Note 9 4_JE 5 2002.2 FED" xfId="5354"/>
    <cellStyle name="Note 9 5" xfId="5355"/>
    <cellStyle name="Note 9 5 2" xfId="5356"/>
    <cellStyle name="Note 9 5 2 2" xfId="5357"/>
    <cellStyle name="Note 9 5 2 3" xfId="5358"/>
    <cellStyle name="Note 9 5 3" xfId="5359"/>
    <cellStyle name="Note 9 5 4" xfId="5360"/>
    <cellStyle name="Note 9 5_JE 5 2002.2 FED" xfId="5361"/>
    <cellStyle name="Note 9 6" xfId="5362"/>
    <cellStyle name="Note 9 6 2" xfId="5363"/>
    <cellStyle name="Note 9 6 3" xfId="5364"/>
    <cellStyle name="Note 9 7" xfId="5365"/>
    <cellStyle name="Note 9 8" xfId="5366"/>
    <cellStyle name="Note 9_JE 5 2002.2 FED" xfId="5367"/>
    <cellStyle name="Output" xfId="50" builtinId="21" customBuiltin="1"/>
    <cellStyle name="Output 10" xfId="3173"/>
    <cellStyle name="Output 10 2" xfId="3174"/>
    <cellStyle name="Output 11" xfId="3175"/>
    <cellStyle name="Output 11 2" xfId="3176"/>
    <cellStyle name="Output 12" xfId="3177"/>
    <cellStyle name="Output 12 2" xfId="3178"/>
    <cellStyle name="Output 13" xfId="3179"/>
    <cellStyle name="Output 13 2" xfId="3180"/>
    <cellStyle name="Output 14" xfId="3181"/>
    <cellStyle name="Output 14 2" xfId="3182"/>
    <cellStyle name="Output 15" xfId="3183"/>
    <cellStyle name="Output 15 2" xfId="3184"/>
    <cellStyle name="Output 16" xfId="3185"/>
    <cellStyle name="Output 16 2" xfId="3186"/>
    <cellStyle name="Output 17" xfId="3187"/>
    <cellStyle name="Output 17 2" xfId="3188"/>
    <cellStyle name="Output 18" xfId="3189"/>
    <cellStyle name="Output 18 2" xfId="3190"/>
    <cellStyle name="Output 19" xfId="3191"/>
    <cellStyle name="Output 19 2" xfId="3192"/>
    <cellStyle name="Output 2" xfId="3193"/>
    <cellStyle name="Output 2 2" xfId="3194"/>
    <cellStyle name="Output 2 3" xfId="3195"/>
    <cellStyle name="Output 20" xfId="3196"/>
    <cellStyle name="Output 21" xfId="3197"/>
    <cellStyle name="Output 22" xfId="3198"/>
    <cellStyle name="Output 23" xfId="3199"/>
    <cellStyle name="Output 24" xfId="3200"/>
    <cellStyle name="Output 25" xfId="3201"/>
    <cellStyle name="Output 26" xfId="3202"/>
    <cellStyle name="Output 27" xfId="3203"/>
    <cellStyle name="Output 28" xfId="3204"/>
    <cellStyle name="Output 29" xfId="3205"/>
    <cellStyle name="Output 3" xfId="3206"/>
    <cellStyle name="Output 3 2" xfId="3207"/>
    <cellStyle name="Output 30" xfId="3208"/>
    <cellStyle name="Output 31" xfId="3209"/>
    <cellStyle name="Output 32" xfId="3210"/>
    <cellStyle name="Output 33" xfId="3211"/>
    <cellStyle name="Output 34" xfId="3212"/>
    <cellStyle name="Output 35" xfId="3213"/>
    <cellStyle name="Output 36" xfId="3214"/>
    <cellStyle name="Output 37" xfId="9462"/>
    <cellStyle name="Output 4" xfId="3215"/>
    <cellStyle name="Output 4 2" xfId="3216"/>
    <cellStyle name="Output 5" xfId="3217"/>
    <cellStyle name="Output 5 2" xfId="3218"/>
    <cellStyle name="Output 6" xfId="3219"/>
    <cellStyle name="Output 6 2" xfId="3220"/>
    <cellStyle name="Output 7" xfId="3221"/>
    <cellStyle name="Output 7 2" xfId="3222"/>
    <cellStyle name="Output 8" xfId="3223"/>
    <cellStyle name="Output 8 2" xfId="3224"/>
    <cellStyle name="Output 9" xfId="3225"/>
    <cellStyle name="Output 9 2" xfId="3226"/>
    <cellStyle name="Percent" xfId="51" builtinId="5"/>
    <cellStyle name="Percent [1]" xfId="3227"/>
    <cellStyle name="Percent [1] 2" xfId="3228"/>
    <cellStyle name="Percent [1] 2 2" xfId="3229"/>
    <cellStyle name="Percent [1] 2 2 2" xfId="3230"/>
    <cellStyle name="Percent [1] 2 3" xfId="3231"/>
    <cellStyle name="Percent [1] 3" xfId="3232"/>
    <cellStyle name="Percent [2]" xfId="3233"/>
    <cellStyle name="Percent [2] 2" xfId="3234"/>
    <cellStyle name="Percent [2] 2 2" xfId="3235"/>
    <cellStyle name="Percent [2] 2 2 2" xfId="3236"/>
    <cellStyle name="Percent [2] 2 3" xfId="3237"/>
    <cellStyle name="Percent [2] 3" xfId="3238"/>
    <cellStyle name="Percent 10" xfId="3239"/>
    <cellStyle name="Percent 10 2" xfId="3240"/>
    <cellStyle name="Percent 10 2 2" xfId="3241"/>
    <cellStyle name="Percent 10 26" xfId="9463"/>
    <cellStyle name="Percent 10 3" xfId="3242"/>
    <cellStyle name="Percent 10 3 2" xfId="3243"/>
    <cellStyle name="Percent 10 4" xfId="3244"/>
    <cellStyle name="Percent 10 4 2" xfId="3245"/>
    <cellStyle name="Percent 10 5" xfId="3246"/>
    <cellStyle name="Percent 11" xfId="3247"/>
    <cellStyle name="Percent 11 2" xfId="3248"/>
    <cellStyle name="Percent 11 2 2" xfId="3249"/>
    <cellStyle name="Percent 11 3" xfId="3250"/>
    <cellStyle name="Percent 12" xfId="3251"/>
    <cellStyle name="Percent 12 2" xfId="3252"/>
    <cellStyle name="Percent 12 2 2" xfId="3253"/>
    <cellStyle name="Percent 12 3" xfId="3254"/>
    <cellStyle name="Percent 13" xfId="3255"/>
    <cellStyle name="Percent 13 2" xfId="3256"/>
    <cellStyle name="Percent 13 2 2" xfId="3257"/>
    <cellStyle name="Percent 13 3" xfId="3258"/>
    <cellStyle name="Percent 130 2" xfId="9464"/>
    <cellStyle name="Percent 14" xfId="3259"/>
    <cellStyle name="Percent 14 2" xfId="3260"/>
    <cellStyle name="Percent 14 2 2" xfId="3261"/>
    <cellStyle name="Percent 14 3" xfId="3262"/>
    <cellStyle name="Percent 15" xfId="3263"/>
    <cellStyle name="Percent 15 2" xfId="3264"/>
    <cellStyle name="Percent 15 2 2" xfId="3265"/>
    <cellStyle name="Percent 15 3" xfId="3266"/>
    <cellStyle name="Percent 16" xfId="3267"/>
    <cellStyle name="Percent 16 2" xfId="3268"/>
    <cellStyle name="Percent 16 2 2" xfId="3269"/>
    <cellStyle name="Percent 16 3" xfId="3270"/>
    <cellStyle name="Percent 17" xfId="3271"/>
    <cellStyle name="Percent 17 2" xfId="3272"/>
    <cellStyle name="Percent 17 2 2" xfId="3273"/>
    <cellStyle name="Percent 17 3" xfId="3274"/>
    <cellStyle name="Percent 18" xfId="3275"/>
    <cellStyle name="Percent 18 2" xfId="3276"/>
    <cellStyle name="Percent 19" xfId="3277"/>
    <cellStyle name="Percent 19 2" xfId="3278"/>
    <cellStyle name="Percent 2" xfId="52"/>
    <cellStyle name="Percent 2 10" xfId="3279"/>
    <cellStyle name="Percent 2 10 2" xfId="3280"/>
    <cellStyle name="Percent 2 11" xfId="3281"/>
    <cellStyle name="Percent 2 11 2" xfId="3282"/>
    <cellStyle name="Percent 2 12" xfId="3283"/>
    <cellStyle name="Percent 2 12 2" xfId="3284"/>
    <cellStyle name="Percent 2 13" xfId="3285"/>
    <cellStyle name="Percent 2 13 2" xfId="3286"/>
    <cellStyle name="Percent 2 14" xfId="3287"/>
    <cellStyle name="Percent 2 14 2" xfId="3288"/>
    <cellStyle name="Percent 2 15" xfId="3289"/>
    <cellStyle name="Percent 2 15 2" xfId="3290"/>
    <cellStyle name="Percent 2 16" xfId="3291"/>
    <cellStyle name="Percent 2 16 2" xfId="3292"/>
    <cellStyle name="Percent 2 17" xfId="3293"/>
    <cellStyle name="Percent 2 17 2" xfId="3294"/>
    <cellStyle name="Percent 2 18" xfId="3295"/>
    <cellStyle name="Percent 2 18 2" xfId="3296"/>
    <cellStyle name="Percent 2 19" xfId="3297"/>
    <cellStyle name="Percent 2 19 2" xfId="3298"/>
    <cellStyle name="Percent 2 2" xfId="3299"/>
    <cellStyle name="Percent 2 2 2" xfId="3300"/>
    <cellStyle name="Percent 2 2 2 2" xfId="5368"/>
    <cellStyle name="Percent 2 2 2 3" xfId="5369"/>
    <cellStyle name="Percent 2 2 3" xfId="5370"/>
    <cellStyle name="Percent 2 2 4" xfId="5371"/>
    <cellStyle name="Percent 2 20" xfId="3301"/>
    <cellStyle name="Percent 2 20 2" xfId="3302"/>
    <cellStyle name="Percent 2 21" xfId="3303"/>
    <cellStyle name="Percent 2 21 2" xfId="3304"/>
    <cellStyle name="Percent 2 22" xfId="3305"/>
    <cellStyle name="Percent 2 22 2" xfId="3306"/>
    <cellStyle name="Percent 2 23" xfId="3307"/>
    <cellStyle name="Percent 2 23 2" xfId="3308"/>
    <cellStyle name="Percent 2 24" xfId="3309"/>
    <cellStyle name="Percent 2 24 2" xfId="3310"/>
    <cellStyle name="Percent 2 25" xfId="3311"/>
    <cellStyle name="Percent 2 25 2" xfId="3312"/>
    <cellStyle name="Percent 2 26" xfId="3313"/>
    <cellStyle name="Percent 2 26 2" xfId="3314"/>
    <cellStyle name="Percent 2 27" xfId="3315"/>
    <cellStyle name="Percent 2 27 2" xfId="3316"/>
    <cellStyle name="Percent 2 28" xfId="3317"/>
    <cellStyle name="Percent 2 28 2" xfId="3318"/>
    <cellStyle name="Percent 2 29" xfId="3319"/>
    <cellStyle name="Percent 2 29 2" xfId="3320"/>
    <cellStyle name="Percent 2 3" xfId="3321"/>
    <cellStyle name="Percent 2 3 2" xfId="3322"/>
    <cellStyle name="Percent 2 3 2 2" xfId="5372"/>
    <cellStyle name="Percent 2 3 2 3" xfId="5373"/>
    <cellStyle name="Percent 2 3 3" xfId="5374"/>
    <cellStyle name="Percent 2 3 4" xfId="5375"/>
    <cellStyle name="Percent 2 30" xfId="3323"/>
    <cellStyle name="Percent 2 30 2" xfId="3324"/>
    <cellStyle name="Percent 2 31" xfId="3325"/>
    <cellStyle name="Percent 2 31 2" xfId="3326"/>
    <cellStyle name="Percent 2 32" xfId="3327"/>
    <cellStyle name="Percent 2 32 2" xfId="3328"/>
    <cellStyle name="Percent 2 33" xfId="3329"/>
    <cellStyle name="Percent 2 33 2" xfId="3330"/>
    <cellStyle name="Percent 2 34" xfId="3331"/>
    <cellStyle name="Percent 2 34 2" xfId="3332"/>
    <cellStyle name="Percent 2 35" xfId="3333"/>
    <cellStyle name="Percent 2 35 2" xfId="3334"/>
    <cellStyle name="Percent 2 36" xfId="3335"/>
    <cellStyle name="Percent 2 36 2" xfId="3336"/>
    <cellStyle name="Percent 2 37" xfId="3337"/>
    <cellStyle name="Percent 2 37 2" xfId="3338"/>
    <cellStyle name="Percent 2 38" xfId="3339"/>
    <cellStyle name="Percent 2 38 2" xfId="3340"/>
    <cellStyle name="Percent 2 39" xfId="3341"/>
    <cellStyle name="Percent 2 39 2" xfId="3342"/>
    <cellStyle name="Percent 2 4" xfId="3343"/>
    <cellStyle name="Percent 2 4 2" xfId="3344"/>
    <cellStyle name="Percent 2 4 2 2" xfId="5376"/>
    <cellStyle name="Percent 2 4 2 3" xfId="5377"/>
    <cellStyle name="Percent 2 4 3" xfId="5378"/>
    <cellStyle name="Percent 2 4 4" xfId="5379"/>
    <cellStyle name="Percent 2 40" xfId="3345"/>
    <cellStyle name="Percent 2 40 2" xfId="3346"/>
    <cellStyle name="Percent 2 41" xfId="3347"/>
    <cellStyle name="Percent 2 41 2" xfId="3348"/>
    <cellStyle name="Percent 2 42" xfId="3349"/>
    <cellStyle name="Percent 2 42 2" xfId="3350"/>
    <cellStyle name="Percent 2 43" xfId="3351"/>
    <cellStyle name="Percent 2 43 2" xfId="3352"/>
    <cellStyle name="Percent 2 44" xfId="3353"/>
    <cellStyle name="Percent 2 44 2" xfId="3354"/>
    <cellStyle name="Percent 2 45" xfId="3355"/>
    <cellStyle name="Percent 2 45 2" xfId="3356"/>
    <cellStyle name="Percent 2 46" xfId="3357"/>
    <cellStyle name="Percent 2 46 2" xfId="3358"/>
    <cellStyle name="Percent 2 47" xfId="3359"/>
    <cellStyle name="Percent 2 47 2" xfId="3360"/>
    <cellStyle name="Percent 2 48" xfId="3361"/>
    <cellStyle name="Percent 2 48 2" xfId="3362"/>
    <cellStyle name="Percent 2 49" xfId="3363"/>
    <cellStyle name="Percent 2 49 2" xfId="3364"/>
    <cellStyle name="Percent 2 5" xfId="3365"/>
    <cellStyle name="Percent 2 5 2" xfId="3366"/>
    <cellStyle name="Percent 2 5 2 2" xfId="5380"/>
    <cellStyle name="Percent 2 5 2 3" xfId="5381"/>
    <cellStyle name="Percent 2 5 3" xfId="5382"/>
    <cellStyle name="Percent 2 5 4" xfId="5383"/>
    <cellStyle name="Percent 2 50" xfId="3367"/>
    <cellStyle name="Percent 2 50 2" xfId="3368"/>
    <cellStyle name="Percent 2 51" xfId="3369"/>
    <cellStyle name="Percent 2 51 2" xfId="3370"/>
    <cellStyle name="Percent 2 52" xfId="3371"/>
    <cellStyle name="Percent 2 52 2" xfId="3372"/>
    <cellStyle name="Percent 2 53" xfId="3373"/>
    <cellStyle name="Percent 2 53 2" xfId="3374"/>
    <cellStyle name="Percent 2 54" xfId="3375"/>
    <cellStyle name="Percent 2 54 2" xfId="3376"/>
    <cellStyle name="Percent 2 55" xfId="3377"/>
    <cellStyle name="Percent 2 55 2" xfId="3378"/>
    <cellStyle name="Percent 2 56" xfId="3379"/>
    <cellStyle name="Percent 2 56 2" xfId="3380"/>
    <cellStyle name="Percent 2 57" xfId="3381"/>
    <cellStyle name="Percent 2 57 2" xfId="3382"/>
    <cellStyle name="Percent 2 58" xfId="3383"/>
    <cellStyle name="Percent 2 58 2" xfId="3384"/>
    <cellStyle name="Percent 2 59" xfId="3385"/>
    <cellStyle name="Percent 2 59 2" xfId="3386"/>
    <cellStyle name="Percent 2 6" xfId="3387"/>
    <cellStyle name="Percent 2 6 2" xfId="3388"/>
    <cellStyle name="Percent 2 6 3" xfId="5384"/>
    <cellStyle name="Percent 2 60" xfId="3389"/>
    <cellStyle name="Percent 2 60 2" xfId="3390"/>
    <cellStyle name="Percent 2 61" xfId="3391"/>
    <cellStyle name="Percent 2 61 2" xfId="3392"/>
    <cellStyle name="Percent 2 62" xfId="3393"/>
    <cellStyle name="Percent 2 62 2" xfId="3394"/>
    <cellStyle name="Percent 2 63" xfId="3395"/>
    <cellStyle name="Percent 2 63 2" xfId="3396"/>
    <cellStyle name="Percent 2 64" xfId="3397"/>
    <cellStyle name="Percent 2 64 2" xfId="3398"/>
    <cellStyle name="Percent 2 65" xfId="3399"/>
    <cellStyle name="Percent 2 65 2" xfId="3400"/>
    <cellStyle name="Percent 2 66" xfId="3401"/>
    <cellStyle name="Percent 2 66 2" xfId="3402"/>
    <cellStyle name="Percent 2 67" xfId="3403"/>
    <cellStyle name="Percent 2 67 2" xfId="3404"/>
    <cellStyle name="Percent 2 68" xfId="3405"/>
    <cellStyle name="Percent 2 68 2" xfId="3406"/>
    <cellStyle name="Percent 2 69" xfId="3407"/>
    <cellStyle name="Percent 2 69 2" xfId="3408"/>
    <cellStyle name="Percent 2 7" xfId="3409"/>
    <cellStyle name="Percent 2 7 2" xfId="3410"/>
    <cellStyle name="Percent 2 70" xfId="3411"/>
    <cellStyle name="Percent 2 70 2" xfId="3412"/>
    <cellStyle name="Percent 2 71" xfId="3413"/>
    <cellStyle name="Percent 2 71 2" xfId="3414"/>
    <cellStyle name="Percent 2 72" xfId="3415"/>
    <cellStyle name="Percent 2 72 2" xfId="3416"/>
    <cellStyle name="Percent 2 73" xfId="3417"/>
    <cellStyle name="Percent 2 73 2" xfId="3418"/>
    <cellStyle name="Percent 2 74" xfId="3419"/>
    <cellStyle name="Percent 2 74 2" xfId="3420"/>
    <cellStyle name="Percent 2 75" xfId="3421"/>
    <cellStyle name="Percent 2 75 2" xfId="3422"/>
    <cellStyle name="Percent 2 76" xfId="3423"/>
    <cellStyle name="Percent 2 76 2" xfId="3424"/>
    <cellStyle name="Percent 2 77" xfId="3425"/>
    <cellStyle name="Percent 2 77 2" xfId="3426"/>
    <cellStyle name="Percent 2 78" xfId="3427"/>
    <cellStyle name="Percent 2 78 2" xfId="3428"/>
    <cellStyle name="Percent 2 79" xfId="3429"/>
    <cellStyle name="Percent 2 8" xfId="3430"/>
    <cellStyle name="Percent 2 8 2" xfId="3431"/>
    <cellStyle name="Percent 2 80" xfId="5385"/>
    <cellStyle name="Percent 2 9" xfId="3432"/>
    <cellStyle name="Percent 2 9 2" xfId="3433"/>
    <cellStyle name="Percent 20" xfId="3434"/>
    <cellStyle name="Percent 20 2" xfId="3435"/>
    <cellStyle name="Percent 21" xfId="3436"/>
    <cellStyle name="Percent 21 2" xfId="3437"/>
    <cellStyle name="Percent 22" xfId="3438"/>
    <cellStyle name="Percent 22 2" xfId="3439"/>
    <cellStyle name="Percent 23" xfId="3440"/>
    <cellStyle name="Percent 23 2" xfId="3441"/>
    <cellStyle name="Percent 24" xfId="3442"/>
    <cellStyle name="Percent 24 2" xfId="3443"/>
    <cellStyle name="Percent 25" xfId="5386"/>
    <cellStyle name="Percent 26" xfId="5387"/>
    <cellStyle name="Percent 27" xfId="5388"/>
    <cellStyle name="Percent 28" xfId="9393"/>
    <cellStyle name="Percent 29" xfId="3444"/>
    <cellStyle name="Percent 29 2" xfId="3445"/>
    <cellStyle name="Percent 29 2 2" xfId="3446"/>
    <cellStyle name="Percent 29 3" xfId="3447"/>
    <cellStyle name="Percent 29 3 2" xfId="3448"/>
    <cellStyle name="Percent 29 4" xfId="3449"/>
    <cellStyle name="Percent 29 4 2" xfId="3450"/>
    <cellStyle name="Percent 29 5" xfId="3451"/>
    <cellStyle name="Percent 3" xfId="53"/>
    <cellStyle name="Percent 3 2" xfId="3452"/>
    <cellStyle name="Percent 3 2 2" xfId="3453"/>
    <cellStyle name="Percent 3 3" xfId="3454"/>
    <cellStyle name="Percent 3 3 2" xfId="3455"/>
    <cellStyle name="Percent 3 4" xfId="3456"/>
    <cellStyle name="Percent 3 4 2" xfId="3457"/>
    <cellStyle name="Percent 3 5" xfId="3458"/>
    <cellStyle name="Percent 30" xfId="9465"/>
    <cellStyle name="Percent 31" xfId="9466"/>
    <cellStyle name="Percent 32" xfId="9467"/>
    <cellStyle name="Percent 4" xfId="3459"/>
    <cellStyle name="Percent 4 2" xfId="3460"/>
    <cellStyle name="Percent 4 2 2" xfId="3461"/>
    <cellStyle name="Percent 4 2 2 2" xfId="3462"/>
    <cellStyle name="Percent 4 2 3" xfId="3463"/>
    <cellStyle name="Percent 4 2 3 2" xfId="3464"/>
    <cellStyle name="Percent 4 2 4" xfId="3465"/>
    <cellStyle name="Percent 4 2 4 2" xfId="3466"/>
    <cellStyle name="Percent 4 2 5" xfId="3467"/>
    <cellStyle name="Percent 4 3" xfId="3468"/>
    <cellStyle name="Percent 4 3 2" xfId="3469"/>
    <cellStyle name="Percent 4 4" xfId="3470"/>
    <cellStyle name="Percent 5" xfId="3471"/>
    <cellStyle name="Percent 5 2" xfId="3472"/>
    <cellStyle name="Percent 5 2 2" xfId="3473"/>
    <cellStyle name="Percent 5 3" xfId="3474"/>
    <cellStyle name="Percent 5 3 2" xfId="3475"/>
    <cellStyle name="Percent 5 4" xfId="3476"/>
    <cellStyle name="Percent 6" xfId="3477"/>
    <cellStyle name="Percent 6 2" xfId="3478"/>
    <cellStyle name="Percent 6 2 2" xfId="3479"/>
    <cellStyle name="Percent 6 3" xfId="3480"/>
    <cellStyle name="Percent 6 3 2" xfId="3481"/>
    <cellStyle name="Percent 6 4" xfId="3482"/>
    <cellStyle name="Percent 7" xfId="3483"/>
    <cellStyle name="Percent 7 2" xfId="3484"/>
    <cellStyle name="Percent 7 2 2" xfId="3485"/>
    <cellStyle name="Percent 8" xfId="3486"/>
    <cellStyle name="Percent 8 2" xfId="3487"/>
    <cellStyle name="Percent 8 2 2" xfId="3488"/>
    <cellStyle name="Percent 8 3" xfId="3489"/>
    <cellStyle name="Percent 9" xfId="3490"/>
    <cellStyle name="Percent 9 2" xfId="3491"/>
    <cellStyle name="Percent 9 2 2" xfId="3492"/>
    <cellStyle name="Percent 9 3" xfId="3493"/>
    <cellStyle name="Percent[2]" xfId="3494"/>
    <cellStyle name="Percent[2] 2" xfId="3495"/>
    <cellStyle name="Percent[2] 2 2" xfId="3496"/>
    <cellStyle name="Percent[2] 2 2 2" xfId="3497"/>
    <cellStyle name="Percent[2] 2 3" xfId="3498"/>
    <cellStyle name="Percent[2] 3" xfId="3499"/>
    <cellStyle name="PSChar" xfId="54"/>
    <cellStyle name="PSChar 10" xfId="3500"/>
    <cellStyle name="PSChar 10 2" xfId="5389"/>
    <cellStyle name="PSChar 10 2 2" xfId="5390"/>
    <cellStyle name="PSChar 10 2 2 2" xfId="5391"/>
    <cellStyle name="PSChar 10 2 3" xfId="5392"/>
    <cellStyle name="PSChar 10 3" xfId="5393"/>
    <cellStyle name="PSChar 10 3 2" xfId="5394"/>
    <cellStyle name="PSChar 10 3 2 2" xfId="5395"/>
    <cellStyle name="PSChar 10 3 3" xfId="5396"/>
    <cellStyle name="PSChar 10 4" xfId="5397"/>
    <cellStyle name="PSChar 10 4 2" xfId="5398"/>
    <cellStyle name="PSChar 10 4 2 2" xfId="5399"/>
    <cellStyle name="PSChar 10 4 3" xfId="5400"/>
    <cellStyle name="PSChar 10 5" xfId="5401"/>
    <cellStyle name="PSChar 10 5 2" xfId="5402"/>
    <cellStyle name="PSChar 10 5 2 2" xfId="5403"/>
    <cellStyle name="PSChar 10 5 3" xfId="5404"/>
    <cellStyle name="PSChar 10 6" xfId="5405"/>
    <cellStyle name="PSChar 10 6 2" xfId="5406"/>
    <cellStyle name="PSChar 10 7" xfId="5407"/>
    <cellStyle name="PSChar 11" xfId="3501"/>
    <cellStyle name="PSChar 11 2" xfId="5408"/>
    <cellStyle name="PSChar 11 2 2" xfId="5409"/>
    <cellStyle name="PSChar 11 2 2 2" xfId="5410"/>
    <cellStyle name="PSChar 11 2 3" xfId="5411"/>
    <cellStyle name="PSChar 11 3" xfId="5412"/>
    <cellStyle name="PSChar 11 3 2" xfId="5413"/>
    <cellStyle name="PSChar 11 3 2 2" xfId="5414"/>
    <cellStyle name="PSChar 11 3 3" xfId="5415"/>
    <cellStyle name="PSChar 11 4" xfId="5416"/>
    <cellStyle name="PSChar 11 4 2" xfId="5417"/>
    <cellStyle name="PSChar 11 4 2 2" xfId="5418"/>
    <cellStyle name="PSChar 11 4 3" xfId="5419"/>
    <cellStyle name="PSChar 11 5" xfId="5420"/>
    <cellStyle name="PSChar 11 5 2" xfId="5421"/>
    <cellStyle name="PSChar 11 5 2 2" xfId="5422"/>
    <cellStyle name="PSChar 11 5 3" xfId="5423"/>
    <cellStyle name="PSChar 11 6" xfId="5424"/>
    <cellStyle name="PSChar 11 6 2" xfId="5425"/>
    <cellStyle name="PSChar 11 7" xfId="5426"/>
    <cellStyle name="PSChar 12" xfId="3502"/>
    <cellStyle name="PSChar 12 2" xfId="5427"/>
    <cellStyle name="PSChar 12 2 2" xfId="5428"/>
    <cellStyle name="PSChar 12 2 2 2" xfId="5429"/>
    <cellStyle name="PSChar 12 2 3" xfId="5430"/>
    <cellStyle name="PSChar 12 3" xfId="5431"/>
    <cellStyle name="PSChar 12 3 2" xfId="5432"/>
    <cellStyle name="PSChar 12 3 2 2" xfId="5433"/>
    <cellStyle name="PSChar 12 3 3" xfId="5434"/>
    <cellStyle name="PSChar 12 4" xfId="5435"/>
    <cellStyle name="PSChar 12 4 2" xfId="5436"/>
    <cellStyle name="PSChar 12 4 2 2" xfId="5437"/>
    <cellStyle name="PSChar 12 4 3" xfId="5438"/>
    <cellStyle name="PSChar 12 5" xfId="5439"/>
    <cellStyle name="PSChar 12 5 2" xfId="5440"/>
    <cellStyle name="PSChar 12 5 2 2" xfId="5441"/>
    <cellStyle name="PSChar 12 5 3" xfId="5442"/>
    <cellStyle name="PSChar 12 6" xfId="5443"/>
    <cellStyle name="PSChar 12 6 2" xfId="5444"/>
    <cellStyle name="PSChar 12 7" xfId="5445"/>
    <cellStyle name="PSChar 13" xfId="5446"/>
    <cellStyle name="PSChar 13 2" xfId="5447"/>
    <cellStyle name="PSChar 13 2 2" xfId="5448"/>
    <cellStyle name="PSChar 13 2 2 2" xfId="5449"/>
    <cellStyle name="PSChar 13 2 3" xfId="5450"/>
    <cellStyle name="PSChar 13 3" xfId="5451"/>
    <cellStyle name="PSChar 13 3 2" xfId="5452"/>
    <cellStyle name="PSChar 13 3 2 2" xfId="5453"/>
    <cellStyle name="PSChar 13 3 3" xfId="5454"/>
    <cellStyle name="PSChar 13 4" xfId="5455"/>
    <cellStyle name="PSChar 13 4 2" xfId="5456"/>
    <cellStyle name="PSChar 13 4 2 2" xfId="5457"/>
    <cellStyle name="PSChar 13 4 3" xfId="5458"/>
    <cellStyle name="PSChar 13 5" xfId="5459"/>
    <cellStyle name="PSChar 13 5 2" xfId="5460"/>
    <cellStyle name="PSChar 13 5 2 2" xfId="5461"/>
    <cellStyle name="PSChar 13 5 3" xfId="5462"/>
    <cellStyle name="PSChar 13 6" xfId="5463"/>
    <cellStyle name="PSChar 13 6 2" xfId="5464"/>
    <cellStyle name="PSChar 13 7" xfId="5465"/>
    <cellStyle name="PSChar 14" xfId="5466"/>
    <cellStyle name="PSChar 14 2" xfId="5467"/>
    <cellStyle name="PSChar 14 2 2" xfId="5468"/>
    <cellStyle name="PSChar 14 2 2 2" xfId="5469"/>
    <cellStyle name="PSChar 14 2 3" xfId="5470"/>
    <cellStyle name="PSChar 14 3" xfId="5471"/>
    <cellStyle name="PSChar 14 3 2" xfId="5472"/>
    <cellStyle name="PSChar 14 3 2 2" xfId="5473"/>
    <cellStyle name="PSChar 14 3 3" xfId="5474"/>
    <cellStyle name="PSChar 14 4" xfId="5475"/>
    <cellStyle name="PSChar 14 4 2" xfId="5476"/>
    <cellStyle name="PSChar 14 4 2 2" xfId="5477"/>
    <cellStyle name="PSChar 14 4 3" xfId="5478"/>
    <cellStyle name="PSChar 14 5" xfId="5479"/>
    <cellStyle name="PSChar 14 5 2" xfId="5480"/>
    <cellStyle name="PSChar 14 5 2 2" xfId="5481"/>
    <cellStyle name="PSChar 14 5 3" xfId="5482"/>
    <cellStyle name="PSChar 14 6" xfId="5483"/>
    <cellStyle name="PSChar 14 6 2" xfId="5484"/>
    <cellStyle name="PSChar 14 7" xfId="5485"/>
    <cellStyle name="PSChar 15" xfId="5486"/>
    <cellStyle name="PSChar 15 2" xfId="5487"/>
    <cellStyle name="PSChar 15 2 2" xfId="5488"/>
    <cellStyle name="PSChar 15 2 2 2" xfId="5489"/>
    <cellStyle name="PSChar 15 2 3" xfId="5490"/>
    <cellStyle name="PSChar 15 3" xfId="5491"/>
    <cellStyle name="PSChar 15 3 2" xfId="5492"/>
    <cellStyle name="PSChar 15 3 2 2" xfId="5493"/>
    <cellStyle name="PSChar 15 3 3" xfId="5494"/>
    <cellStyle name="PSChar 15 4" xfId="5495"/>
    <cellStyle name="PSChar 15 4 2" xfId="5496"/>
    <cellStyle name="PSChar 15 4 2 2" xfId="5497"/>
    <cellStyle name="PSChar 15 4 3" xfId="5498"/>
    <cellStyle name="PSChar 15 5" xfId="5499"/>
    <cellStyle name="PSChar 15 5 2" xfId="5500"/>
    <cellStyle name="PSChar 15 5 2 2" xfId="5501"/>
    <cellStyle name="PSChar 15 5 3" xfId="5502"/>
    <cellStyle name="PSChar 15 6" xfId="5503"/>
    <cellStyle name="PSChar 15 6 2" xfId="5504"/>
    <cellStyle name="PSChar 15 7" xfId="5505"/>
    <cellStyle name="PSChar 16" xfId="5506"/>
    <cellStyle name="PSChar 2" xfId="3503"/>
    <cellStyle name="PSChar 2 10" xfId="5507"/>
    <cellStyle name="PSChar 2 10 2" xfId="5508"/>
    <cellStyle name="PSChar 2 11" xfId="5509"/>
    <cellStyle name="PSChar 2 2" xfId="3504"/>
    <cellStyle name="PSChar 2 2 2" xfId="5510"/>
    <cellStyle name="PSChar 2 2 2 2" xfId="5511"/>
    <cellStyle name="PSChar 2 2 3" xfId="5512"/>
    <cellStyle name="PSChar 2 3" xfId="5513"/>
    <cellStyle name="PSChar 2 3 2" xfId="5514"/>
    <cellStyle name="PSChar 2 3 2 2" xfId="5515"/>
    <cellStyle name="PSChar 2 3 3" xfId="5516"/>
    <cellStyle name="PSChar 2 4" xfId="5517"/>
    <cellStyle name="PSChar 2 4 2" xfId="5518"/>
    <cellStyle name="PSChar 2 4 2 2" xfId="5519"/>
    <cellStyle name="PSChar 2 4 3" xfId="5520"/>
    <cellStyle name="PSChar 2 5" xfId="5521"/>
    <cellStyle name="PSChar 2 5 2" xfId="5522"/>
    <cellStyle name="PSChar 2 5 2 2" xfId="5523"/>
    <cellStyle name="PSChar 2 5 3" xfId="5524"/>
    <cellStyle name="PSChar 2 6" xfId="5525"/>
    <cellStyle name="PSChar 2 6 2" xfId="5526"/>
    <cellStyle name="PSChar 2 6 2 2" xfId="5527"/>
    <cellStyle name="PSChar 2 6 3" xfId="5528"/>
    <cellStyle name="PSChar 2 7" xfId="5529"/>
    <cellStyle name="PSChar 2 7 2" xfId="5530"/>
    <cellStyle name="PSChar 2 7 2 2" xfId="5531"/>
    <cellStyle name="PSChar 2 7 3" xfId="5532"/>
    <cellStyle name="PSChar 2 8" xfId="5533"/>
    <cellStyle name="PSChar 2 8 2" xfId="5534"/>
    <cellStyle name="PSChar 2 8 2 2" xfId="5535"/>
    <cellStyle name="PSChar 2 8 3" xfId="5536"/>
    <cellStyle name="PSChar 2 9" xfId="5537"/>
    <cellStyle name="PSChar 2 9 2" xfId="5538"/>
    <cellStyle name="PSChar 2 9 2 2" xfId="5539"/>
    <cellStyle name="PSChar 2 9 3" xfId="5540"/>
    <cellStyle name="PSChar 3" xfId="3505"/>
    <cellStyle name="PSChar 3 10" xfId="5541"/>
    <cellStyle name="PSChar 3 10 2" xfId="5542"/>
    <cellStyle name="PSChar 3 11" xfId="5543"/>
    <cellStyle name="PSChar 3 2" xfId="5544"/>
    <cellStyle name="PSChar 3 2 2" xfId="5545"/>
    <cellStyle name="PSChar 3 2 2 2" xfId="5546"/>
    <cellStyle name="PSChar 3 2 3" xfId="5547"/>
    <cellStyle name="PSChar 3 3" xfId="5548"/>
    <cellStyle name="PSChar 3 3 2" xfId="5549"/>
    <cellStyle name="PSChar 3 3 2 2" xfId="5550"/>
    <cellStyle name="PSChar 3 3 3" xfId="5551"/>
    <cellStyle name="PSChar 3 4" xfId="5552"/>
    <cellStyle name="PSChar 3 4 2" xfId="5553"/>
    <cellStyle name="PSChar 3 4 2 2" xfId="5554"/>
    <cellStyle name="PSChar 3 4 3" xfId="5555"/>
    <cellStyle name="PSChar 3 5" xfId="5556"/>
    <cellStyle name="PSChar 3 5 2" xfId="5557"/>
    <cellStyle name="PSChar 3 5 2 2" xfId="5558"/>
    <cellStyle name="PSChar 3 5 3" xfId="5559"/>
    <cellStyle name="PSChar 3 6" xfId="5560"/>
    <cellStyle name="PSChar 3 6 2" xfId="5561"/>
    <cellStyle name="PSChar 3 6 2 2" xfId="5562"/>
    <cellStyle name="PSChar 3 6 3" xfId="5563"/>
    <cellStyle name="PSChar 3 7" xfId="5564"/>
    <cellStyle name="PSChar 3 7 2" xfId="5565"/>
    <cellStyle name="PSChar 3 7 2 2" xfId="5566"/>
    <cellStyle name="PSChar 3 7 3" xfId="5567"/>
    <cellStyle name="PSChar 3 8" xfId="5568"/>
    <cellStyle name="PSChar 3 8 2" xfId="5569"/>
    <cellStyle name="PSChar 3 8 2 2" xfId="5570"/>
    <cellStyle name="PSChar 3 8 3" xfId="5571"/>
    <cellStyle name="PSChar 3 9" xfId="5572"/>
    <cellStyle name="PSChar 3 9 2" xfId="5573"/>
    <cellStyle name="PSChar 3 9 2 2" xfId="5574"/>
    <cellStyle name="PSChar 3 9 3" xfId="5575"/>
    <cellStyle name="PSChar 4" xfId="3506"/>
    <cellStyle name="PSChar 4 10" xfId="5576"/>
    <cellStyle name="PSChar 4 10 2" xfId="5577"/>
    <cellStyle name="PSChar 4 11" xfId="5578"/>
    <cellStyle name="PSChar 4 2" xfId="5579"/>
    <cellStyle name="PSChar 4 2 2" xfId="5580"/>
    <cellStyle name="PSChar 4 2 2 2" xfId="5581"/>
    <cellStyle name="PSChar 4 2 3" xfId="5582"/>
    <cellStyle name="PSChar 4 3" xfId="5583"/>
    <cellStyle name="PSChar 4 3 2" xfId="5584"/>
    <cellStyle name="PSChar 4 3 2 2" xfId="5585"/>
    <cellStyle name="PSChar 4 3 3" xfId="5586"/>
    <cellStyle name="PSChar 4 4" xfId="5587"/>
    <cellStyle name="PSChar 4 4 2" xfId="5588"/>
    <cellStyle name="PSChar 4 4 2 2" xfId="5589"/>
    <cellStyle name="PSChar 4 4 3" xfId="5590"/>
    <cellStyle name="PSChar 4 5" xfId="5591"/>
    <cellStyle name="PSChar 4 5 2" xfId="5592"/>
    <cellStyle name="PSChar 4 5 2 2" xfId="5593"/>
    <cellStyle name="PSChar 4 5 3" xfId="5594"/>
    <cellStyle name="PSChar 4 6" xfId="5595"/>
    <cellStyle name="PSChar 4 6 2" xfId="5596"/>
    <cellStyle name="PSChar 4 6 2 2" xfId="5597"/>
    <cellStyle name="PSChar 4 6 3" xfId="5598"/>
    <cellStyle name="PSChar 4 7" xfId="5599"/>
    <cellStyle name="PSChar 4 7 2" xfId="5600"/>
    <cellStyle name="PSChar 4 7 2 2" xfId="5601"/>
    <cellStyle name="PSChar 4 7 3" xfId="5602"/>
    <cellStyle name="PSChar 4 8" xfId="5603"/>
    <cellStyle name="PSChar 4 8 2" xfId="5604"/>
    <cellStyle name="PSChar 4 8 2 2" xfId="5605"/>
    <cellStyle name="PSChar 4 8 3" xfId="5606"/>
    <cellStyle name="PSChar 4 9" xfId="5607"/>
    <cellStyle name="PSChar 4 9 2" xfId="5608"/>
    <cellStyle name="PSChar 4 9 2 2" xfId="5609"/>
    <cellStyle name="PSChar 4 9 3" xfId="5610"/>
    <cellStyle name="PSChar 5" xfId="3507"/>
    <cellStyle name="PSChar 5 10" xfId="5611"/>
    <cellStyle name="PSChar 5 10 2" xfId="5612"/>
    <cellStyle name="PSChar 5 11" xfId="5613"/>
    <cellStyle name="PSChar 5 2" xfId="5614"/>
    <cellStyle name="PSChar 5 2 2" xfId="5615"/>
    <cellStyle name="PSChar 5 2 2 2" xfId="5616"/>
    <cellStyle name="PSChar 5 2 3" xfId="5617"/>
    <cellStyle name="PSChar 5 3" xfId="5618"/>
    <cellStyle name="PSChar 5 3 2" xfId="5619"/>
    <cellStyle name="PSChar 5 3 2 2" xfId="5620"/>
    <cellStyle name="PSChar 5 3 3" xfId="5621"/>
    <cellStyle name="PSChar 5 4" xfId="5622"/>
    <cellStyle name="PSChar 5 4 2" xfId="5623"/>
    <cellStyle name="PSChar 5 4 2 2" xfId="5624"/>
    <cellStyle name="PSChar 5 4 3" xfId="5625"/>
    <cellStyle name="PSChar 5 5" xfId="5626"/>
    <cellStyle name="PSChar 5 5 2" xfId="5627"/>
    <cellStyle name="PSChar 5 5 2 2" xfId="5628"/>
    <cellStyle name="PSChar 5 5 3" xfId="5629"/>
    <cellStyle name="PSChar 5 6" xfId="5630"/>
    <cellStyle name="PSChar 5 6 2" xfId="5631"/>
    <cellStyle name="PSChar 5 6 2 2" xfId="5632"/>
    <cellStyle name="PSChar 5 6 3" xfId="5633"/>
    <cellStyle name="PSChar 5 7" xfId="5634"/>
    <cellStyle name="PSChar 5 7 2" xfId="5635"/>
    <cellStyle name="PSChar 5 7 2 2" xfId="5636"/>
    <cellStyle name="PSChar 5 7 3" xfId="5637"/>
    <cellStyle name="PSChar 5 8" xfId="5638"/>
    <cellStyle name="PSChar 5 8 2" xfId="5639"/>
    <cellStyle name="PSChar 5 8 2 2" xfId="5640"/>
    <cellStyle name="PSChar 5 8 3" xfId="5641"/>
    <cellStyle name="PSChar 5 9" xfId="5642"/>
    <cellStyle name="PSChar 5 9 2" xfId="5643"/>
    <cellStyle name="PSChar 5 9 2 2" xfId="5644"/>
    <cellStyle name="PSChar 5 9 3" xfId="5645"/>
    <cellStyle name="PSChar 6" xfId="3508"/>
    <cellStyle name="PSChar 6 10" xfId="5646"/>
    <cellStyle name="PSChar 6 10 2" xfId="5647"/>
    <cellStyle name="PSChar 6 11" xfId="5648"/>
    <cellStyle name="PSChar 6 2" xfId="5649"/>
    <cellStyle name="PSChar 6 2 2" xfId="5650"/>
    <cellStyle name="PSChar 6 2 2 2" xfId="5651"/>
    <cellStyle name="PSChar 6 2 3" xfId="5652"/>
    <cellStyle name="PSChar 6 3" xfId="5653"/>
    <cellStyle name="PSChar 6 3 2" xfId="5654"/>
    <cellStyle name="PSChar 6 3 2 2" xfId="5655"/>
    <cellStyle name="PSChar 6 3 3" xfId="5656"/>
    <cellStyle name="PSChar 6 4" xfId="5657"/>
    <cellStyle name="PSChar 6 4 2" xfId="5658"/>
    <cellStyle name="PSChar 6 4 2 2" xfId="5659"/>
    <cellStyle name="PSChar 6 4 3" xfId="5660"/>
    <cellStyle name="PSChar 6 5" xfId="5661"/>
    <cellStyle name="PSChar 6 5 2" xfId="5662"/>
    <cellStyle name="PSChar 6 5 2 2" xfId="5663"/>
    <cellStyle name="PSChar 6 5 3" xfId="5664"/>
    <cellStyle name="PSChar 6 6" xfId="5665"/>
    <cellStyle name="PSChar 6 6 2" xfId="5666"/>
    <cellStyle name="PSChar 6 6 2 2" xfId="5667"/>
    <cellStyle name="PSChar 6 6 3" xfId="5668"/>
    <cellStyle name="PSChar 6 7" xfId="5669"/>
    <cellStyle name="PSChar 6 7 2" xfId="5670"/>
    <cellStyle name="PSChar 6 7 2 2" xfId="5671"/>
    <cellStyle name="PSChar 6 7 3" xfId="5672"/>
    <cellStyle name="PSChar 6 8" xfId="5673"/>
    <cellStyle name="PSChar 6 8 2" xfId="5674"/>
    <cellStyle name="PSChar 6 8 2 2" xfId="5675"/>
    <cellStyle name="PSChar 6 8 3" xfId="5676"/>
    <cellStyle name="PSChar 6 9" xfId="5677"/>
    <cellStyle name="PSChar 6 9 2" xfId="5678"/>
    <cellStyle name="PSChar 6 9 2 2" xfId="5679"/>
    <cellStyle name="PSChar 6 9 3" xfId="5680"/>
    <cellStyle name="PSChar 7" xfId="3509"/>
    <cellStyle name="PSChar 7 2" xfId="5681"/>
    <cellStyle name="PSChar 7 2 2" xfId="5682"/>
    <cellStyle name="PSChar 7 2 2 2" xfId="5683"/>
    <cellStyle name="PSChar 7 2 3" xfId="5684"/>
    <cellStyle name="PSChar 7 3" xfId="5685"/>
    <cellStyle name="PSChar 7 3 2" xfId="5686"/>
    <cellStyle name="PSChar 7 3 2 2" xfId="5687"/>
    <cellStyle name="PSChar 7 3 3" xfId="5688"/>
    <cellStyle name="PSChar 7 4" xfId="5689"/>
    <cellStyle name="PSChar 7 4 2" xfId="5690"/>
    <cellStyle name="PSChar 7 4 2 2" xfId="5691"/>
    <cellStyle name="PSChar 7 4 3" xfId="5692"/>
    <cellStyle name="PSChar 7 5" xfId="5693"/>
    <cellStyle name="PSChar 7 5 2" xfId="5694"/>
    <cellStyle name="PSChar 7 5 2 2" xfId="5695"/>
    <cellStyle name="PSChar 7 5 3" xfId="5696"/>
    <cellStyle name="PSChar 7 6" xfId="5697"/>
    <cellStyle name="PSChar 7 6 2" xfId="5698"/>
    <cellStyle name="PSChar 7 7" xfId="5699"/>
    <cellStyle name="PSChar 8" xfId="3510"/>
    <cellStyle name="PSChar 8 2" xfId="5700"/>
    <cellStyle name="PSChar 8 2 2" xfId="5701"/>
    <cellStyle name="PSChar 8 2 2 2" xfId="5702"/>
    <cellStyle name="PSChar 8 2 3" xfId="5703"/>
    <cellStyle name="PSChar 8 3" xfId="5704"/>
    <cellStyle name="PSChar 8 3 2" xfId="5705"/>
    <cellStyle name="PSChar 8 3 2 2" xfId="5706"/>
    <cellStyle name="PSChar 8 3 3" xfId="5707"/>
    <cellStyle name="PSChar 8 4" xfId="5708"/>
    <cellStyle name="PSChar 8 4 2" xfId="5709"/>
    <cellStyle name="PSChar 8 4 2 2" xfId="5710"/>
    <cellStyle name="PSChar 8 4 3" xfId="5711"/>
    <cellStyle name="PSChar 8 5" xfId="5712"/>
    <cellStyle name="PSChar 8 5 2" xfId="5713"/>
    <cellStyle name="PSChar 8 5 2 2" xfId="5714"/>
    <cellStyle name="PSChar 8 5 3" xfId="5715"/>
    <cellStyle name="PSChar 8 6" xfId="5716"/>
    <cellStyle name="PSChar 8 6 2" xfId="5717"/>
    <cellStyle name="PSChar 8 7" xfId="5718"/>
    <cellStyle name="PSChar 9" xfId="3511"/>
    <cellStyle name="PSChar 9 2" xfId="5719"/>
    <cellStyle name="PSChar 9 2 2" xfId="5720"/>
    <cellStyle name="PSChar 9 2 2 2" xfId="5721"/>
    <cellStyle name="PSChar 9 2 3" xfId="5722"/>
    <cellStyle name="PSChar 9 3" xfId="5723"/>
    <cellStyle name="PSChar 9 3 2" xfId="5724"/>
    <cellStyle name="PSChar 9 3 2 2" xfId="5725"/>
    <cellStyle name="PSChar 9 3 3" xfId="5726"/>
    <cellStyle name="PSChar 9 4" xfId="5727"/>
    <cellStyle name="PSChar 9 4 2" xfId="5728"/>
    <cellStyle name="PSChar 9 4 2 2" xfId="5729"/>
    <cellStyle name="PSChar 9 4 3" xfId="5730"/>
    <cellStyle name="PSChar 9 5" xfId="5731"/>
    <cellStyle name="PSChar 9 5 2" xfId="5732"/>
    <cellStyle name="PSChar 9 5 2 2" xfId="5733"/>
    <cellStyle name="PSChar 9 5 3" xfId="5734"/>
    <cellStyle name="PSChar 9 6" xfId="5735"/>
    <cellStyle name="PSChar 9 6 2" xfId="5736"/>
    <cellStyle name="PSChar 9 7" xfId="5737"/>
    <cellStyle name="PSDate" xfId="55"/>
    <cellStyle name="PSDate 10" xfId="3512"/>
    <cellStyle name="PSDate 10 2" xfId="5738"/>
    <cellStyle name="PSDate 10 2 2" xfId="5739"/>
    <cellStyle name="PSDate 10 2 2 2" xfId="5740"/>
    <cellStyle name="PSDate 10 2 3" xfId="5741"/>
    <cellStyle name="PSDate 10 3" xfId="5742"/>
    <cellStyle name="PSDate 10 3 2" xfId="5743"/>
    <cellStyle name="PSDate 10 3 2 2" xfId="5744"/>
    <cellStyle name="PSDate 10 3 3" xfId="5745"/>
    <cellStyle name="PSDate 10 4" xfId="5746"/>
    <cellStyle name="PSDate 10 4 2" xfId="5747"/>
    <cellStyle name="PSDate 10 4 2 2" xfId="5748"/>
    <cellStyle name="PSDate 10 4 3" xfId="5749"/>
    <cellStyle name="PSDate 10 5" xfId="5750"/>
    <cellStyle name="PSDate 10 5 2" xfId="5751"/>
    <cellStyle name="PSDate 10 5 2 2" xfId="5752"/>
    <cellStyle name="PSDate 10 5 3" xfId="5753"/>
    <cellStyle name="PSDate 10 6" xfId="5754"/>
    <cellStyle name="PSDate 10 6 2" xfId="5755"/>
    <cellStyle name="PSDate 10 7" xfId="5756"/>
    <cellStyle name="PSDate 11" xfId="3513"/>
    <cellStyle name="PSDate 11 2" xfId="5757"/>
    <cellStyle name="PSDate 11 2 2" xfId="5758"/>
    <cellStyle name="PSDate 11 2 2 2" xfId="5759"/>
    <cellStyle name="PSDate 11 2 3" xfId="5760"/>
    <cellStyle name="PSDate 11 3" xfId="5761"/>
    <cellStyle name="PSDate 11 3 2" xfId="5762"/>
    <cellStyle name="PSDate 11 3 2 2" xfId="5763"/>
    <cellStyle name="PSDate 11 3 3" xfId="5764"/>
    <cellStyle name="PSDate 11 4" xfId="5765"/>
    <cellStyle name="PSDate 11 4 2" xfId="5766"/>
    <cellStyle name="PSDate 11 4 2 2" xfId="5767"/>
    <cellStyle name="PSDate 11 4 3" xfId="5768"/>
    <cellStyle name="PSDate 11 5" xfId="5769"/>
    <cellStyle name="PSDate 11 5 2" xfId="5770"/>
    <cellStyle name="PSDate 11 5 2 2" xfId="5771"/>
    <cellStyle name="PSDate 11 5 3" xfId="5772"/>
    <cellStyle name="PSDate 11 6" xfId="5773"/>
    <cellStyle name="PSDate 11 6 2" xfId="5774"/>
    <cellStyle name="PSDate 11 7" xfId="5775"/>
    <cellStyle name="PSDate 12" xfId="3514"/>
    <cellStyle name="PSDate 12 2" xfId="5776"/>
    <cellStyle name="PSDate 12 2 2" xfId="5777"/>
    <cellStyle name="PSDate 12 2 2 2" xfId="5778"/>
    <cellStyle name="PSDate 12 2 3" xfId="5779"/>
    <cellStyle name="PSDate 12 3" xfId="5780"/>
    <cellStyle name="PSDate 12 3 2" xfId="5781"/>
    <cellStyle name="PSDate 12 3 2 2" xfId="5782"/>
    <cellStyle name="PSDate 12 3 3" xfId="5783"/>
    <cellStyle name="PSDate 12 4" xfId="5784"/>
    <cellStyle name="PSDate 12 4 2" xfId="5785"/>
    <cellStyle name="PSDate 12 4 2 2" xfId="5786"/>
    <cellStyle name="PSDate 12 4 3" xfId="5787"/>
    <cellStyle name="PSDate 12 5" xfId="5788"/>
    <cellStyle name="PSDate 12 5 2" xfId="5789"/>
    <cellStyle name="PSDate 12 5 2 2" xfId="5790"/>
    <cellStyle name="PSDate 12 5 3" xfId="5791"/>
    <cellStyle name="PSDate 12 6" xfId="5792"/>
    <cellStyle name="PSDate 12 6 2" xfId="5793"/>
    <cellStyle name="PSDate 12 7" xfId="5794"/>
    <cellStyle name="PSDate 13" xfId="5795"/>
    <cellStyle name="PSDate 13 2" xfId="5796"/>
    <cellStyle name="PSDate 13 2 2" xfId="5797"/>
    <cellStyle name="PSDate 13 2 2 2" xfId="5798"/>
    <cellStyle name="PSDate 13 2 3" xfId="5799"/>
    <cellStyle name="PSDate 13 3" xfId="5800"/>
    <cellStyle name="PSDate 13 3 2" xfId="5801"/>
    <cellStyle name="PSDate 13 3 2 2" xfId="5802"/>
    <cellStyle name="PSDate 13 3 3" xfId="5803"/>
    <cellStyle name="PSDate 13 4" xfId="5804"/>
    <cellStyle name="PSDate 13 4 2" xfId="5805"/>
    <cellStyle name="PSDate 13 4 2 2" xfId="5806"/>
    <cellStyle name="PSDate 13 4 3" xfId="5807"/>
    <cellStyle name="PSDate 13 5" xfId="5808"/>
    <cellStyle name="PSDate 13 5 2" xfId="5809"/>
    <cellStyle name="PSDate 13 5 2 2" xfId="5810"/>
    <cellStyle name="PSDate 13 5 3" xfId="5811"/>
    <cellStyle name="PSDate 13 6" xfId="5812"/>
    <cellStyle name="PSDate 13 6 2" xfId="5813"/>
    <cellStyle name="PSDate 13 7" xfId="5814"/>
    <cellStyle name="PSDate 14" xfId="5815"/>
    <cellStyle name="PSDate 14 2" xfId="5816"/>
    <cellStyle name="PSDate 14 2 2" xfId="5817"/>
    <cellStyle name="PSDate 14 2 2 2" xfId="5818"/>
    <cellStyle name="PSDate 14 2 3" xfId="5819"/>
    <cellStyle name="PSDate 14 3" xfId="5820"/>
    <cellStyle name="PSDate 14 3 2" xfId="5821"/>
    <cellStyle name="PSDate 14 3 2 2" xfId="5822"/>
    <cellStyle name="PSDate 14 3 3" xfId="5823"/>
    <cellStyle name="PSDate 14 4" xfId="5824"/>
    <cellStyle name="PSDate 14 4 2" xfId="5825"/>
    <cellStyle name="PSDate 14 4 2 2" xfId="5826"/>
    <cellStyle name="PSDate 14 4 3" xfId="5827"/>
    <cellStyle name="PSDate 14 5" xfId="5828"/>
    <cellStyle name="PSDate 14 5 2" xfId="5829"/>
    <cellStyle name="PSDate 14 5 2 2" xfId="5830"/>
    <cellStyle name="PSDate 14 5 3" xfId="5831"/>
    <cellStyle name="PSDate 14 6" xfId="5832"/>
    <cellStyle name="PSDate 14 6 2" xfId="5833"/>
    <cellStyle name="PSDate 14 7" xfId="5834"/>
    <cellStyle name="PSDate 15" xfId="5835"/>
    <cellStyle name="PSDate 15 2" xfId="5836"/>
    <cellStyle name="PSDate 15 2 2" xfId="5837"/>
    <cellStyle name="PSDate 15 2 2 2" xfId="5838"/>
    <cellStyle name="PSDate 15 2 3" xfId="5839"/>
    <cellStyle name="PSDate 15 3" xfId="5840"/>
    <cellStyle name="PSDate 15 3 2" xfId="5841"/>
    <cellStyle name="PSDate 15 3 2 2" xfId="5842"/>
    <cellStyle name="PSDate 15 3 3" xfId="5843"/>
    <cellStyle name="PSDate 15 4" xfId="5844"/>
    <cellStyle name="PSDate 15 4 2" xfId="5845"/>
    <cellStyle name="PSDate 15 4 2 2" xfId="5846"/>
    <cellStyle name="PSDate 15 4 3" xfId="5847"/>
    <cellStyle name="PSDate 15 5" xfId="5848"/>
    <cellStyle name="PSDate 15 5 2" xfId="5849"/>
    <cellStyle name="PSDate 15 5 2 2" xfId="5850"/>
    <cellStyle name="PSDate 15 5 3" xfId="5851"/>
    <cellStyle name="PSDate 15 6" xfId="5852"/>
    <cellStyle name="PSDate 15 6 2" xfId="5853"/>
    <cellStyle name="PSDate 15 7" xfId="5854"/>
    <cellStyle name="PSDate 16" xfId="5855"/>
    <cellStyle name="PSDate 2" xfId="3515"/>
    <cellStyle name="PSDate 2 10" xfId="5856"/>
    <cellStyle name="PSDate 2 10 2" xfId="5857"/>
    <cellStyle name="PSDate 2 11" xfId="5858"/>
    <cellStyle name="PSDate 2 2" xfId="3516"/>
    <cellStyle name="PSDate 2 2 2" xfId="5859"/>
    <cellStyle name="PSDate 2 2 2 2" xfId="5860"/>
    <cellStyle name="PSDate 2 2 3" xfId="5861"/>
    <cellStyle name="PSDate 2 3" xfId="5862"/>
    <cellStyle name="PSDate 2 3 2" xfId="5863"/>
    <cellStyle name="PSDate 2 3 2 2" xfId="5864"/>
    <cellStyle name="PSDate 2 3 3" xfId="5865"/>
    <cellStyle name="PSDate 2 4" xfId="5866"/>
    <cellStyle name="PSDate 2 4 2" xfId="5867"/>
    <cellStyle name="PSDate 2 4 2 2" xfId="5868"/>
    <cellStyle name="PSDate 2 4 3" xfId="5869"/>
    <cellStyle name="PSDate 2 5" xfId="5870"/>
    <cellStyle name="PSDate 2 5 2" xfId="5871"/>
    <cellStyle name="PSDate 2 5 2 2" xfId="5872"/>
    <cellStyle name="PSDate 2 5 3" xfId="5873"/>
    <cellStyle name="PSDate 2 6" xfId="5874"/>
    <cellStyle name="PSDate 2 6 2" xfId="5875"/>
    <cellStyle name="PSDate 2 6 2 2" xfId="5876"/>
    <cellStyle name="PSDate 2 6 3" xfId="5877"/>
    <cellStyle name="PSDate 2 7" xfId="5878"/>
    <cellStyle name="PSDate 2 7 2" xfId="5879"/>
    <cellStyle name="PSDate 2 7 2 2" xfId="5880"/>
    <cellStyle name="PSDate 2 7 3" xfId="5881"/>
    <cellStyle name="PSDate 2 8" xfId="5882"/>
    <cellStyle name="PSDate 2 8 2" xfId="5883"/>
    <cellStyle name="PSDate 2 8 2 2" xfId="5884"/>
    <cellStyle name="PSDate 2 8 3" xfId="5885"/>
    <cellStyle name="PSDate 2 9" xfId="5886"/>
    <cellStyle name="PSDate 2 9 2" xfId="5887"/>
    <cellStyle name="PSDate 2 9 2 2" xfId="5888"/>
    <cellStyle name="PSDate 2 9 3" xfId="5889"/>
    <cellStyle name="PSDate 3" xfId="3517"/>
    <cellStyle name="PSDate 3 10" xfId="5890"/>
    <cellStyle name="PSDate 3 10 2" xfId="5891"/>
    <cellStyle name="PSDate 3 11" xfId="5892"/>
    <cellStyle name="PSDate 3 2" xfId="5893"/>
    <cellStyle name="PSDate 3 2 2" xfId="5894"/>
    <cellStyle name="PSDate 3 2 2 2" xfId="5895"/>
    <cellStyle name="PSDate 3 2 3" xfId="5896"/>
    <cellStyle name="PSDate 3 3" xfId="5897"/>
    <cellStyle name="PSDate 3 3 2" xfId="5898"/>
    <cellStyle name="PSDate 3 3 2 2" xfId="5899"/>
    <cellStyle name="PSDate 3 3 3" xfId="5900"/>
    <cellStyle name="PSDate 3 4" xfId="5901"/>
    <cellStyle name="PSDate 3 4 2" xfId="5902"/>
    <cellStyle name="PSDate 3 4 2 2" xfId="5903"/>
    <cellStyle name="PSDate 3 4 3" xfId="5904"/>
    <cellStyle name="PSDate 3 5" xfId="5905"/>
    <cellStyle name="PSDate 3 5 2" xfId="5906"/>
    <cellStyle name="PSDate 3 5 2 2" xfId="5907"/>
    <cellStyle name="PSDate 3 5 3" xfId="5908"/>
    <cellStyle name="PSDate 3 6" xfId="5909"/>
    <cellStyle name="PSDate 3 6 2" xfId="5910"/>
    <cellStyle name="PSDate 3 6 2 2" xfId="5911"/>
    <cellStyle name="PSDate 3 6 3" xfId="5912"/>
    <cellStyle name="PSDate 3 7" xfId="5913"/>
    <cellStyle name="PSDate 3 7 2" xfId="5914"/>
    <cellStyle name="PSDate 3 7 2 2" xfId="5915"/>
    <cellStyle name="PSDate 3 7 3" xfId="5916"/>
    <cellStyle name="PSDate 3 8" xfId="5917"/>
    <cellStyle name="PSDate 3 8 2" xfId="5918"/>
    <cellStyle name="PSDate 3 8 2 2" xfId="5919"/>
    <cellStyle name="PSDate 3 8 3" xfId="5920"/>
    <cellStyle name="PSDate 3 9" xfId="5921"/>
    <cellStyle name="PSDate 3 9 2" xfId="5922"/>
    <cellStyle name="PSDate 3 9 2 2" xfId="5923"/>
    <cellStyle name="PSDate 3 9 3" xfId="5924"/>
    <cellStyle name="PSDate 4" xfId="3518"/>
    <cellStyle name="PSDate 4 10" xfId="5925"/>
    <cellStyle name="PSDate 4 10 2" xfId="5926"/>
    <cellStyle name="PSDate 4 11" xfId="5927"/>
    <cellStyle name="PSDate 4 2" xfId="5928"/>
    <cellStyle name="PSDate 4 2 2" xfId="5929"/>
    <cellStyle name="PSDate 4 2 2 2" xfId="5930"/>
    <cellStyle name="PSDate 4 2 3" xfId="5931"/>
    <cellStyle name="PSDate 4 3" xfId="5932"/>
    <cellStyle name="PSDate 4 3 2" xfId="5933"/>
    <cellStyle name="PSDate 4 3 2 2" xfId="5934"/>
    <cellStyle name="PSDate 4 3 3" xfId="5935"/>
    <cellStyle name="PSDate 4 4" xfId="5936"/>
    <cellStyle name="PSDate 4 4 2" xfId="5937"/>
    <cellStyle name="PSDate 4 4 2 2" xfId="5938"/>
    <cellStyle name="PSDate 4 4 3" xfId="5939"/>
    <cellStyle name="PSDate 4 5" xfId="5940"/>
    <cellStyle name="PSDate 4 5 2" xfId="5941"/>
    <cellStyle name="PSDate 4 5 2 2" xfId="5942"/>
    <cellStyle name="PSDate 4 5 3" xfId="5943"/>
    <cellStyle name="PSDate 4 6" xfId="5944"/>
    <cellStyle name="PSDate 4 6 2" xfId="5945"/>
    <cellStyle name="PSDate 4 6 2 2" xfId="5946"/>
    <cellStyle name="PSDate 4 6 3" xfId="5947"/>
    <cellStyle name="PSDate 4 7" xfId="5948"/>
    <cellStyle name="PSDate 4 7 2" xfId="5949"/>
    <cellStyle name="PSDate 4 7 2 2" xfId="5950"/>
    <cellStyle name="PSDate 4 7 3" xfId="5951"/>
    <cellStyle name="PSDate 4 8" xfId="5952"/>
    <cellStyle name="PSDate 4 8 2" xfId="5953"/>
    <cellStyle name="PSDate 4 8 2 2" xfId="5954"/>
    <cellStyle name="PSDate 4 8 3" xfId="5955"/>
    <cellStyle name="PSDate 4 9" xfId="5956"/>
    <cellStyle name="PSDate 4 9 2" xfId="5957"/>
    <cellStyle name="PSDate 4 9 2 2" xfId="5958"/>
    <cellStyle name="PSDate 4 9 3" xfId="5959"/>
    <cellStyle name="PSDate 5" xfId="3519"/>
    <cellStyle name="PSDate 5 10" xfId="5960"/>
    <cellStyle name="PSDate 5 10 2" xfId="5961"/>
    <cellStyle name="PSDate 5 11" xfId="5962"/>
    <cellStyle name="PSDate 5 2" xfId="5963"/>
    <cellStyle name="PSDate 5 2 2" xfId="5964"/>
    <cellStyle name="PSDate 5 2 2 2" xfId="5965"/>
    <cellStyle name="PSDate 5 2 3" xfId="5966"/>
    <cellStyle name="PSDate 5 3" xfId="5967"/>
    <cellStyle name="PSDate 5 3 2" xfId="5968"/>
    <cellStyle name="PSDate 5 3 2 2" xfId="5969"/>
    <cellStyle name="PSDate 5 3 3" xfId="5970"/>
    <cellStyle name="PSDate 5 4" xfId="5971"/>
    <cellStyle name="PSDate 5 4 2" xfId="5972"/>
    <cellStyle name="PSDate 5 4 2 2" xfId="5973"/>
    <cellStyle name="PSDate 5 4 3" xfId="5974"/>
    <cellStyle name="PSDate 5 5" xfId="5975"/>
    <cellStyle name="PSDate 5 5 2" xfId="5976"/>
    <cellStyle name="PSDate 5 5 2 2" xfId="5977"/>
    <cellStyle name="PSDate 5 5 3" xfId="5978"/>
    <cellStyle name="PSDate 5 6" xfId="5979"/>
    <cellStyle name="PSDate 5 6 2" xfId="5980"/>
    <cellStyle name="PSDate 5 6 2 2" xfId="5981"/>
    <cellStyle name="PSDate 5 6 3" xfId="5982"/>
    <cellStyle name="PSDate 5 7" xfId="5983"/>
    <cellStyle name="PSDate 5 7 2" xfId="5984"/>
    <cellStyle name="PSDate 5 7 2 2" xfId="5985"/>
    <cellStyle name="PSDate 5 7 3" xfId="5986"/>
    <cellStyle name="PSDate 5 8" xfId="5987"/>
    <cellStyle name="PSDate 5 8 2" xfId="5988"/>
    <cellStyle name="PSDate 5 8 2 2" xfId="5989"/>
    <cellStyle name="PSDate 5 8 3" xfId="5990"/>
    <cellStyle name="PSDate 5 9" xfId="5991"/>
    <cellStyle name="PSDate 5 9 2" xfId="5992"/>
    <cellStyle name="PSDate 5 9 2 2" xfId="5993"/>
    <cellStyle name="PSDate 5 9 3" xfId="5994"/>
    <cellStyle name="PSDate 6" xfId="3520"/>
    <cellStyle name="PSDate 6 10" xfId="5995"/>
    <cellStyle name="PSDate 6 10 2" xfId="5996"/>
    <cellStyle name="PSDate 6 11" xfId="5997"/>
    <cellStyle name="PSDate 6 2" xfId="5998"/>
    <cellStyle name="PSDate 6 2 2" xfId="5999"/>
    <cellStyle name="PSDate 6 2 2 2" xfId="6000"/>
    <cellStyle name="PSDate 6 2 3" xfId="6001"/>
    <cellStyle name="PSDate 6 3" xfId="6002"/>
    <cellStyle name="PSDate 6 3 2" xfId="6003"/>
    <cellStyle name="PSDate 6 3 2 2" xfId="6004"/>
    <cellStyle name="PSDate 6 3 3" xfId="6005"/>
    <cellStyle name="PSDate 6 4" xfId="6006"/>
    <cellStyle name="PSDate 6 4 2" xfId="6007"/>
    <cellStyle name="PSDate 6 4 2 2" xfId="6008"/>
    <cellStyle name="PSDate 6 4 3" xfId="6009"/>
    <cellStyle name="PSDate 6 5" xfId="6010"/>
    <cellStyle name="PSDate 6 5 2" xfId="6011"/>
    <cellStyle name="PSDate 6 5 2 2" xfId="6012"/>
    <cellStyle name="PSDate 6 5 3" xfId="6013"/>
    <cellStyle name="PSDate 6 6" xfId="6014"/>
    <cellStyle name="PSDate 6 6 2" xfId="6015"/>
    <cellStyle name="PSDate 6 6 2 2" xfId="6016"/>
    <cellStyle name="PSDate 6 6 3" xfId="6017"/>
    <cellStyle name="PSDate 6 7" xfId="6018"/>
    <cellStyle name="PSDate 6 7 2" xfId="6019"/>
    <cellStyle name="PSDate 6 7 2 2" xfId="6020"/>
    <cellStyle name="PSDate 6 7 3" xfId="6021"/>
    <cellStyle name="PSDate 6 8" xfId="6022"/>
    <cellStyle name="PSDate 6 8 2" xfId="6023"/>
    <cellStyle name="PSDate 6 8 2 2" xfId="6024"/>
    <cellStyle name="PSDate 6 8 3" xfId="6025"/>
    <cellStyle name="PSDate 6 9" xfId="6026"/>
    <cellStyle name="PSDate 6 9 2" xfId="6027"/>
    <cellStyle name="PSDate 6 9 2 2" xfId="6028"/>
    <cellStyle name="PSDate 6 9 3" xfId="6029"/>
    <cellStyle name="PSDate 7" xfId="3521"/>
    <cellStyle name="PSDate 7 2" xfId="6030"/>
    <cellStyle name="PSDate 7 2 2" xfId="6031"/>
    <cellStyle name="PSDate 7 2 2 2" xfId="6032"/>
    <cellStyle name="PSDate 7 2 3" xfId="6033"/>
    <cellStyle name="PSDate 7 3" xfId="6034"/>
    <cellStyle name="PSDate 7 3 2" xfId="6035"/>
    <cellStyle name="PSDate 7 3 2 2" xfId="6036"/>
    <cellStyle name="PSDate 7 3 3" xfId="6037"/>
    <cellStyle name="PSDate 7 4" xfId="6038"/>
    <cellStyle name="PSDate 7 4 2" xfId="6039"/>
    <cellStyle name="PSDate 7 4 2 2" xfId="6040"/>
    <cellStyle name="PSDate 7 4 3" xfId="6041"/>
    <cellStyle name="PSDate 7 5" xfId="6042"/>
    <cellStyle name="PSDate 7 5 2" xfId="6043"/>
    <cellStyle name="PSDate 7 5 2 2" xfId="6044"/>
    <cellStyle name="PSDate 7 5 3" xfId="6045"/>
    <cellStyle name="PSDate 7 6" xfId="6046"/>
    <cellStyle name="PSDate 7 6 2" xfId="6047"/>
    <cellStyle name="PSDate 7 7" xfId="6048"/>
    <cellStyle name="PSDate 8" xfId="3522"/>
    <cellStyle name="PSDate 8 2" xfId="6049"/>
    <cellStyle name="PSDate 8 2 2" xfId="6050"/>
    <cellStyle name="PSDate 8 2 2 2" xfId="6051"/>
    <cellStyle name="PSDate 8 2 3" xfId="6052"/>
    <cellStyle name="PSDate 8 3" xfId="6053"/>
    <cellStyle name="PSDate 8 3 2" xfId="6054"/>
    <cellStyle name="PSDate 8 3 2 2" xfId="6055"/>
    <cellStyle name="PSDate 8 3 3" xfId="6056"/>
    <cellStyle name="PSDate 8 4" xfId="6057"/>
    <cellStyle name="PSDate 8 4 2" xfId="6058"/>
    <cellStyle name="PSDate 8 4 2 2" xfId="6059"/>
    <cellStyle name="PSDate 8 4 3" xfId="6060"/>
    <cellStyle name="PSDate 8 5" xfId="6061"/>
    <cellStyle name="PSDate 8 5 2" xfId="6062"/>
    <cellStyle name="PSDate 8 5 2 2" xfId="6063"/>
    <cellStyle name="PSDate 8 5 3" xfId="6064"/>
    <cellStyle name="PSDate 8 6" xfId="6065"/>
    <cellStyle name="PSDate 8 6 2" xfId="6066"/>
    <cellStyle name="PSDate 8 7" xfId="6067"/>
    <cellStyle name="PSDate 9" xfId="3523"/>
    <cellStyle name="PSDate 9 2" xfId="6068"/>
    <cellStyle name="PSDate 9 2 2" xfId="6069"/>
    <cellStyle name="PSDate 9 2 2 2" xfId="6070"/>
    <cellStyle name="PSDate 9 2 3" xfId="6071"/>
    <cellStyle name="PSDate 9 3" xfId="6072"/>
    <cellStyle name="PSDate 9 3 2" xfId="6073"/>
    <cellStyle name="PSDate 9 3 2 2" xfId="6074"/>
    <cellStyle name="PSDate 9 3 3" xfId="6075"/>
    <cellStyle name="PSDate 9 4" xfId="6076"/>
    <cellStyle name="PSDate 9 4 2" xfId="6077"/>
    <cellStyle name="PSDate 9 4 2 2" xfId="6078"/>
    <cellStyle name="PSDate 9 4 3" xfId="6079"/>
    <cellStyle name="PSDate 9 5" xfId="6080"/>
    <cellStyle name="PSDate 9 5 2" xfId="6081"/>
    <cellStyle name="PSDate 9 5 2 2" xfId="6082"/>
    <cellStyle name="PSDate 9 5 3" xfId="6083"/>
    <cellStyle name="PSDate 9 6" xfId="6084"/>
    <cellStyle name="PSDate 9 6 2" xfId="6085"/>
    <cellStyle name="PSDate 9 7" xfId="6086"/>
    <cellStyle name="PSDec" xfId="56"/>
    <cellStyle name="PSDec 10" xfId="3524"/>
    <cellStyle name="PSDec 10 2" xfId="6087"/>
    <cellStyle name="PSDec 10 2 2" xfId="6088"/>
    <cellStyle name="PSDec 10 2 2 2" xfId="6089"/>
    <cellStyle name="PSDec 10 2 3" xfId="6090"/>
    <cellStyle name="PSDec 10 3" xfId="6091"/>
    <cellStyle name="PSDec 10 3 2" xfId="6092"/>
    <cellStyle name="PSDec 10 3 2 2" xfId="6093"/>
    <cellStyle name="PSDec 10 3 3" xfId="6094"/>
    <cellStyle name="PSDec 10 4" xfId="6095"/>
    <cellStyle name="PSDec 10 4 2" xfId="6096"/>
    <cellStyle name="PSDec 10 4 2 2" xfId="6097"/>
    <cellStyle name="PSDec 10 4 3" xfId="6098"/>
    <cellStyle name="PSDec 10 5" xfId="6099"/>
    <cellStyle name="PSDec 10 5 2" xfId="6100"/>
    <cellStyle name="PSDec 10 5 2 2" xfId="6101"/>
    <cellStyle name="PSDec 10 5 3" xfId="6102"/>
    <cellStyle name="PSDec 10 6" xfId="6103"/>
    <cellStyle name="PSDec 10 6 2" xfId="6104"/>
    <cellStyle name="PSDec 10 7" xfId="6105"/>
    <cellStyle name="PSDec 11" xfId="3525"/>
    <cellStyle name="PSDec 11 2" xfId="6106"/>
    <cellStyle name="PSDec 11 2 2" xfId="6107"/>
    <cellStyle name="PSDec 11 2 2 2" xfId="6108"/>
    <cellStyle name="PSDec 11 2 3" xfId="6109"/>
    <cellStyle name="PSDec 11 3" xfId="6110"/>
    <cellStyle name="PSDec 11 3 2" xfId="6111"/>
    <cellStyle name="PSDec 11 3 2 2" xfId="6112"/>
    <cellStyle name="PSDec 11 3 3" xfId="6113"/>
    <cellStyle name="PSDec 11 4" xfId="6114"/>
    <cellStyle name="PSDec 11 4 2" xfId="6115"/>
    <cellStyle name="PSDec 11 4 2 2" xfId="6116"/>
    <cellStyle name="PSDec 11 4 3" xfId="6117"/>
    <cellStyle name="PSDec 11 5" xfId="6118"/>
    <cellStyle name="PSDec 11 5 2" xfId="6119"/>
    <cellStyle name="PSDec 11 5 2 2" xfId="6120"/>
    <cellStyle name="PSDec 11 5 3" xfId="6121"/>
    <cellStyle name="PSDec 11 6" xfId="6122"/>
    <cellStyle name="PSDec 11 6 2" xfId="6123"/>
    <cellStyle name="PSDec 11 7" xfId="6124"/>
    <cellStyle name="PSDec 12" xfId="3526"/>
    <cellStyle name="PSDec 12 2" xfId="6125"/>
    <cellStyle name="PSDec 12 2 2" xfId="6126"/>
    <cellStyle name="PSDec 12 2 2 2" xfId="6127"/>
    <cellStyle name="PSDec 12 2 3" xfId="6128"/>
    <cellStyle name="PSDec 12 3" xfId="6129"/>
    <cellStyle name="PSDec 12 3 2" xfId="6130"/>
    <cellStyle name="PSDec 12 3 2 2" xfId="6131"/>
    <cellStyle name="PSDec 12 3 3" xfId="6132"/>
    <cellStyle name="PSDec 12 4" xfId="6133"/>
    <cellStyle name="PSDec 12 4 2" xfId="6134"/>
    <cellStyle name="PSDec 12 4 2 2" xfId="6135"/>
    <cellStyle name="PSDec 12 4 3" xfId="6136"/>
    <cellStyle name="PSDec 12 5" xfId="6137"/>
    <cellStyle name="PSDec 12 5 2" xfId="6138"/>
    <cellStyle name="PSDec 12 5 2 2" xfId="6139"/>
    <cellStyle name="PSDec 12 5 3" xfId="6140"/>
    <cellStyle name="PSDec 12 6" xfId="6141"/>
    <cellStyle name="PSDec 12 6 2" xfId="6142"/>
    <cellStyle name="PSDec 12 7" xfId="6143"/>
    <cellStyle name="PSDec 13" xfId="6144"/>
    <cellStyle name="PSDec 13 2" xfId="6145"/>
    <cellStyle name="PSDec 13 2 2" xfId="6146"/>
    <cellStyle name="PSDec 13 2 2 2" xfId="6147"/>
    <cellStyle name="PSDec 13 2 3" xfId="6148"/>
    <cellStyle name="PSDec 13 3" xfId="6149"/>
    <cellStyle name="PSDec 13 3 2" xfId="6150"/>
    <cellStyle name="PSDec 13 3 2 2" xfId="6151"/>
    <cellStyle name="PSDec 13 3 3" xfId="6152"/>
    <cellStyle name="PSDec 13 4" xfId="6153"/>
    <cellStyle name="PSDec 13 4 2" xfId="6154"/>
    <cellStyle name="PSDec 13 4 2 2" xfId="6155"/>
    <cellStyle name="PSDec 13 4 3" xfId="6156"/>
    <cellStyle name="PSDec 13 5" xfId="6157"/>
    <cellStyle name="PSDec 13 5 2" xfId="6158"/>
    <cellStyle name="PSDec 13 5 2 2" xfId="6159"/>
    <cellStyle name="PSDec 13 5 3" xfId="6160"/>
    <cellStyle name="PSDec 13 6" xfId="6161"/>
    <cellStyle name="PSDec 13 6 2" xfId="6162"/>
    <cellStyle name="PSDec 13 7" xfId="6163"/>
    <cellStyle name="PSDec 14" xfId="6164"/>
    <cellStyle name="PSDec 14 2" xfId="6165"/>
    <cellStyle name="PSDec 14 2 2" xfId="6166"/>
    <cellStyle name="PSDec 14 2 2 2" xfId="6167"/>
    <cellStyle name="PSDec 14 2 3" xfId="6168"/>
    <cellStyle name="PSDec 14 3" xfId="6169"/>
    <cellStyle name="PSDec 14 3 2" xfId="6170"/>
    <cellStyle name="PSDec 14 3 2 2" xfId="6171"/>
    <cellStyle name="PSDec 14 3 3" xfId="6172"/>
    <cellStyle name="PSDec 14 4" xfId="6173"/>
    <cellStyle name="PSDec 14 4 2" xfId="6174"/>
    <cellStyle name="PSDec 14 4 2 2" xfId="6175"/>
    <cellStyle name="PSDec 14 4 3" xfId="6176"/>
    <cellStyle name="PSDec 14 5" xfId="6177"/>
    <cellStyle name="PSDec 14 5 2" xfId="6178"/>
    <cellStyle name="PSDec 14 5 2 2" xfId="6179"/>
    <cellStyle name="PSDec 14 5 3" xfId="6180"/>
    <cellStyle name="PSDec 14 6" xfId="6181"/>
    <cellStyle name="PSDec 14 6 2" xfId="6182"/>
    <cellStyle name="PSDec 14 7" xfId="6183"/>
    <cellStyle name="PSDec 15" xfId="6184"/>
    <cellStyle name="PSDec 15 2" xfId="6185"/>
    <cellStyle name="PSDec 15 2 2" xfId="6186"/>
    <cellStyle name="PSDec 15 2 2 2" xfId="6187"/>
    <cellStyle name="PSDec 15 2 3" xfId="6188"/>
    <cellStyle name="PSDec 15 3" xfId="6189"/>
    <cellStyle name="PSDec 15 3 2" xfId="6190"/>
    <cellStyle name="PSDec 15 3 2 2" xfId="6191"/>
    <cellStyle name="PSDec 15 3 3" xfId="6192"/>
    <cellStyle name="PSDec 15 4" xfId="6193"/>
    <cellStyle name="PSDec 15 4 2" xfId="6194"/>
    <cellStyle name="PSDec 15 4 2 2" xfId="6195"/>
    <cellStyle name="PSDec 15 4 3" xfId="6196"/>
    <cellStyle name="PSDec 15 5" xfId="6197"/>
    <cellStyle name="PSDec 15 5 2" xfId="6198"/>
    <cellStyle name="PSDec 15 5 2 2" xfId="6199"/>
    <cellStyle name="PSDec 15 5 3" xfId="6200"/>
    <cellStyle name="PSDec 15 6" xfId="6201"/>
    <cellStyle name="PSDec 15 6 2" xfId="6202"/>
    <cellStyle name="PSDec 15 7" xfId="6203"/>
    <cellStyle name="PSDec 16" xfId="6204"/>
    <cellStyle name="PSDec 2" xfId="3527"/>
    <cellStyle name="PSDec 2 10" xfId="6205"/>
    <cellStyle name="PSDec 2 10 2" xfId="6206"/>
    <cellStyle name="PSDec 2 11" xfId="6207"/>
    <cellStyle name="PSDec 2 2" xfId="3528"/>
    <cellStyle name="PSDec 2 2 2" xfId="6208"/>
    <cellStyle name="PSDec 2 2 2 2" xfId="6209"/>
    <cellStyle name="PSDec 2 2 3" xfId="6210"/>
    <cellStyle name="PSDec 2 3" xfId="6211"/>
    <cellStyle name="PSDec 2 3 2" xfId="6212"/>
    <cellStyle name="PSDec 2 3 2 2" xfId="6213"/>
    <cellStyle name="PSDec 2 3 3" xfId="6214"/>
    <cellStyle name="PSDec 2 4" xfId="6215"/>
    <cellStyle name="PSDec 2 4 2" xfId="6216"/>
    <cellStyle name="PSDec 2 4 2 2" xfId="6217"/>
    <cellStyle name="PSDec 2 4 3" xfId="6218"/>
    <cellStyle name="PSDec 2 5" xfId="6219"/>
    <cellStyle name="PSDec 2 5 2" xfId="6220"/>
    <cellStyle name="PSDec 2 5 2 2" xfId="6221"/>
    <cellStyle name="PSDec 2 5 3" xfId="6222"/>
    <cellStyle name="PSDec 2 6" xfId="6223"/>
    <cellStyle name="PSDec 2 6 2" xfId="6224"/>
    <cellStyle name="PSDec 2 6 2 2" xfId="6225"/>
    <cellStyle name="PSDec 2 6 3" xfId="6226"/>
    <cellStyle name="PSDec 2 7" xfId="6227"/>
    <cellStyle name="PSDec 2 7 2" xfId="6228"/>
    <cellStyle name="PSDec 2 7 2 2" xfId="6229"/>
    <cellStyle name="PSDec 2 7 3" xfId="6230"/>
    <cellStyle name="PSDec 2 8" xfId="6231"/>
    <cellStyle name="PSDec 2 8 2" xfId="6232"/>
    <cellStyle name="PSDec 2 8 2 2" xfId="6233"/>
    <cellStyle name="PSDec 2 8 3" xfId="6234"/>
    <cellStyle name="PSDec 2 9" xfId="6235"/>
    <cellStyle name="PSDec 2 9 2" xfId="6236"/>
    <cellStyle name="PSDec 2 9 2 2" xfId="6237"/>
    <cellStyle name="PSDec 2 9 3" xfId="6238"/>
    <cellStyle name="PSDec 3" xfId="3529"/>
    <cellStyle name="PSDec 3 10" xfId="6239"/>
    <cellStyle name="PSDec 3 10 2" xfId="6240"/>
    <cellStyle name="PSDec 3 11" xfId="6241"/>
    <cellStyle name="PSDec 3 2" xfId="6242"/>
    <cellStyle name="PSDec 3 2 2" xfId="6243"/>
    <cellStyle name="PSDec 3 2 2 2" xfId="6244"/>
    <cellStyle name="PSDec 3 2 3" xfId="6245"/>
    <cellStyle name="PSDec 3 3" xfId="6246"/>
    <cellStyle name="PSDec 3 3 2" xfId="6247"/>
    <cellStyle name="PSDec 3 3 2 2" xfId="6248"/>
    <cellStyle name="PSDec 3 3 3" xfId="6249"/>
    <cellStyle name="PSDec 3 4" xfId="6250"/>
    <cellStyle name="PSDec 3 4 2" xfId="6251"/>
    <cellStyle name="PSDec 3 4 2 2" xfId="6252"/>
    <cellStyle name="PSDec 3 4 3" xfId="6253"/>
    <cellStyle name="PSDec 3 5" xfId="6254"/>
    <cellStyle name="PSDec 3 5 2" xfId="6255"/>
    <cellStyle name="PSDec 3 5 2 2" xfId="6256"/>
    <cellStyle name="PSDec 3 5 3" xfId="6257"/>
    <cellStyle name="PSDec 3 6" xfId="6258"/>
    <cellStyle name="PSDec 3 6 2" xfId="6259"/>
    <cellStyle name="PSDec 3 6 2 2" xfId="6260"/>
    <cellStyle name="PSDec 3 6 3" xfId="6261"/>
    <cellStyle name="PSDec 3 7" xfId="6262"/>
    <cellStyle name="PSDec 3 7 2" xfId="6263"/>
    <cellStyle name="PSDec 3 7 2 2" xfId="6264"/>
    <cellStyle name="PSDec 3 7 3" xfId="6265"/>
    <cellStyle name="PSDec 3 8" xfId="6266"/>
    <cellStyle name="PSDec 3 8 2" xfId="6267"/>
    <cellStyle name="PSDec 3 8 2 2" xfId="6268"/>
    <cellStyle name="PSDec 3 8 3" xfId="6269"/>
    <cellStyle name="PSDec 3 9" xfId="6270"/>
    <cellStyle name="PSDec 3 9 2" xfId="6271"/>
    <cellStyle name="PSDec 3 9 2 2" xfId="6272"/>
    <cellStyle name="PSDec 3 9 3" xfId="6273"/>
    <cellStyle name="PSDec 4" xfId="3530"/>
    <cellStyle name="PSDec 4 10" xfId="6274"/>
    <cellStyle name="PSDec 4 10 2" xfId="6275"/>
    <cellStyle name="PSDec 4 11" xfId="6276"/>
    <cellStyle name="PSDec 4 2" xfId="6277"/>
    <cellStyle name="PSDec 4 2 2" xfId="6278"/>
    <cellStyle name="PSDec 4 2 2 2" xfId="6279"/>
    <cellStyle name="PSDec 4 2 3" xfId="6280"/>
    <cellStyle name="PSDec 4 3" xfId="6281"/>
    <cellStyle name="PSDec 4 3 2" xfId="6282"/>
    <cellStyle name="PSDec 4 3 2 2" xfId="6283"/>
    <cellStyle name="PSDec 4 3 3" xfId="6284"/>
    <cellStyle name="PSDec 4 4" xfId="6285"/>
    <cellStyle name="PSDec 4 4 2" xfId="6286"/>
    <cellStyle name="PSDec 4 4 2 2" xfId="6287"/>
    <cellStyle name="PSDec 4 4 3" xfId="6288"/>
    <cellStyle name="PSDec 4 5" xfId="6289"/>
    <cellStyle name="PSDec 4 5 2" xfId="6290"/>
    <cellStyle name="PSDec 4 5 2 2" xfId="6291"/>
    <cellStyle name="PSDec 4 5 3" xfId="6292"/>
    <cellStyle name="PSDec 4 6" xfId="6293"/>
    <cellStyle name="PSDec 4 6 2" xfId="6294"/>
    <cellStyle name="PSDec 4 6 2 2" xfId="6295"/>
    <cellStyle name="PSDec 4 6 3" xfId="6296"/>
    <cellStyle name="PSDec 4 7" xfId="6297"/>
    <cellStyle name="PSDec 4 7 2" xfId="6298"/>
    <cellStyle name="PSDec 4 7 2 2" xfId="6299"/>
    <cellStyle name="PSDec 4 7 3" xfId="6300"/>
    <cellStyle name="PSDec 4 8" xfId="6301"/>
    <cellStyle name="PSDec 4 8 2" xfId="6302"/>
    <cellStyle name="PSDec 4 8 2 2" xfId="6303"/>
    <cellStyle name="PSDec 4 8 3" xfId="6304"/>
    <cellStyle name="PSDec 4 9" xfId="6305"/>
    <cellStyle name="PSDec 4 9 2" xfId="6306"/>
    <cellStyle name="PSDec 4 9 2 2" xfId="6307"/>
    <cellStyle name="PSDec 4 9 3" xfId="6308"/>
    <cellStyle name="PSDec 5" xfId="3531"/>
    <cellStyle name="PSDec 5 10" xfId="6309"/>
    <cellStyle name="PSDec 5 10 2" xfId="6310"/>
    <cellStyle name="PSDec 5 11" xfId="6311"/>
    <cellStyle name="PSDec 5 2" xfId="6312"/>
    <cellStyle name="PSDec 5 2 2" xfId="6313"/>
    <cellStyle name="PSDec 5 2 2 2" xfId="6314"/>
    <cellStyle name="PSDec 5 2 3" xfId="6315"/>
    <cellStyle name="PSDec 5 3" xfId="6316"/>
    <cellStyle name="PSDec 5 3 2" xfId="6317"/>
    <cellStyle name="PSDec 5 3 2 2" xfId="6318"/>
    <cellStyle name="PSDec 5 3 3" xfId="6319"/>
    <cellStyle name="PSDec 5 4" xfId="6320"/>
    <cellStyle name="PSDec 5 4 2" xfId="6321"/>
    <cellStyle name="PSDec 5 4 2 2" xfId="6322"/>
    <cellStyle name="PSDec 5 4 3" xfId="6323"/>
    <cellStyle name="PSDec 5 5" xfId="6324"/>
    <cellStyle name="PSDec 5 5 2" xfId="6325"/>
    <cellStyle name="PSDec 5 5 2 2" xfId="6326"/>
    <cellStyle name="PSDec 5 5 3" xfId="6327"/>
    <cellStyle name="PSDec 5 6" xfId="6328"/>
    <cellStyle name="PSDec 5 6 2" xfId="6329"/>
    <cellStyle name="PSDec 5 6 2 2" xfId="6330"/>
    <cellStyle name="PSDec 5 6 3" xfId="6331"/>
    <cellStyle name="PSDec 5 7" xfId="6332"/>
    <cellStyle name="PSDec 5 7 2" xfId="6333"/>
    <cellStyle name="PSDec 5 7 2 2" xfId="6334"/>
    <cellStyle name="PSDec 5 7 3" xfId="6335"/>
    <cellStyle name="PSDec 5 8" xfId="6336"/>
    <cellStyle name="PSDec 5 8 2" xfId="6337"/>
    <cellStyle name="PSDec 5 8 2 2" xfId="6338"/>
    <cellStyle name="PSDec 5 8 3" xfId="6339"/>
    <cellStyle name="PSDec 5 9" xfId="6340"/>
    <cellStyle name="PSDec 5 9 2" xfId="6341"/>
    <cellStyle name="PSDec 5 9 2 2" xfId="6342"/>
    <cellStyle name="PSDec 5 9 3" xfId="6343"/>
    <cellStyle name="PSDec 6" xfId="3532"/>
    <cellStyle name="PSDec 6 10" xfId="6344"/>
    <cellStyle name="PSDec 6 10 2" xfId="6345"/>
    <cellStyle name="PSDec 6 11" xfId="6346"/>
    <cellStyle name="PSDec 6 2" xfId="6347"/>
    <cellStyle name="PSDec 6 2 2" xfId="6348"/>
    <cellStyle name="PSDec 6 2 2 2" xfId="6349"/>
    <cellStyle name="PSDec 6 2 3" xfId="6350"/>
    <cellStyle name="PSDec 6 3" xfId="6351"/>
    <cellStyle name="PSDec 6 3 2" xfId="6352"/>
    <cellStyle name="PSDec 6 3 2 2" xfId="6353"/>
    <cellStyle name="PSDec 6 3 3" xfId="6354"/>
    <cellStyle name="PSDec 6 4" xfId="6355"/>
    <cellStyle name="PSDec 6 4 2" xfId="6356"/>
    <cellStyle name="PSDec 6 4 2 2" xfId="6357"/>
    <cellStyle name="PSDec 6 4 3" xfId="6358"/>
    <cellStyle name="PSDec 6 5" xfId="6359"/>
    <cellStyle name="PSDec 6 5 2" xfId="6360"/>
    <cellStyle name="PSDec 6 5 2 2" xfId="6361"/>
    <cellStyle name="PSDec 6 5 3" xfId="6362"/>
    <cellStyle name="PSDec 6 6" xfId="6363"/>
    <cellStyle name="PSDec 6 6 2" xfId="6364"/>
    <cellStyle name="PSDec 6 6 2 2" xfId="6365"/>
    <cellStyle name="PSDec 6 6 3" xfId="6366"/>
    <cellStyle name="PSDec 6 7" xfId="6367"/>
    <cellStyle name="PSDec 6 7 2" xfId="6368"/>
    <cellStyle name="PSDec 6 7 2 2" xfId="6369"/>
    <cellStyle name="PSDec 6 7 3" xfId="6370"/>
    <cellStyle name="PSDec 6 8" xfId="6371"/>
    <cellStyle name="PSDec 6 8 2" xfId="6372"/>
    <cellStyle name="PSDec 6 8 2 2" xfId="6373"/>
    <cellStyle name="PSDec 6 8 3" xfId="6374"/>
    <cellStyle name="PSDec 6 9" xfId="6375"/>
    <cellStyle name="PSDec 6 9 2" xfId="6376"/>
    <cellStyle name="PSDec 6 9 2 2" xfId="6377"/>
    <cellStyle name="PSDec 6 9 3" xfId="6378"/>
    <cellStyle name="PSDec 7" xfId="3533"/>
    <cellStyle name="PSDec 7 2" xfId="6379"/>
    <cellStyle name="PSDec 7 2 2" xfId="6380"/>
    <cellStyle name="PSDec 7 2 2 2" xfId="6381"/>
    <cellStyle name="PSDec 7 2 3" xfId="6382"/>
    <cellStyle name="PSDec 7 3" xfId="6383"/>
    <cellStyle name="PSDec 7 3 2" xfId="6384"/>
    <cellStyle name="PSDec 7 3 2 2" xfId="6385"/>
    <cellStyle name="PSDec 7 3 3" xfId="6386"/>
    <cellStyle name="PSDec 7 4" xfId="6387"/>
    <cellStyle name="PSDec 7 4 2" xfId="6388"/>
    <cellStyle name="PSDec 7 4 2 2" xfId="6389"/>
    <cellStyle name="PSDec 7 4 3" xfId="6390"/>
    <cellStyle name="PSDec 7 5" xfId="6391"/>
    <cellStyle name="PSDec 7 5 2" xfId="6392"/>
    <cellStyle name="PSDec 7 5 2 2" xfId="6393"/>
    <cellStyle name="PSDec 7 5 3" xfId="6394"/>
    <cellStyle name="PSDec 7 6" xfId="6395"/>
    <cellStyle name="PSDec 7 6 2" xfId="6396"/>
    <cellStyle name="PSDec 7 7" xfId="6397"/>
    <cellStyle name="PSDec 8" xfId="3534"/>
    <cellStyle name="PSDec 8 2" xfId="6398"/>
    <cellStyle name="PSDec 8 2 2" xfId="6399"/>
    <cellStyle name="PSDec 8 2 2 2" xfId="6400"/>
    <cellStyle name="PSDec 8 2 3" xfId="6401"/>
    <cellStyle name="PSDec 8 3" xfId="6402"/>
    <cellStyle name="PSDec 8 3 2" xfId="6403"/>
    <cellStyle name="PSDec 8 3 2 2" xfId="6404"/>
    <cellStyle name="PSDec 8 3 3" xfId="6405"/>
    <cellStyle name="PSDec 8 4" xfId="6406"/>
    <cellStyle name="PSDec 8 4 2" xfId="6407"/>
    <cellStyle name="PSDec 8 4 2 2" xfId="6408"/>
    <cellStyle name="PSDec 8 4 3" xfId="6409"/>
    <cellStyle name="PSDec 8 5" xfId="6410"/>
    <cellStyle name="PSDec 8 5 2" xfId="6411"/>
    <cellStyle name="PSDec 8 5 2 2" xfId="6412"/>
    <cellStyle name="PSDec 8 5 3" xfId="6413"/>
    <cellStyle name="PSDec 8 6" xfId="6414"/>
    <cellStyle name="PSDec 8 6 2" xfId="6415"/>
    <cellStyle name="PSDec 8 7" xfId="6416"/>
    <cellStyle name="PSDec 9" xfId="3535"/>
    <cellStyle name="PSDec 9 2" xfId="6417"/>
    <cellStyle name="PSDec 9 2 2" xfId="6418"/>
    <cellStyle name="PSDec 9 2 2 2" xfId="6419"/>
    <cellStyle name="PSDec 9 2 3" xfId="6420"/>
    <cellStyle name="PSDec 9 3" xfId="6421"/>
    <cellStyle name="PSDec 9 3 2" xfId="6422"/>
    <cellStyle name="PSDec 9 3 2 2" xfId="6423"/>
    <cellStyle name="PSDec 9 3 3" xfId="6424"/>
    <cellStyle name="PSDec 9 4" xfId="6425"/>
    <cellStyle name="PSDec 9 4 2" xfId="6426"/>
    <cellStyle name="PSDec 9 4 2 2" xfId="6427"/>
    <cellStyle name="PSDec 9 4 3" xfId="6428"/>
    <cellStyle name="PSDec 9 5" xfId="6429"/>
    <cellStyle name="PSDec 9 5 2" xfId="6430"/>
    <cellStyle name="PSDec 9 5 2 2" xfId="6431"/>
    <cellStyle name="PSDec 9 5 3" xfId="6432"/>
    <cellStyle name="PSDec 9 6" xfId="6433"/>
    <cellStyle name="PSDec 9 6 2" xfId="6434"/>
    <cellStyle name="PSDec 9 7" xfId="6435"/>
    <cellStyle name="PSHeading" xfId="57"/>
    <cellStyle name="PSHeading 10" xfId="3536"/>
    <cellStyle name="PSHeading 10 2" xfId="6436"/>
    <cellStyle name="PSHeading 10 2 2" xfId="6437"/>
    <cellStyle name="PSHeading 10 2 2 2" xfId="6438"/>
    <cellStyle name="PSHeading 10 2 3" xfId="6439"/>
    <cellStyle name="PSHeading 10 2_JE 5 2002.2 FED" xfId="6440"/>
    <cellStyle name="PSHeading 10 3" xfId="6441"/>
    <cellStyle name="PSHeading 10 3 2" xfId="6442"/>
    <cellStyle name="PSHeading 10 3 2 2" xfId="6443"/>
    <cellStyle name="PSHeading 10 3 3" xfId="6444"/>
    <cellStyle name="PSHeading 10 3_JE 5 2002.2 FED" xfId="6445"/>
    <cellStyle name="PSHeading 10 4" xfId="6446"/>
    <cellStyle name="PSHeading 10 4 2" xfId="6447"/>
    <cellStyle name="PSHeading 10 4 2 2" xfId="6448"/>
    <cellStyle name="PSHeading 10 4 3" xfId="6449"/>
    <cellStyle name="PSHeading 10 4_JE 5 2002.2 FED" xfId="6450"/>
    <cellStyle name="PSHeading 10 5" xfId="6451"/>
    <cellStyle name="PSHeading 10 5 2" xfId="6452"/>
    <cellStyle name="PSHeading 10 5 2 2" xfId="6453"/>
    <cellStyle name="PSHeading 10 5 3" xfId="6454"/>
    <cellStyle name="PSHeading 10 5_JE 5 2002.2 FED" xfId="6455"/>
    <cellStyle name="PSHeading 10 6" xfId="6456"/>
    <cellStyle name="PSHeading 10 6 2" xfId="6457"/>
    <cellStyle name="PSHeading 10 7" xfId="6458"/>
    <cellStyle name="PSHeading 10_JE 5 2002.2 FED" xfId="6459"/>
    <cellStyle name="PSHeading 11" xfId="3537"/>
    <cellStyle name="PSHeading 11 2" xfId="6460"/>
    <cellStyle name="PSHeading 11 2 2" xfId="6461"/>
    <cellStyle name="PSHeading 11 2 2 2" xfId="6462"/>
    <cellStyle name="PSHeading 11 2 3" xfId="6463"/>
    <cellStyle name="PSHeading 11 2_JE 5 2002.2 FED" xfId="6464"/>
    <cellStyle name="PSHeading 11 3" xfId="6465"/>
    <cellStyle name="PSHeading 11 3 2" xfId="6466"/>
    <cellStyle name="PSHeading 11 3 2 2" xfId="6467"/>
    <cellStyle name="PSHeading 11 3 3" xfId="6468"/>
    <cellStyle name="PSHeading 11 3_JE 5 2002.2 FED" xfId="6469"/>
    <cellStyle name="PSHeading 11 4" xfId="6470"/>
    <cellStyle name="PSHeading 11 4 2" xfId="6471"/>
    <cellStyle name="PSHeading 11 4 2 2" xfId="6472"/>
    <cellStyle name="PSHeading 11 4 3" xfId="6473"/>
    <cellStyle name="PSHeading 11 4_JE 5 2002.2 FED" xfId="6474"/>
    <cellStyle name="PSHeading 11 5" xfId="6475"/>
    <cellStyle name="PSHeading 11 5 2" xfId="6476"/>
    <cellStyle name="PSHeading 11 5 2 2" xfId="6477"/>
    <cellStyle name="PSHeading 11 5 3" xfId="6478"/>
    <cellStyle name="PSHeading 11 5_JE 5 2002.2 FED" xfId="6479"/>
    <cellStyle name="PSHeading 11 6" xfId="6480"/>
    <cellStyle name="PSHeading 11 6 2" xfId="6481"/>
    <cellStyle name="PSHeading 11 7" xfId="6482"/>
    <cellStyle name="PSHeading 11_JE 5 2002.2 FED" xfId="6483"/>
    <cellStyle name="PSHeading 12" xfId="3538"/>
    <cellStyle name="PSHeading 12 2" xfId="6484"/>
    <cellStyle name="PSHeading 12 2 2" xfId="6485"/>
    <cellStyle name="PSHeading 12 2 2 2" xfId="6486"/>
    <cellStyle name="PSHeading 12 2 3" xfId="6487"/>
    <cellStyle name="PSHeading 12 2_JE 5 2002.2 FED" xfId="6488"/>
    <cellStyle name="PSHeading 12 3" xfId="6489"/>
    <cellStyle name="PSHeading 12 3 2" xfId="6490"/>
    <cellStyle name="PSHeading 12 3 2 2" xfId="6491"/>
    <cellStyle name="PSHeading 12 3 3" xfId="6492"/>
    <cellStyle name="PSHeading 12 3_JE 5 2002.2 FED" xfId="6493"/>
    <cellStyle name="PSHeading 12 4" xfId="6494"/>
    <cellStyle name="PSHeading 12 4 2" xfId="6495"/>
    <cellStyle name="PSHeading 12 4 2 2" xfId="6496"/>
    <cellStyle name="PSHeading 12 4 3" xfId="6497"/>
    <cellStyle name="PSHeading 12 4_JE 5 2002.2 FED" xfId="6498"/>
    <cellStyle name="PSHeading 12 5" xfId="6499"/>
    <cellStyle name="PSHeading 12 5 2" xfId="6500"/>
    <cellStyle name="PSHeading 12 5 2 2" xfId="6501"/>
    <cellStyle name="PSHeading 12 5 3" xfId="6502"/>
    <cellStyle name="PSHeading 12 5_JE 5 2002.2 FED" xfId="6503"/>
    <cellStyle name="PSHeading 12 6" xfId="6504"/>
    <cellStyle name="PSHeading 12 6 2" xfId="6505"/>
    <cellStyle name="PSHeading 12 7" xfId="6506"/>
    <cellStyle name="PSHeading 12_JE 5 2002.2 FED" xfId="6507"/>
    <cellStyle name="PSHeading 13" xfId="6508"/>
    <cellStyle name="PSHeading 13 2" xfId="6509"/>
    <cellStyle name="PSHeading 13 2 2" xfId="6510"/>
    <cellStyle name="PSHeading 13 2 2 2" xfId="6511"/>
    <cellStyle name="PSHeading 13 2 3" xfId="6512"/>
    <cellStyle name="PSHeading 13 2_JE 5 2002.2 FED" xfId="6513"/>
    <cellStyle name="PSHeading 13 3" xfId="6514"/>
    <cellStyle name="PSHeading 13 3 2" xfId="6515"/>
    <cellStyle name="PSHeading 13 3 2 2" xfId="6516"/>
    <cellStyle name="PSHeading 13 3 3" xfId="6517"/>
    <cellStyle name="PSHeading 13 3_JE 5 2002.2 FED" xfId="6518"/>
    <cellStyle name="PSHeading 13 4" xfId="6519"/>
    <cellStyle name="PSHeading 13 4 2" xfId="6520"/>
    <cellStyle name="PSHeading 13 4 2 2" xfId="6521"/>
    <cellStyle name="PSHeading 13 4 3" xfId="6522"/>
    <cellStyle name="PSHeading 13 4_JE 5 2002.2 FED" xfId="6523"/>
    <cellStyle name="PSHeading 13 5" xfId="6524"/>
    <cellStyle name="PSHeading 13 5 2" xfId="6525"/>
    <cellStyle name="PSHeading 13 5 2 2" xfId="6526"/>
    <cellStyle name="PSHeading 13 5 3" xfId="6527"/>
    <cellStyle name="PSHeading 13 5_JE 5 2002.2 FED" xfId="6528"/>
    <cellStyle name="PSHeading 13 6" xfId="6529"/>
    <cellStyle name="PSHeading 13 6 2" xfId="6530"/>
    <cellStyle name="PSHeading 13 7" xfId="6531"/>
    <cellStyle name="PSHeading 13_JE 5 2002.2 FED" xfId="6532"/>
    <cellStyle name="PSHeading 14" xfId="6533"/>
    <cellStyle name="PSHeading 14 2" xfId="6534"/>
    <cellStyle name="PSHeading 14 2 2" xfId="6535"/>
    <cellStyle name="PSHeading 14 2 2 2" xfId="6536"/>
    <cellStyle name="PSHeading 14 2 3" xfId="6537"/>
    <cellStyle name="PSHeading 14 2_JE 5 2002.2 FED" xfId="6538"/>
    <cellStyle name="PSHeading 14 3" xfId="6539"/>
    <cellStyle name="PSHeading 14 3 2" xfId="6540"/>
    <cellStyle name="PSHeading 14 3 2 2" xfId="6541"/>
    <cellStyle name="PSHeading 14 3 3" xfId="6542"/>
    <cellStyle name="PSHeading 14 3_JE 5 2002.2 FED" xfId="6543"/>
    <cellStyle name="PSHeading 14 4" xfId="6544"/>
    <cellStyle name="PSHeading 14 4 2" xfId="6545"/>
    <cellStyle name="PSHeading 14 4 2 2" xfId="6546"/>
    <cellStyle name="PSHeading 14 4 3" xfId="6547"/>
    <cellStyle name="PSHeading 14 4_JE 5 2002.2 FED" xfId="6548"/>
    <cellStyle name="PSHeading 14 5" xfId="6549"/>
    <cellStyle name="PSHeading 14 5 2" xfId="6550"/>
    <cellStyle name="PSHeading 14 5 2 2" xfId="6551"/>
    <cellStyle name="PSHeading 14 5 3" xfId="6552"/>
    <cellStyle name="PSHeading 14 5_JE 5 2002.2 FED" xfId="6553"/>
    <cellStyle name="PSHeading 14 6" xfId="6554"/>
    <cellStyle name="PSHeading 14 6 2" xfId="6555"/>
    <cellStyle name="PSHeading 14 7" xfId="6556"/>
    <cellStyle name="PSHeading 14_JE 5 2002.2 FED" xfId="6557"/>
    <cellStyle name="PSHeading 15" xfId="6558"/>
    <cellStyle name="PSHeading 15 2" xfId="6559"/>
    <cellStyle name="PSHeading 15 2 2" xfId="6560"/>
    <cellStyle name="PSHeading 15 2 2 2" xfId="6561"/>
    <cellStyle name="PSHeading 15 2 3" xfId="6562"/>
    <cellStyle name="PSHeading 15 2_JE 5 2002.2 FED" xfId="6563"/>
    <cellStyle name="PSHeading 15 3" xfId="6564"/>
    <cellStyle name="PSHeading 15 3 2" xfId="6565"/>
    <cellStyle name="PSHeading 15 3 2 2" xfId="6566"/>
    <cellStyle name="PSHeading 15 3 3" xfId="6567"/>
    <cellStyle name="PSHeading 15 3_JE 5 2002.2 FED" xfId="6568"/>
    <cellStyle name="PSHeading 15 4" xfId="6569"/>
    <cellStyle name="PSHeading 15 4 2" xfId="6570"/>
    <cellStyle name="PSHeading 15 4 2 2" xfId="6571"/>
    <cellStyle name="PSHeading 15 4 3" xfId="6572"/>
    <cellStyle name="PSHeading 15 4_JE 5 2002.2 FED" xfId="6573"/>
    <cellStyle name="PSHeading 15 5" xfId="6574"/>
    <cellStyle name="PSHeading 15 5 2" xfId="6575"/>
    <cellStyle name="PSHeading 15 5 2 2" xfId="6576"/>
    <cellStyle name="PSHeading 15 5 3" xfId="6577"/>
    <cellStyle name="PSHeading 15 5_JE 5 2002.2 FED" xfId="6578"/>
    <cellStyle name="PSHeading 15 6" xfId="6579"/>
    <cellStyle name="PSHeading 15 6 2" xfId="6580"/>
    <cellStyle name="PSHeading 15 7" xfId="6581"/>
    <cellStyle name="PSHeading 15_JE 5 2002.2 FED" xfId="6582"/>
    <cellStyle name="PSHeading 16" xfId="6583"/>
    <cellStyle name="PSHeading 17" xfId="6584"/>
    <cellStyle name="PSHeading 18" xfId="6585"/>
    <cellStyle name="PSHeading 19" xfId="6586"/>
    <cellStyle name="PSHeading 2" xfId="3539"/>
    <cellStyle name="PSHeading 2 10" xfId="6587"/>
    <cellStyle name="PSHeading 2 10 2" xfId="6588"/>
    <cellStyle name="PSHeading 2 11" xfId="6589"/>
    <cellStyle name="PSHeading 2 2" xfId="3540"/>
    <cellStyle name="PSHeading 2 2 2" xfId="6590"/>
    <cellStyle name="PSHeading 2 2 2 2" xfId="6591"/>
    <cellStyle name="PSHeading 2 2 3" xfId="6592"/>
    <cellStyle name="PSHeading 2 2_JE 5 2002.2 FED" xfId="6593"/>
    <cellStyle name="PSHeading 2 3" xfId="6594"/>
    <cellStyle name="PSHeading 2 3 2" xfId="6595"/>
    <cellStyle name="PSHeading 2 3 2 2" xfId="6596"/>
    <cellStyle name="PSHeading 2 3 3" xfId="6597"/>
    <cellStyle name="PSHeading 2 3_JE 5 2002.2 FED" xfId="6598"/>
    <cellStyle name="PSHeading 2 4" xfId="6599"/>
    <cellStyle name="PSHeading 2 4 2" xfId="6600"/>
    <cellStyle name="PSHeading 2 4 2 2" xfId="6601"/>
    <cellStyle name="PSHeading 2 4 3" xfId="6602"/>
    <cellStyle name="PSHeading 2 4_JE 5 2002.2 FED" xfId="6603"/>
    <cellStyle name="PSHeading 2 5" xfId="6604"/>
    <cellStyle name="PSHeading 2 5 2" xfId="6605"/>
    <cellStyle name="PSHeading 2 5 2 2" xfId="6606"/>
    <cellStyle name="PSHeading 2 5 3" xfId="6607"/>
    <cellStyle name="PSHeading 2 5_JE 5 2002.2 FED" xfId="6608"/>
    <cellStyle name="PSHeading 2 6" xfId="6609"/>
    <cellStyle name="PSHeading 2 6 2" xfId="6610"/>
    <cellStyle name="PSHeading 2 6 2 2" xfId="6611"/>
    <cellStyle name="PSHeading 2 6 3" xfId="6612"/>
    <cellStyle name="PSHeading 2 6_JE 5 2002.2 FED" xfId="6613"/>
    <cellStyle name="PSHeading 2 7" xfId="6614"/>
    <cellStyle name="PSHeading 2 7 2" xfId="6615"/>
    <cellStyle name="PSHeading 2 7 2 2" xfId="6616"/>
    <cellStyle name="PSHeading 2 7 3" xfId="6617"/>
    <cellStyle name="PSHeading 2 7_JE 5 2002.2 FED" xfId="6618"/>
    <cellStyle name="PSHeading 2 8" xfId="6619"/>
    <cellStyle name="PSHeading 2 8 2" xfId="6620"/>
    <cellStyle name="PSHeading 2 8 2 2" xfId="6621"/>
    <cellStyle name="PSHeading 2 8 3" xfId="6622"/>
    <cellStyle name="PSHeading 2 8_JE 5 2002.2 FED" xfId="6623"/>
    <cellStyle name="PSHeading 2 9" xfId="6624"/>
    <cellStyle name="PSHeading 2 9 2" xfId="6625"/>
    <cellStyle name="PSHeading 2 9 2 2" xfId="6626"/>
    <cellStyle name="PSHeading 2 9 3" xfId="6627"/>
    <cellStyle name="PSHeading 2 9_JE 5 2002.2 FED" xfId="6628"/>
    <cellStyle name="PSHeading 2_JE 5 2002.2 FED" xfId="6629"/>
    <cellStyle name="PSHeading 3" xfId="3541"/>
    <cellStyle name="PSHeading 3 10" xfId="6630"/>
    <cellStyle name="PSHeading 3 10 2" xfId="6631"/>
    <cellStyle name="PSHeading 3 11" xfId="6632"/>
    <cellStyle name="PSHeading 3 2" xfId="6633"/>
    <cellStyle name="PSHeading 3 2 2" xfId="6634"/>
    <cellStyle name="PSHeading 3 2 2 2" xfId="6635"/>
    <cellStyle name="PSHeading 3 2 3" xfId="6636"/>
    <cellStyle name="PSHeading 3 2_JE 5 2002.2 FED" xfId="6637"/>
    <cellStyle name="PSHeading 3 3" xfId="6638"/>
    <cellStyle name="PSHeading 3 3 2" xfId="6639"/>
    <cellStyle name="PSHeading 3 3 2 2" xfId="6640"/>
    <cellStyle name="PSHeading 3 3 3" xfId="6641"/>
    <cellStyle name="PSHeading 3 3_JE 5 2002.2 FED" xfId="6642"/>
    <cellStyle name="PSHeading 3 4" xfId="6643"/>
    <cellStyle name="PSHeading 3 4 2" xfId="6644"/>
    <cellStyle name="PSHeading 3 4 2 2" xfId="6645"/>
    <cellStyle name="PSHeading 3 4 3" xfId="6646"/>
    <cellStyle name="PSHeading 3 4_JE 5 2002.2 FED" xfId="6647"/>
    <cellStyle name="PSHeading 3 5" xfId="6648"/>
    <cellStyle name="PSHeading 3 5 2" xfId="6649"/>
    <cellStyle name="PSHeading 3 5 2 2" xfId="6650"/>
    <cellStyle name="PSHeading 3 5 3" xfId="6651"/>
    <cellStyle name="PSHeading 3 5_JE 5 2002.2 FED" xfId="6652"/>
    <cellStyle name="PSHeading 3 6" xfId="6653"/>
    <cellStyle name="PSHeading 3 6 2" xfId="6654"/>
    <cellStyle name="PSHeading 3 6 2 2" xfId="6655"/>
    <cellStyle name="PSHeading 3 6 3" xfId="6656"/>
    <cellStyle name="PSHeading 3 6_JE 5 2002.2 FED" xfId="6657"/>
    <cellStyle name="PSHeading 3 7" xfId="6658"/>
    <cellStyle name="PSHeading 3 7 2" xfId="6659"/>
    <cellStyle name="PSHeading 3 7 2 2" xfId="6660"/>
    <cellStyle name="PSHeading 3 7 3" xfId="6661"/>
    <cellStyle name="PSHeading 3 7_JE 5 2002.2 FED" xfId="6662"/>
    <cellStyle name="PSHeading 3 8" xfId="6663"/>
    <cellStyle name="PSHeading 3 8 2" xfId="6664"/>
    <cellStyle name="PSHeading 3 8 2 2" xfId="6665"/>
    <cellStyle name="PSHeading 3 8 3" xfId="6666"/>
    <cellStyle name="PSHeading 3 8_JE 5 2002.2 FED" xfId="6667"/>
    <cellStyle name="PSHeading 3 9" xfId="6668"/>
    <cellStyle name="PSHeading 3 9 2" xfId="6669"/>
    <cellStyle name="PSHeading 3 9 2 2" xfId="6670"/>
    <cellStyle name="PSHeading 3 9 3" xfId="6671"/>
    <cellStyle name="PSHeading 3 9_JE 5 2002.2 FED" xfId="6672"/>
    <cellStyle name="PSHeading 3_JE 5 2002.2 FED" xfId="6673"/>
    <cellStyle name="PSHeading 4" xfId="3542"/>
    <cellStyle name="PSHeading 4 10" xfId="6674"/>
    <cellStyle name="PSHeading 4 10 2" xfId="6675"/>
    <cellStyle name="PSHeading 4 11" xfId="6676"/>
    <cellStyle name="PSHeading 4 2" xfId="6677"/>
    <cellStyle name="PSHeading 4 2 2" xfId="6678"/>
    <cellStyle name="PSHeading 4 2 2 2" xfId="6679"/>
    <cellStyle name="PSHeading 4 2 3" xfId="6680"/>
    <cellStyle name="PSHeading 4 2_JE 5 2002.2 FED" xfId="6681"/>
    <cellStyle name="PSHeading 4 3" xfId="6682"/>
    <cellStyle name="PSHeading 4 3 2" xfId="6683"/>
    <cellStyle name="PSHeading 4 3 2 2" xfId="6684"/>
    <cellStyle name="PSHeading 4 3 3" xfId="6685"/>
    <cellStyle name="PSHeading 4 3_JE 5 2002.2 FED" xfId="6686"/>
    <cellStyle name="PSHeading 4 4" xfId="6687"/>
    <cellStyle name="PSHeading 4 4 2" xfId="6688"/>
    <cellStyle name="PSHeading 4 4 2 2" xfId="6689"/>
    <cellStyle name="PSHeading 4 4 3" xfId="6690"/>
    <cellStyle name="PSHeading 4 4_JE 5 2002.2 FED" xfId="6691"/>
    <cellStyle name="PSHeading 4 5" xfId="6692"/>
    <cellStyle name="PSHeading 4 5 2" xfId="6693"/>
    <cellStyle name="PSHeading 4 5 2 2" xfId="6694"/>
    <cellStyle name="PSHeading 4 5 3" xfId="6695"/>
    <cellStyle name="PSHeading 4 5_JE 5 2002.2 FED" xfId="6696"/>
    <cellStyle name="PSHeading 4 6" xfId="6697"/>
    <cellStyle name="PSHeading 4 6 2" xfId="6698"/>
    <cellStyle name="PSHeading 4 6 2 2" xfId="6699"/>
    <cellStyle name="PSHeading 4 6 3" xfId="6700"/>
    <cellStyle name="PSHeading 4 6_JE 5 2002.2 FED" xfId="6701"/>
    <cellStyle name="PSHeading 4 7" xfId="6702"/>
    <cellStyle name="PSHeading 4 7 2" xfId="6703"/>
    <cellStyle name="PSHeading 4 7 2 2" xfId="6704"/>
    <cellStyle name="PSHeading 4 7 3" xfId="6705"/>
    <cellStyle name="PSHeading 4 7_JE 5 2002.2 FED" xfId="6706"/>
    <cellStyle name="PSHeading 4 8" xfId="6707"/>
    <cellStyle name="PSHeading 4 8 2" xfId="6708"/>
    <cellStyle name="PSHeading 4 8 2 2" xfId="6709"/>
    <cellStyle name="PSHeading 4 8 3" xfId="6710"/>
    <cellStyle name="PSHeading 4 8_JE 5 2002.2 FED" xfId="6711"/>
    <cellStyle name="PSHeading 4 9" xfId="6712"/>
    <cellStyle name="PSHeading 4 9 2" xfId="6713"/>
    <cellStyle name="PSHeading 4 9 2 2" xfId="6714"/>
    <cellStyle name="PSHeading 4 9 3" xfId="6715"/>
    <cellStyle name="PSHeading 4 9_JE 5 2002.2 FED" xfId="6716"/>
    <cellStyle name="PSHeading 4_JE 5 2002.2 FED" xfId="6717"/>
    <cellStyle name="PSHeading 5" xfId="3543"/>
    <cellStyle name="PSHeading 5 10" xfId="6718"/>
    <cellStyle name="PSHeading 5 10 2" xfId="6719"/>
    <cellStyle name="PSHeading 5 11" xfId="6720"/>
    <cellStyle name="PSHeading 5 2" xfId="6721"/>
    <cellStyle name="PSHeading 5 2 2" xfId="6722"/>
    <cellStyle name="PSHeading 5 2 2 2" xfId="6723"/>
    <cellStyle name="PSHeading 5 2 3" xfId="6724"/>
    <cellStyle name="PSHeading 5 2_JE 5 2002.2 FED" xfId="6725"/>
    <cellStyle name="PSHeading 5 3" xfId="6726"/>
    <cellStyle name="PSHeading 5 3 2" xfId="6727"/>
    <cellStyle name="PSHeading 5 3 2 2" xfId="6728"/>
    <cellStyle name="PSHeading 5 3 3" xfId="6729"/>
    <cellStyle name="PSHeading 5 3_JE 5 2002.2 FED" xfId="6730"/>
    <cellStyle name="PSHeading 5 4" xfId="6731"/>
    <cellStyle name="PSHeading 5 4 2" xfId="6732"/>
    <cellStyle name="PSHeading 5 4 2 2" xfId="6733"/>
    <cellStyle name="PSHeading 5 4 3" xfId="6734"/>
    <cellStyle name="PSHeading 5 4_JE 5 2002.2 FED" xfId="6735"/>
    <cellStyle name="PSHeading 5 5" xfId="6736"/>
    <cellStyle name="PSHeading 5 5 2" xfId="6737"/>
    <cellStyle name="PSHeading 5 5 2 2" xfId="6738"/>
    <cellStyle name="PSHeading 5 5 3" xfId="6739"/>
    <cellStyle name="PSHeading 5 5_JE 5 2002.2 FED" xfId="6740"/>
    <cellStyle name="PSHeading 5 6" xfId="6741"/>
    <cellStyle name="PSHeading 5 6 2" xfId="6742"/>
    <cellStyle name="PSHeading 5 6 2 2" xfId="6743"/>
    <cellStyle name="PSHeading 5 6 3" xfId="6744"/>
    <cellStyle name="PSHeading 5 6_JE 5 2002.2 FED" xfId="6745"/>
    <cellStyle name="PSHeading 5 7" xfId="6746"/>
    <cellStyle name="PSHeading 5 7 2" xfId="6747"/>
    <cellStyle name="PSHeading 5 7 2 2" xfId="6748"/>
    <cellStyle name="PSHeading 5 7 3" xfId="6749"/>
    <cellStyle name="PSHeading 5 7_JE 5 2002.2 FED" xfId="6750"/>
    <cellStyle name="PSHeading 5 8" xfId="6751"/>
    <cellStyle name="PSHeading 5 8 2" xfId="6752"/>
    <cellStyle name="PSHeading 5 8 2 2" xfId="6753"/>
    <cellStyle name="PSHeading 5 8 3" xfId="6754"/>
    <cellStyle name="PSHeading 5 8_JE 5 2002.2 FED" xfId="6755"/>
    <cellStyle name="PSHeading 5 9" xfId="6756"/>
    <cellStyle name="PSHeading 5 9 2" xfId="6757"/>
    <cellStyle name="PSHeading 5 9 2 2" xfId="6758"/>
    <cellStyle name="PSHeading 5 9 3" xfId="6759"/>
    <cellStyle name="PSHeading 5 9_JE 5 2002.2 FED" xfId="6760"/>
    <cellStyle name="PSHeading 5_JE 5 2002.2 FED" xfId="6761"/>
    <cellStyle name="PSHeading 6" xfId="3544"/>
    <cellStyle name="PSHeading 6 10" xfId="6762"/>
    <cellStyle name="PSHeading 6 10 2" xfId="6763"/>
    <cellStyle name="PSHeading 6 11" xfId="6764"/>
    <cellStyle name="PSHeading 6 2" xfId="6765"/>
    <cellStyle name="PSHeading 6 2 2" xfId="6766"/>
    <cellStyle name="PSHeading 6 2 2 2" xfId="6767"/>
    <cellStyle name="PSHeading 6 2 3" xfId="6768"/>
    <cellStyle name="PSHeading 6 2_JE 5 2002.2 FED" xfId="6769"/>
    <cellStyle name="PSHeading 6 3" xfId="6770"/>
    <cellStyle name="PSHeading 6 3 2" xfId="6771"/>
    <cellStyle name="PSHeading 6 3 2 2" xfId="6772"/>
    <cellStyle name="PSHeading 6 3 3" xfId="6773"/>
    <cellStyle name="PSHeading 6 3_JE 5 2002.2 FED" xfId="6774"/>
    <cellStyle name="PSHeading 6 4" xfId="6775"/>
    <cellStyle name="PSHeading 6 4 2" xfId="6776"/>
    <cellStyle name="PSHeading 6 4 2 2" xfId="6777"/>
    <cellStyle name="PSHeading 6 4 3" xfId="6778"/>
    <cellStyle name="PSHeading 6 4_JE 5 2002.2 FED" xfId="6779"/>
    <cellStyle name="PSHeading 6 5" xfId="6780"/>
    <cellStyle name="PSHeading 6 5 2" xfId="6781"/>
    <cellStyle name="PSHeading 6 5 2 2" xfId="6782"/>
    <cellStyle name="PSHeading 6 5 3" xfId="6783"/>
    <cellStyle name="PSHeading 6 5_JE 5 2002.2 FED" xfId="6784"/>
    <cellStyle name="PSHeading 6 6" xfId="6785"/>
    <cellStyle name="PSHeading 6 6 2" xfId="6786"/>
    <cellStyle name="PSHeading 6 6 2 2" xfId="6787"/>
    <cellStyle name="PSHeading 6 6 3" xfId="6788"/>
    <cellStyle name="PSHeading 6 6_JE 5 2002.2 FED" xfId="6789"/>
    <cellStyle name="PSHeading 6 7" xfId="6790"/>
    <cellStyle name="PSHeading 6 7 2" xfId="6791"/>
    <cellStyle name="PSHeading 6 7 2 2" xfId="6792"/>
    <cellStyle name="PSHeading 6 7 3" xfId="6793"/>
    <cellStyle name="PSHeading 6 7_JE 5 2002.2 FED" xfId="6794"/>
    <cellStyle name="PSHeading 6 8" xfId="6795"/>
    <cellStyle name="PSHeading 6 8 2" xfId="6796"/>
    <cellStyle name="PSHeading 6 8 2 2" xfId="6797"/>
    <cellStyle name="PSHeading 6 8 3" xfId="6798"/>
    <cellStyle name="PSHeading 6 8_JE 5 2002.2 FED" xfId="6799"/>
    <cellStyle name="PSHeading 6 9" xfId="6800"/>
    <cellStyle name="PSHeading 6 9 2" xfId="6801"/>
    <cellStyle name="PSHeading 6 9 2 2" xfId="6802"/>
    <cellStyle name="PSHeading 6 9 3" xfId="6803"/>
    <cellStyle name="PSHeading 6 9_JE 5 2002.2 FED" xfId="6804"/>
    <cellStyle name="PSHeading 6_JE 5 2002.2 FED" xfId="6805"/>
    <cellStyle name="PSHeading 7" xfId="3545"/>
    <cellStyle name="PSHeading 7 2" xfId="6806"/>
    <cellStyle name="PSHeading 7 2 2" xfId="6807"/>
    <cellStyle name="PSHeading 7 2 2 2" xfId="6808"/>
    <cellStyle name="PSHeading 7 2 3" xfId="6809"/>
    <cellStyle name="PSHeading 7 2_JE 5 2002.2 FED" xfId="6810"/>
    <cellStyle name="PSHeading 7 3" xfId="6811"/>
    <cellStyle name="PSHeading 7 3 2" xfId="6812"/>
    <cellStyle name="PSHeading 7 3 2 2" xfId="6813"/>
    <cellStyle name="PSHeading 7 3 3" xfId="6814"/>
    <cellStyle name="PSHeading 7 3_JE 5 2002.2 FED" xfId="6815"/>
    <cellStyle name="PSHeading 7 4" xfId="6816"/>
    <cellStyle name="PSHeading 7 4 2" xfId="6817"/>
    <cellStyle name="PSHeading 7 4 2 2" xfId="6818"/>
    <cellStyle name="PSHeading 7 4 3" xfId="6819"/>
    <cellStyle name="PSHeading 7 4_JE 5 2002.2 FED" xfId="6820"/>
    <cellStyle name="PSHeading 7 5" xfId="6821"/>
    <cellStyle name="PSHeading 7 5 2" xfId="6822"/>
    <cellStyle name="PSHeading 7 5 2 2" xfId="6823"/>
    <cellStyle name="PSHeading 7 5 3" xfId="6824"/>
    <cellStyle name="PSHeading 7 5_JE 5 2002.2 FED" xfId="6825"/>
    <cellStyle name="PSHeading 7 6" xfId="6826"/>
    <cellStyle name="PSHeading 7 6 2" xfId="6827"/>
    <cellStyle name="PSHeading 7 7" xfId="6828"/>
    <cellStyle name="PSHeading 7_JE 5 2002.2 FED" xfId="6829"/>
    <cellStyle name="PSHeading 8" xfId="3546"/>
    <cellStyle name="PSHeading 8 2" xfId="6830"/>
    <cellStyle name="PSHeading 8 2 2" xfId="6831"/>
    <cellStyle name="PSHeading 8 2 2 2" xfId="6832"/>
    <cellStyle name="PSHeading 8 2 3" xfId="6833"/>
    <cellStyle name="PSHeading 8 2_JE 5 2002.2 FED" xfId="6834"/>
    <cellStyle name="PSHeading 8 3" xfId="6835"/>
    <cellStyle name="PSHeading 8 3 2" xfId="6836"/>
    <cellStyle name="PSHeading 8 3 2 2" xfId="6837"/>
    <cellStyle name="PSHeading 8 3 3" xfId="6838"/>
    <cellStyle name="PSHeading 8 3_JE 5 2002.2 FED" xfId="6839"/>
    <cellStyle name="PSHeading 8 4" xfId="6840"/>
    <cellStyle name="PSHeading 8 4 2" xfId="6841"/>
    <cellStyle name="PSHeading 8 4 2 2" xfId="6842"/>
    <cellStyle name="PSHeading 8 4 3" xfId="6843"/>
    <cellStyle name="PSHeading 8 4_JE 5 2002.2 FED" xfId="6844"/>
    <cellStyle name="PSHeading 8 5" xfId="6845"/>
    <cellStyle name="PSHeading 8 5 2" xfId="6846"/>
    <cellStyle name="PSHeading 8 5 2 2" xfId="6847"/>
    <cellStyle name="PSHeading 8 5 3" xfId="6848"/>
    <cellStyle name="PSHeading 8 5_JE 5 2002.2 FED" xfId="6849"/>
    <cellStyle name="PSHeading 8 6" xfId="6850"/>
    <cellStyle name="PSHeading 8 6 2" xfId="6851"/>
    <cellStyle name="PSHeading 8 7" xfId="6852"/>
    <cellStyle name="PSHeading 8_JE 5 2002.2 FED" xfId="6853"/>
    <cellStyle name="PSHeading 9" xfId="3547"/>
    <cellStyle name="PSHeading 9 2" xfId="6854"/>
    <cellStyle name="PSHeading 9 2 2" xfId="6855"/>
    <cellStyle name="PSHeading 9 2 2 2" xfId="6856"/>
    <cellStyle name="PSHeading 9 2 3" xfId="6857"/>
    <cellStyle name="PSHeading 9 2_JE 5 2002.2 FED" xfId="6858"/>
    <cellStyle name="PSHeading 9 3" xfId="6859"/>
    <cellStyle name="PSHeading 9 3 2" xfId="6860"/>
    <cellStyle name="PSHeading 9 3 2 2" xfId="6861"/>
    <cellStyle name="PSHeading 9 3 3" xfId="6862"/>
    <cellStyle name="PSHeading 9 3_JE 5 2002.2 FED" xfId="6863"/>
    <cellStyle name="PSHeading 9 4" xfId="6864"/>
    <cellStyle name="PSHeading 9 4 2" xfId="6865"/>
    <cellStyle name="PSHeading 9 4 2 2" xfId="6866"/>
    <cellStyle name="PSHeading 9 4 3" xfId="6867"/>
    <cellStyle name="PSHeading 9 4_JE 5 2002.2 FED" xfId="6868"/>
    <cellStyle name="PSHeading 9 5" xfId="6869"/>
    <cellStyle name="PSHeading 9 5 2" xfId="6870"/>
    <cellStyle name="PSHeading 9 5 2 2" xfId="6871"/>
    <cellStyle name="PSHeading 9 5 3" xfId="6872"/>
    <cellStyle name="PSHeading 9 5_JE 5 2002.2 FED" xfId="6873"/>
    <cellStyle name="PSHeading 9 6" xfId="6874"/>
    <cellStyle name="PSHeading 9 6 2" xfId="6875"/>
    <cellStyle name="PSHeading 9 7" xfId="6876"/>
    <cellStyle name="PSHeading 9_JE 5 2002.2 FED" xfId="6877"/>
    <cellStyle name="PSHeading_11-03.1 Pepco" xfId="3548"/>
    <cellStyle name="PSInt" xfId="58"/>
    <cellStyle name="PSInt 10" xfId="3549"/>
    <cellStyle name="PSInt 10 2" xfId="6878"/>
    <cellStyle name="PSInt 10 2 2" xfId="6879"/>
    <cellStyle name="PSInt 10 2 2 2" xfId="6880"/>
    <cellStyle name="PSInt 10 2 3" xfId="6881"/>
    <cellStyle name="PSInt 10 3" xfId="6882"/>
    <cellStyle name="PSInt 10 3 2" xfId="6883"/>
    <cellStyle name="PSInt 10 3 2 2" xfId="6884"/>
    <cellStyle name="PSInt 10 3 3" xfId="6885"/>
    <cellStyle name="PSInt 10 4" xfId="6886"/>
    <cellStyle name="PSInt 10 4 2" xfId="6887"/>
    <cellStyle name="PSInt 10 4 2 2" xfId="6888"/>
    <cellStyle name="PSInt 10 4 3" xfId="6889"/>
    <cellStyle name="PSInt 10 5" xfId="6890"/>
    <cellStyle name="PSInt 10 5 2" xfId="6891"/>
    <cellStyle name="PSInt 10 5 2 2" xfId="6892"/>
    <cellStyle name="PSInt 10 5 3" xfId="6893"/>
    <cellStyle name="PSInt 10 6" xfId="6894"/>
    <cellStyle name="PSInt 10 6 2" xfId="6895"/>
    <cellStyle name="PSInt 10 7" xfId="6896"/>
    <cellStyle name="PSInt 11" xfId="3550"/>
    <cellStyle name="PSInt 11 2" xfId="6897"/>
    <cellStyle name="PSInt 11 2 2" xfId="6898"/>
    <cellStyle name="PSInt 11 2 2 2" xfId="6899"/>
    <cellStyle name="PSInt 11 2 3" xfId="6900"/>
    <cellStyle name="PSInt 11 3" xfId="6901"/>
    <cellStyle name="PSInt 11 3 2" xfId="6902"/>
    <cellStyle name="PSInt 11 3 2 2" xfId="6903"/>
    <cellStyle name="PSInt 11 3 3" xfId="6904"/>
    <cellStyle name="PSInt 11 4" xfId="6905"/>
    <cellStyle name="PSInt 11 4 2" xfId="6906"/>
    <cellStyle name="PSInt 11 4 2 2" xfId="6907"/>
    <cellStyle name="PSInt 11 4 3" xfId="6908"/>
    <cellStyle name="PSInt 11 5" xfId="6909"/>
    <cellStyle name="PSInt 11 5 2" xfId="6910"/>
    <cellStyle name="PSInt 11 5 2 2" xfId="6911"/>
    <cellStyle name="PSInt 11 5 3" xfId="6912"/>
    <cellStyle name="PSInt 11 6" xfId="6913"/>
    <cellStyle name="PSInt 11 6 2" xfId="6914"/>
    <cellStyle name="PSInt 11 7" xfId="6915"/>
    <cellStyle name="PSInt 12" xfId="3551"/>
    <cellStyle name="PSInt 12 2" xfId="6916"/>
    <cellStyle name="PSInt 12 2 2" xfId="6917"/>
    <cellStyle name="PSInt 12 2 2 2" xfId="6918"/>
    <cellStyle name="PSInt 12 2 3" xfId="6919"/>
    <cellStyle name="PSInt 12 3" xfId="6920"/>
    <cellStyle name="PSInt 12 3 2" xfId="6921"/>
    <cellStyle name="PSInt 12 3 2 2" xfId="6922"/>
    <cellStyle name="PSInt 12 3 3" xfId="6923"/>
    <cellStyle name="PSInt 12 4" xfId="6924"/>
    <cellStyle name="PSInt 12 4 2" xfId="6925"/>
    <cellStyle name="PSInt 12 4 2 2" xfId="6926"/>
    <cellStyle name="PSInt 12 4 3" xfId="6927"/>
    <cellStyle name="PSInt 12 5" xfId="6928"/>
    <cellStyle name="PSInt 12 5 2" xfId="6929"/>
    <cellStyle name="PSInt 12 5 2 2" xfId="6930"/>
    <cellStyle name="PSInt 12 5 3" xfId="6931"/>
    <cellStyle name="PSInt 12 6" xfId="6932"/>
    <cellStyle name="PSInt 12 6 2" xfId="6933"/>
    <cellStyle name="PSInt 12 7" xfId="6934"/>
    <cellStyle name="PSInt 13" xfId="6935"/>
    <cellStyle name="PSInt 13 2" xfId="6936"/>
    <cellStyle name="PSInt 13 2 2" xfId="6937"/>
    <cellStyle name="PSInt 13 2 2 2" xfId="6938"/>
    <cellStyle name="PSInt 13 2 3" xfId="6939"/>
    <cellStyle name="PSInt 13 3" xfId="6940"/>
    <cellStyle name="PSInt 13 3 2" xfId="6941"/>
    <cellStyle name="PSInt 13 3 2 2" xfId="6942"/>
    <cellStyle name="PSInt 13 3 3" xfId="6943"/>
    <cellStyle name="PSInt 13 4" xfId="6944"/>
    <cellStyle name="PSInt 13 4 2" xfId="6945"/>
    <cellStyle name="PSInt 13 4 2 2" xfId="6946"/>
    <cellStyle name="PSInt 13 4 3" xfId="6947"/>
    <cellStyle name="PSInt 13 5" xfId="6948"/>
    <cellStyle name="PSInt 13 5 2" xfId="6949"/>
    <cellStyle name="PSInt 13 5 2 2" xfId="6950"/>
    <cellStyle name="PSInt 13 5 3" xfId="6951"/>
    <cellStyle name="PSInt 13 6" xfId="6952"/>
    <cellStyle name="PSInt 13 6 2" xfId="6953"/>
    <cellStyle name="PSInt 13 7" xfId="6954"/>
    <cellStyle name="PSInt 14" xfId="6955"/>
    <cellStyle name="PSInt 14 2" xfId="6956"/>
    <cellStyle name="PSInt 14 2 2" xfId="6957"/>
    <cellStyle name="PSInt 14 2 2 2" xfId="6958"/>
    <cellStyle name="PSInt 14 2 3" xfId="6959"/>
    <cellStyle name="PSInt 14 3" xfId="6960"/>
    <cellStyle name="PSInt 14 3 2" xfId="6961"/>
    <cellStyle name="PSInt 14 3 2 2" xfId="6962"/>
    <cellStyle name="PSInt 14 3 3" xfId="6963"/>
    <cellStyle name="PSInt 14 4" xfId="6964"/>
    <cellStyle name="PSInt 14 4 2" xfId="6965"/>
    <cellStyle name="PSInt 14 4 2 2" xfId="6966"/>
    <cellStyle name="PSInt 14 4 3" xfId="6967"/>
    <cellStyle name="PSInt 14 5" xfId="6968"/>
    <cellStyle name="PSInt 14 5 2" xfId="6969"/>
    <cellStyle name="PSInt 14 5 2 2" xfId="6970"/>
    <cellStyle name="PSInt 14 5 3" xfId="6971"/>
    <cellStyle name="PSInt 14 6" xfId="6972"/>
    <cellStyle name="PSInt 14 6 2" xfId="6973"/>
    <cellStyle name="PSInt 14 7" xfId="6974"/>
    <cellStyle name="PSInt 15" xfId="6975"/>
    <cellStyle name="PSInt 15 2" xfId="6976"/>
    <cellStyle name="PSInt 15 2 2" xfId="6977"/>
    <cellStyle name="PSInt 15 2 2 2" xfId="6978"/>
    <cellStyle name="PSInt 15 2 3" xfId="6979"/>
    <cellStyle name="PSInt 15 3" xfId="6980"/>
    <cellStyle name="PSInt 15 3 2" xfId="6981"/>
    <cellStyle name="PSInt 15 3 2 2" xfId="6982"/>
    <cellStyle name="PSInt 15 3 3" xfId="6983"/>
    <cellStyle name="PSInt 15 4" xfId="6984"/>
    <cellStyle name="PSInt 15 4 2" xfId="6985"/>
    <cellStyle name="PSInt 15 4 2 2" xfId="6986"/>
    <cellStyle name="PSInt 15 4 3" xfId="6987"/>
    <cellStyle name="PSInt 15 5" xfId="6988"/>
    <cellStyle name="PSInt 15 5 2" xfId="6989"/>
    <cellStyle name="PSInt 15 5 2 2" xfId="6990"/>
    <cellStyle name="PSInt 15 5 3" xfId="6991"/>
    <cellStyle name="PSInt 15 6" xfId="6992"/>
    <cellStyle name="PSInt 15 6 2" xfId="6993"/>
    <cellStyle name="PSInt 15 7" xfId="6994"/>
    <cellStyle name="PSInt 16" xfId="6995"/>
    <cellStyle name="PSInt 2" xfId="3552"/>
    <cellStyle name="PSInt 2 10" xfId="6996"/>
    <cellStyle name="PSInt 2 10 2" xfId="6997"/>
    <cellStyle name="PSInt 2 11" xfId="6998"/>
    <cellStyle name="PSInt 2 2" xfId="3553"/>
    <cellStyle name="PSInt 2 2 2" xfId="6999"/>
    <cellStyle name="PSInt 2 2 2 2" xfId="7000"/>
    <cellStyle name="PSInt 2 2 3" xfId="7001"/>
    <cellStyle name="PSInt 2 3" xfId="7002"/>
    <cellStyle name="PSInt 2 3 2" xfId="7003"/>
    <cellStyle name="PSInt 2 3 2 2" xfId="7004"/>
    <cellStyle name="PSInt 2 3 3" xfId="7005"/>
    <cellStyle name="PSInt 2 4" xfId="7006"/>
    <cellStyle name="PSInt 2 4 2" xfId="7007"/>
    <cellStyle name="PSInt 2 4 2 2" xfId="7008"/>
    <cellStyle name="PSInt 2 4 3" xfId="7009"/>
    <cellStyle name="PSInt 2 5" xfId="7010"/>
    <cellStyle name="PSInt 2 5 2" xfId="7011"/>
    <cellStyle name="PSInt 2 5 2 2" xfId="7012"/>
    <cellStyle name="PSInt 2 5 3" xfId="7013"/>
    <cellStyle name="PSInt 2 6" xfId="7014"/>
    <cellStyle name="PSInt 2 6 2" xfId="7015"/>
    <cellStyle name="PSInt 2 6 2 2" xfId="7016"/>
    <cellStyle name="PSInt 2 6 3" xfId="7017"/>
    <cellStyle name="PSInt 2 7" xfId="7018"/>
    <cellStyle name="PSInt 2 7 2" xfId="7019"/>
    <cellStyle name="PSInt 2 7 2 2" xfId="7020"/>
    <cellStyle name="PSInt 2 7 3" xfId="7021"/>
    <cellStyle name="PSInt 2 8" xfId="7022"/>
    <cellStyle name="PSInt 2 8 2" xfId="7023"/>
    <cellStyle name="PSInt 2 8 2 2" xfId="7024"/>
    <cellStyle name="PSInt 2 8 3" xfId="7025"/>
    <cellStyle name="PSInt 2 9" xfId="7026"/>
    <cellStyle name="PSInt 2 9 2" xfId="7027"/>
    <cellStyle name="PSInt 2 9 2 2" xfId="7028"/>
    <cellStyle name="PSInt 2 9 3" xfId="7029"/>
    <cellStyle name="PSInt 3" xfId="3554"/>
    <cellStyle name="PSInt 3 10" xfId="7030"/>
    <cellStyle name="PSInt 3 10 2" xfId="7031"/>
    <cellStyle name="PSInt 3 11" xfId="7032"/>
    <cellStyle name="PSInt 3 2" xfId="7033"/>
    <cellStyle name="PSInt 3 2 2" xfId="7034"/>
    <cellStyle name="PSInt 3 2 2 2" xfId="7035"/>
    <cellStyle name="PSInt 3 2 3" xfId="7036"/>
    <cellStyle name="PSInt 3 3" xfId="7037"/>
    <cellStyle name="PSInt 3 3 2" xfId="7038"/>
    <cellStyle name="PSInt 3 3 2 2" xfId="7039"/>
    <cellStyle name="PSInt 3 3 3" xfId="7040"/>
    <cellStyle name="PSInt 3 4" xfId="7041"/>
    <cellStyle name="PSInt 3 4 2" xfId="7042"/>
    <cellStyle name="PSInt 3 4 2 2" xfId="7043"/>
    <cellStyle name="PSInt 3 4 3" xfId="7044"/>
    <cellStyle name="PSInt 3 5" xfId="7045"/>
    <cellStyle name="PSInt 3 5 2" xfId="7046"/>
    <cellStyle name="PSInt 3 5 2 2" xfId="7047"/>
    <cellStyle name="PSInt 3 5 3" xfId="7048"/>
    <cellStyle name="PSInt 3 6" xfId="7049"/>
    <cellStyle name="PSInt 3 6 2" xfId="7050"/>
    <cellStyle name="PSInt 3 6 2 2" xfId="7051"/>
    <cellStyle name="PSInt 3 6 3" xfId="7052"/>
    <cellStyle name="PSInt 3 7" xfId="7053"/>
    <cellStyle name="PSInt 3 7 2" xfId="7054"/>
    <cellStyle name="PSInt 3 7 2 2" xfId="7055"/>
    <cellStyle name="PSInt 3 7 3" xfId="7056"/>
    <cellStyle name="PSInt 3 8" xfId="7057"/>
    <cellStyle name="PSInt 3 8 2" xfId="7058"/>
    <cellStyle name="PSInt 3 8 2 2" xfId="7059"/>
    <cellStyle name="PSInt 3 8 3" xfId="7060"/>
    <cellStyle name="PSInt 3 9" xfId="7061"/>
    <cellStyle name="PSInt 3 9 2" xfId="7062"/>
    <cellStyle name="PSInt 3 9 2 2" xfId="7063"/>
    <cellStyle name="PSInt 3 9 3" xfId="7064"/>
    <cellStyle name="PSInt 4" xfId="3555"/>
    <cellStyle name="PSInt 4 10" xfId="7065"/>
    <cellStyle name="PSInt 4 10 2" xfId="7066"/>
    <cellStyle name="PSInt 4 11" xfId="7067"/>
    <cellStyle name="PSInt 4 2" xfId="7068"/>
    <cellStyle name="PSInt 4 2 2" xfId="7069"/>
    <cellStyle name="PSInt 4 2 2 2" xfId="7070"/>
    <cellStyle name="PSInt 4 2 3" xfId="7071"/>
    <cellStyle name="PSInt 4 3" xfId="7072"/>
    <cellStyle name="PSInt 4 3 2" xfId="7073"/>
    <cellStyle name="PSInt 4 3 2 2" xfId="7074"/>
    <cellStyle name="PSInt 4 3 3" xfId="7075"/>
    <cellStyle name="PSInt 4 4" xfId="7076"/>
    <cellStyle name="PSInt 4 4 2" xfId="7077"/>
    <cellStyle name="PSInt 4 4 2 2" xfId="7078"/>
    <cellStyle name="PSInt 4 4 3" xfId="7079"/>
    <cellStyle name="PSInt 4 5" xfId="7080"/>
    <cellStyle name="PSInt 4 5 2" xfId="7081"/>
    <cellStyle name="PSInt 4 5 2 2" xfId="7082"/>
    <cellStyle name="PSInt 4 5 3" xfId="7083"/>
    <cellStyle name="PSInt 4 6" xfId="7084"/>
    <cellStyle name="PSInt 4 6 2" xfId="7085"/>
    <cellStyle name="PSInt 4 6 2 2" xfId="7086"/>
    <cellStyle name="PSInt 4 6 3" xfId="7087"/>
    <cellStyle name="PSInt 4 7" xfId="7088"/>
    <cellStyle name="PSInt 4 7 2" xfId="7089"/>
    <cellStyle name="PSInt 4 7 2 2" xfId="7090"/>
    <cellStyle name="PSInt 4 7 3" xfId="7091"/>
    <cellStyle name="PSInt 4 8" xfId="7092"/>
    <cellStyle name="PSInt 4 8 2" xfId="7093"/>
    <cellStyle name="PSInt 4 8 2 2" xfId="7094"/>
    <cellStyle name="PSInt 4 8 3" xfId="7095"/>
    <cellStyle name="PSInt 4 9" xfId="7096"/>
    <cellStyle name="PSInt 4 9 2" xfId="7097"/>
    <cellStyle name="PSInt 4 9 2 2" xfId="7098"/>
    <cellStyle name="PSInt 4 9 3" xfId="7099"/>
    <cellStyle name="PSInt 5" xfId="3556"/>
    <cellStyle name="PSInt 5 10" xfId="7100"/>
    <cellStyle name="PSInt 5 10 2" xfId="7101"/>
    <cellStyle name="PSInt 5 11" xfId="7102"/>
    <cellStyle name="PSInt 5 2" xfId="7103"/>
    <cellStyle name="PSInt 5 2 2" xfId="7104"/>
    <cellStyle name="PSInt 5 2 2 2" xfId="7105"/>
    <cellStyle name="PSInt 5 2 3" xfId="7106"/>
    <cellStyle name="PSInt 5 3" xfId="7107"/>
    <cellStyle name="PSInt 5 3 2" xfId="7108"/>
    <cellStyle name="PSInt 5 3 2 2" xfId="7109"/>
    <cellStyle name="PSInt 5 3 3" xfId="7110"/>
    <cellStyle name="PSInt 5 4" xfId="7111"/>
    <cellStyle name="PSInt 5 4 2" xfId="7112"/>
    <cellStyle name="PSInt 5 4 2 2" xfId="7113"/>
    <cellStyle name="PSInt 5 4 3" xfId="7114"/>
    <cellStyle name="PSInt 5 5" xfId="7115"/>
    <cellStyle name="PSInt 5 5 2" xfId="7116"/>
    <cellStyle name="PSInt 5 5 2 2" xfId="7117"/>
    <cellStyle name="PSInt 5 5 3" xfId="7118"/>
    <cellStyle name="PSInt 5 6" xfId="7119"/>
    <cellStyle name="PSInt 5 6 2" xfId="7120"/>
    <cellStyle name="PSInt 5 6 2 2" xfId="7121"/>
    <cellStyle name="PSInt 5 6 3" xfId="7122"/>
    <cellStyle name="PSInt 5 7" xfId="7123"/>
    <cellStyle name="PSInt 5 7 2" xfId="7124"/>
    <cellStyle name="PSInt 5 7 2 2" xfId="7125"/>
    <cellStyle name="PSInt 5 7 3" xfId="7126"/>
    <cellStyle name="PSInt 5 8" xfId="7127"/>
    <cellStyle name="PSInt 5 8 2" xfId="7128"/>
    <cellStyle name="PSInt 5 8 2 2" xfId="7129"/>
    <cellStyle name="PSInt 5 8 3" xfId="7130"/>
    <cellStyle name="PSInt 5 9" xfId="7131"/>
    <cellStyle name="PSInt 5 9 2" xfId="7132"/>
    <cellStyle name="PSInt 5 9 2 2" xfId="7133"/>
    <cellStyle name="PSInt 5 9 3" xfId="7134"/>
    <cellStyle name="PSInt 6" xfId="3557"/>
    <cellStyle name="PSInt 6 10" xfId="7135"/>
    <cellStyle name="PSInt 6 10 2" xfId="7136"/>
    <cellStyle name="PSInt 6 11" xfId="7137"/>
    <cellStyle name="PSInt 6 2" xfId="7138"/>
    <cellStyle name="PSInt 6 2 2" xfId="7139"/>
    <cellStyle name="PSInt 6 2 2 2" xfId="7140"/>
    <cellStyle name="PSInt 6 2 3" xfId="7141"/>
    <cellStyle name="PSInt 6 3" xfId="7142"/>
    <cellStyle name="PSInt 6 3 2" xfId="7143"/>
    <cellStyle name="PSInt 6 3 2 2" xfId="7144"/>
    <cellStyle name="PSInt 6 3 3" xfId="7145"/>
    <cellStyle name="PSInt 6 4" xfId="7146"/>
    <cellStyle name="PSInt 6 4 2" xfId="7147"/>
    <cellStyle name="PSInt 6 4 2 2" xfId="7148"/>
    <cellStyle name="PSInt 6 4 3" xfId="7149"/>
    <cellStyle name="PSInt 6 5" xfId="7150"/>
    <cellStyle name="PSInt 6 5 2" xfId="7151"/>
    <cellStyle name="PSInt 6 5 2 2" xfId="7152"/>
    <cellStyle name="PSInt 6 5 3" xfId="7153"/>
    <cellStyle name="PSInt 6 6" xfId="7154"/>
    <cellStyle name="PSInt 6 6 2" xfId="7155"/>
    <cellStyle name="PSInt 6 6 2 2" xfId="7156"/>
    <cellStyle name="PSInt 6 6 3" xfId="7157"/>
    <cellStyle name="PSInt 6 7" xfId="7158"/>
    <cellStyle name="PSInt 6 7 2" xfId="7159"/>
    <cellStyle name="PSInt 6 7 2 2" xfId="7160"/>
    <cellStyle name="PSInt 6 7 3" xfId="7161"/>
    <cellStyle name="PSInt 6 8" xfId="7162"/>
    <cellStyle name="PSInt 6 8 2" xfId="7163"/>
    <cellStyle name="PSInt 6 8 2 2" xfId="7164"/>
    <cellStyle name="PSInt 6 8 3" xfId="7165"/>
    <cellStyle name="PSInt 6 9" xfId="7166"/>
    <cellStyle name="PSInt 6 9 2" xfId="7167"/>
    <cellStyle name="PSInt 6 9 2 2" xfId="7168"/>
    <cellStyle name="PSInt 6 9 3" xfId="7169"/>
    <cellStyle name="PSInt 7" xfId="3558"/>
    <cellStyle name="PSInt 7 2" xfId="7170"/>
    <cellStyle name="PSInt 7 2 2" xfId="7171"/>
    <cellStyle name="PSInt 7 2 2 2" xfId="7172"/>
    <cellStyle name="PSInt 7 2 3" xfId="7173"/>
    <cellStyle name="PSInt 7 3" xfId="7174"/>
    <cellStyle name="PSInt 7 3 2" xfId="7175"/>
    <cellStyle name="PSInt 7 3 2 2" xfId="7176"/>
    <cellStyle name="PSInt 7 3 3" xfId="7177"/>
    <cellStyle name="PSInt 7 4" xfId="7178"/>
    <cellStyle name="PSInt 7 4 2" xfId="7179"/>
    <cellStyle name="PSInt 7 4 2 2" xfId="7180"/>
    <cellStyle name="PSInt 7 4 3" xfId="7181"/>
    <cellStyle name="PSInt 7 5" xfId="7182"/>
    <cellStyle name="PSInt 7 5 2" xfId="7183"/>
    <cellStyle name="PSInt 7 5 2 2" xfId="7184"/>
    <cellStyle name="PSInt 7 5 3" xfId="7185"/>
    <cellStyle name="PSInt 7 6" xfId="7186"/>
    <cellStyle name="PSInt 7 6 2" xfId="7187"/>
    <cellStyle name="PSInt 7 7" xfId="7188"/>
    <cellStyle name="PSInt 8" xfId="3559"/>
    <cellStyle name="PSInt 8 2" xfId="7189"/>
    <cellStyle name="PSInt 8 2 2" xfId="7190"/>
    <cellStyle name="PSInt 8 2 2 2" xfId="7191"/>
    <cellStyle name="PSInt 8 2 3" xfId="7192"/>
    <cellStyle name="PSInt 8 3" xfId="7193"/>
    <cellStyle name="PSInt 8 3 2" xfId="7194"/>
    <cellStyle name="PSInt 8 3 2 2" xfId="7195"/>
    <cellStyle name="PSInt 8 3 3" xfId="7196"/>
    <cellStyle name="PSInt 8 4" xfId="7197"/>
    <cellStyle name="PSInt 8 4 2" xfId="7198"/>
    <cellStyle name="PSInt 8 4 2 2" xfId="7199"/>
    <cellStyle name="PSInt 8 4 3" xfId="7200"/>
    <cellStyle name="PSInt 8 5" xfId="7201"/>
    <cellStyle name="PSInt 8 5 2" xfId="7202"/>
    <cellStyle name="PSInt 8 5 2 2" xfId="7203"/>
    <cellStyle name="PSInt 8 5 3" xfId="7204"/>
    <cellStyle name="PSInt 8 6" xfId="7205"/>
    <cellStyle name="PSInt 8 6 2" xfId="7206"/>
    <cellStyle name="PSInt 8 7" xfId="7207"/>
    <cellStyle name="PSInt 9" xfId="3560"/>
    <cellStyle name="PSInt 9 2" xfId="7208"/>
    <cellStyle name="PSInt 9 2 2" xfId="7209"/>
    <cellStyle name="PSInt 9 2 2 2" xfId="7210"/>
    <cellStyle name="PSInt 9 2 3" xfId="7211"/>
    <cellStyle name="PSInt 9 3" xfId="7212"/>
    <cellStyle name="PSInt 9 3 2" xfId="7213"/>
    <cellStyle name="PSInt 9 3 2 2" xfId="7214"/>
    <cellStyle name="PSInt 9 3 3" xfId="7215"/>
    <cellStyle name="PSInt 9 4" xfId="7216"/>
    <cellStyle name="PSInt 9 4 2" xfId="7217"/>
    <cellStyle name="PSInt 9 4 2 2" xfId="7218"/>
    <cellStyle name="PSInt 9 4 3" xfId="7219"/>
    <cellStyle name="PSInt 9 5" xfId="7220"/>
    <cellStyle name="PSInt 9 5 2" xfId="7221"/>
    <cellStyle name="PSInt 9 5 2 2" xfId="7222"/>
    <cellStyle name="PSInt 9 5 3" xfId="7223"/>
    <cellStyle name="PSInt 9 6" xfId="7224"/>
    <cellStyle name="PSInt 9 6 2" xfId="7225"/>
    <cellStyle name="PSInt 9 7" xfId="7226"/>
    <cellStyle name="PSSpacer" xfId="59"/>
    <cellStyle name="PSSpacer 10" xfId="3561"/>
    <cellStyle name="PSSpacer 10 2" xfId="7227"/>
    <cellStyle name="PSSpacer 10 2 2" xfId="7228"/>
    <cellStyle name="PSSpacer 10 2 2 2" xfId="7229"/>
    <cellStyle name="PSSpacer 10 2 3" xfId="7230"/>
    <cellStyle name="PSSpacer 10 3" xfId="7231"/>
    <cellStyle name="PSSpacer 10 3 2" xfId="7232"/>
    <cellStyle name="PSSpacer 10 3 2 2" xfId="7233"/>
    <cellStyle name="PSSpacer 10 3 3" xfId="7234"/>
    <cellStyle name="PSSpacer 10 4" xfId="7235"/>
    <cellStyle name="PSSpacer 10 4 2" xfId="7236"/>
    <cellStyle name="PSSpacer 10 4 2 2" xfId="7237"/>
    <cellStyle name="PSSpacer 10 4 3" xfId="7238"/>
    <cellStyle name="PSSpacer 10 5" xfId="7239"/>
    <cellStyle name="PSSpacer 10 5 2" xfId="7240"/>
    <cellStyle name="PSSpacer 10 5 2 2" xfId="7241"/>
    <cellStyle name="PSSpacer 10 5 3" xfId="7242"/>
    <cellStyle name="PSSpacer 10 6" xfId="7243"/>
    <cellStyle name="PSSpacer 10 6 2" xfId="7244"/>
    <cellStyle name="PSSpacer 10 7" xfId="7245"/>
    <cellStyle name="PSSpacer 11" xfId="3562"/>
    <cellStyle name="PSSpacer 11 2" xfId="7246"/>
    <cellStyle name="PSSpacer 11 2 2" xfId="7247"/>
    <cellStyle name="PSSpacer 11 2 2 2" xfId="7248"/>
    <cellStyle name="PSSpacer 11 2 3" xfId="7249"/>
    <cellStyle name="PSSpacer 11 3" xfId="7250"/>
    <cellStyle name="PSSpacer 11 3 2" xfId="7251"/>
    <cellStyle name="PSSpacer 11 3 2 2" xfId="7252"/>
    <cellStyle name="PSSpacer 11 3 3" xfId="7253"/>
    <cellStyle name="PSSpacer 11 4" xfId="7254"/>
    <cellStyle name="PSSpacer 11 4 2" xfId="7255"/>
    <cellStyle name="PSSpacer 11 4 2 2" xfId="7256"/>
    <cellStyle name="PSSpacer 11 4 3" xfId="7257"/>
    <cellStyle name="PSSpacer 11 5" xfId="7258"/>
    <cellStyle name="PSSpacer 11 5 2" xfId="7259"/>
    <cellStyle name="PSSpacer 11 5 2 2" xfId="7260"/>
    <cellStyle name="PSSpacer 11 5 3" xfId="7261"/>
    <cellStyle name="PSSpacer 11 6" xfId="7262"/>
    <cellStyle name="PSSpacer 11 6 2" xfId="7263"/>
    <cellStyle name="PSSpacer 11 7" xfId="7264"/>
    <cellStyle name="PSSpacer 12" xfId="3563"/>
    <cellStyle name="PSSpacer 12 2" xfId="7265"/>
    <cellStyle name="PSSpacer 12 2 2" xfId="7266"/>
    <cellStyle name="PSSpacer 12 2 2 2" xfId="7267"/>
    <cellStyle name="PSSpacer 12 2 3" xfId="7268"/>
    <cellStyle name="PSSpacer 12 3" xfId="7269"/>
    <cellStyle name="PSSpacer 12 3 2" xfId="7270"/>
    <cellStyle name="PSSpacer 12 3 2 2" xfId="7271"/>
    <cellStyle name="PSSpacer 12 3 3" xfId="7272"/>
    <cellStyle name="PSSpacer 12 4" xfId="7273"/>
    <cellStyle name="PSSpacer 12 4 2" xfId="7274"/>
    <cellStyle name="PSSpacer 12 4 2 2" xfId="7275"/>
    <cellStyle name="PSSpacer 12 4 3" xfId="7276"/>
    <cellStyle name="PSSpacer 12 5" xfId="7277"/>
    <cellStyle name="PSSpacer 12 5 2" xfId="7278"/>
    <cellStyle name="PSSpacer 12 5 2 2" xfId="7279"/>
    <cellStyle name="PSSpacer 12 5 3" xfId="7280"/>
    <cellStyle name="PSSpacer 12 6" xfId="7281"/>
    <cellStyle name="PSSpacer 12 6 2" xfId="7282"/>
    <cellStyle name="PSSpacer 12 7" xfId="7283"/>
    <cellStyle name="PSSpacer 13" xfId="7284"/>
    <cellStyle name="PSSpacer 13 2" xfId="7285"/>
    <cellStyle name="PSSpacer 13 2 2" xfId="7286"/>
    <cellStyle name="PSSpacer 13 2 2 2" xfId="7287"/>
    <cellStyle name="PSSpacer 13 2 3" xfId="7288"/>
    <cellStyle name="PSSpacer 13 3" xfId="7289"/>
    <cellStyle name="PSSpacer 13 3 2" xfId="7290"/>
    <cellStyle name="PSSpacer 13 3 2 2" xfId="7291"/>
    <cellStyle name="PSSpacer 13 3 3" xfId="7292"/>
    <cellStyle name="PSSpacer 13 4" xfId="7293"/>
    <cellStyle name="PSSpacer 13 4 2" xfId="7294"/>
    <cellStyle name="PSSpacer 13 4 2 2" xfId="7295"/>
    <cellStyle name="PSSpacer 13 4 3" xfId="7296"/>
    <cellStyle name="PSSpacer 13 5" xfId="7297"/>
    <cellStyle name="PSSpacer 13 5 2" xfId="7298"/>
    <cellStyle name="PSSpacer 13 5 2 2" xfId="7299"/>
    <cellStyle name="PSSpacer 13 5 3" xfId="7300"/>
    <cellStyle name="PSSpacer 13 6" xfId="7301"/>
    <cellStyle name="PSSpacer 13 6 2" xfId="7302"/>
    <cellStyle name="PSSpacer 13 7" xfId="7303"/>
    <cellStyle name="PSSpacer 14" xfId="7304"/>
    <cellStyle name="PSSpacer 14 2" xfId="7305"/>
    <cellStyle name="PSSpacer 14 2 2" xfId="7306"/>
    <cellStyle name="PSSpacer 14 2 2 2" xfId="7307"/>
    <cellStyle name="PSSpacer 14 2 3" xfId="7308"/>
    <cellStyle name="PSSpacer 14 3" xfId="7309"/>
    <cellStyle name="PSSpacer 14 3 2" xfId="7310"/>
    <cellStyle name="PSSpacer 14 3 2 2" xfId="7311"/>
    <cellStyle name="PSSpacer 14 3 3" xfId="7312"/>
    <cellStyle name="PSSpacer 14 4" xfId="7313"/>
    <cellStyle name="PSSpacer 14 4 2" xfId="7314"/>
    <cellStyle name="PSSpacer 14 4 2 2" xfId="7315"/>
    <cellStyle name="PSSpacer 14 4 3" xfId="7316"/>
    <cellStyle name="PSSpacer 14 5" xfId="7317"/>
    <cellStyle name="PSSpacer 14 5 2" xfId="7318"/>
    <cellStyle name="PSSpacer 14 5 2 2" xfId="7319"/>
    <cellStyle name="PSSpacer 14 5 3" xfId="7320"/>
    <cellStyle name="PSSpacer 14 6" xfId="7321"/>
    <cellStyle name="PSSpacer 14 6 2" xfId="7322"/>
    <cellStyle name="PSSpacer 14 7" xfId="7323"/>
    <cellStyle name="PSSpacer 15" xfId="7324"/>
    <cellStyle name="PSSpacer 15 2" xfId="7325"/>
    <cellStyle name="PSSpacer 15 2 2" xfId="7326"/>
    <cellStyle name="PSSpacer 15 2 2 2" xfId="7327"/>
    <cellStyle name="PSSpacer 15 2 3" xfId="7328"/>
    <cellStyle name="PSSpacer 15 3" xfId="7329"/>
    <cellStyle name="PSSpacer 15 3 2" xfId="7330"/>
    <cellStyle name="PSSpacer 15 3 2 2" xfId="7331"/>
    <cellStyle name="PSSpacer 15 3 3" xfId="7332"/>
    <cellStyle name="PSSpacer 15 4" xfId="7333"/>
    <cellStyle name="PSSpacer 15 4 2" xfId="7334"/>
    <cellStyle name="PSSpacer 15 4 2 2" xfId="7335"/>
    <cellStyle name="PSSpacer 15 4 3" xfId="7336"/>
    <cellStyle name="PSSpacer 15 5" xfId="7337"/>
    <cellStyle name="PSSpacer 15 5 2" xfId="7338"/>
    <cellStyle name="PSSpacer 15 5 2 2" xfId="7339"/>
    <cellStyle name="PSSpacer 15 5 3" xfId="7340"/>
    <cellStyle name="PSSpacer 15 6" xfId="7341"/>
    <cellStyle name="PSSpacer 15 6 2" xfId="7342"/>
    <cellStyle name="PSSpacer 15 7" xfId="7343"/>
    <cellStyle name="PSSpacer 16" xfId="7344"/>
    <cellStyle name="PSSpacer 2" xfId="3564"/>
    <cellStyle name="PSSpacer 2 10" xfId="7345"/>
    <cellStyle name="PSSpacer 2 10 2" xfId="7346"/>
    <cellStyle name="PSSpacer 2 11" xfId="7347"/>
    <cellStyle name="PSSpacer 2 2" xfId="3565"/>
    <cellStyle name="PSSpacer 2 2 2" xfId="7348"/>
    <cellStyle name="PSSpacer 2 2 2 2" xfId="7349"/>
    <cellStyle name="PSSpacer 2 2 3" xfId="7350"/>
    <cellStyle name="PSSpacer 2 3" xfId="7351"/>
    <cellStyle name="PSSpacer 2 3 2" xfId="7352"/>
    <cellStyle name="PSSpacer 2 3 2 2" xfId="7353"/>
    <cellStyle name="PSSpacer 2 3 3" xfId="7354"/>
    <cellStyle name="PSSpacer 2 4" xfId="7355"/>
    <cellStyle name="PSSpacer 2 4 2" xfId="7356"/>
    <cellStyle name="PSSpacer 2 4 2 2" xfId="7357"/>
    <cellStyle name="PSSpacer 2 4 3" xfId="7358"/>
    <cellStyle name="PSSpacer 2 5" xfId="7359"/>
    <cellStyle name="PSSpacer 2 5 2" xfId="7360"/>
    <cellStyle name="PSSpacer 2 5 2 2" xfId="7361"/>
    <cellStyle name="PSSpacer 2 5 3" xfId="7362"/>
    <cellStyle name="PSSpacer 2 6" xfId="7363"/>
    <cellStyle name="PSSpacer 2 6 2" xfId="7364"/>
    <cellStyle name="PSSpacer 2 6 2 2" xfId="7365"/>
    <cellStyle name="PSSpacer 2 6 3" xfId="7366"/>
    <cellStyle name="PSSpacer 2 7" xfId="7367"/>
    <cellStyle name="PSSpacer 2 7 2" xfId="7368"/>
    <cellStyle name="PSSpacer 2 7 2 2" xfId="7369"/>
    <cellStyle name="PSSpacer 2 7 3" xfId="7370"/>
    <cellStyle name="PSSpacer 2 8" xfId="7371"/>
    <cellStyle name="PSSpacer 2 8 2" xfId="7372"/>
    <cellStyle name="PSSpacer 2 8 2 2" xfId="7373"/>
    <cellStyle name="PSSpacer 2 8 3" xfId="7374"/>
    <cellStyle name="PSSpacer 2 9" xfId="7375"/>
    <cellStyle name="PSSpacer 2 9 2" xfId="7376"/>
    <cellStyle name="PSSpacer 2 9 2 2" xfId="7377"/>
    <cellStyle name="PSSpacer 2 9 3" xfId="7378"/>
    <cellStyle name="PSSpacer 3" xfId="3566"/>
    <cellStyle name="PSSpacer 3 10" xfId="7379"/>
    <cellStyle name="PSSpacer 3 10 2" xfId="7380"/>
    <cellStyle name="PSSpacer 3 11" xfId="7381"/>
    <cellStyle name="PSSpacer 3 2" xfId="7382"/>
    <cellStyle name="PSSpacer 3 2 2" xfId="7383"/>
    <cellStyle name="PSSpacer 3 2 2 2" xfId="7384"/>
    <cellStyle name="PSSpacer 3 2 3" xfId="7385"/>
    <cellStyle name="PSSpacer 3 3" xfId="7386"/>
    <cellStyle name="PSSpacer 3 3 2" xfId="7387"/>
    <cellStyle name="PSSpacer 3 3 2 2" xfId="7388"/>
    <cellStyle name="PSSpacer 3 3 3" xfId="7389"/>
    <cellStyle name="PSSpacer 3 4" xfId="7390"/>
    <cellStyle name="PSSpacer 3 4 2" xfId="7391"/>
    <cellStyle name="PSSpacer 3 4 2 2" xfId="7392"/>
    <cellStyle name="PSSpacer 3 4 3" xfId="7393"/>
    <cellStyle name="PSSpacer 3 5" xfId="7394"/>
    <cellStyle name="PSSpacer 3 5 2" xfId="7395"/>
    <cellStyle name="PSSpacer 3 5 2 2" xfId="7396"/>
    <cellStyle name="PSSpacer 3 5 3" xfId="7397"/>
    <cellStyle name="PSSpacer 3 6" xfId="7398"/>
    <cellStyle name="PSSpacer 3 6 2" xfId="7399"/>
    <cellStyle name="PSSpacer 3 6 2 2" xfId="7400"/>
    <cellStyle name="PSSpacer 3 6 3" xfId="7401"/>
    <cellStyle name="PSSpacer 3 7" xfId="7402"/>
    <cellStyle name="PSSpacer 3 7 2" xfId="7403"/>
    <cellStyle name="PSSpacer 3 7 2 2" xfId="7404"/>
    <cellStyle name="PSSpacer 3 7 3" xfId="7405"/>
    <cellStyle name="PSSpacer 3 8" xfId="7406"/>
    <cellStyle name="PSSpacer 3 8 2" xfId="7407"/>
    <cellStyle name="PSSpacer 3 8 2 2" xfId="7408"/>
    <cellStyle name="PSSpacer 3 8 3" xfId="7409"/>
    <cellStyle name="PSSpacer 3 9" xfId="7410"/>
    <cellStyle name="PSSpacer 3 9 2" xfId="7411"/>
    <cellStyle name="PSSpacer 3 9 2 2" xfId="7412"/>
    <cellStyle name="PSSpacer 3 9 3" xfId="7413"/>
    <cellStyle name="PSSpacer 4" xfId="3567"/>
    <cellStyle name="PSSpacer 4 10" xfId="7414"/>
    <cellStyle name="PSSpacer 4 10 2" xfId="7415"/>
    <cellStyle name="PSSpacer 4 11" xfId="7416"/>
    <cellStyle name="PSSpacer 4 2" xfId="7417"/>
    <cellStyle name="PSSpacer 4 2 2" xfId="7418"/>
    <cellStyle name="PSSpacer 4 2 2 2" xfId="7419"/>
    <cellStyle name="PSSpacer 4 2 3" xfId="7420"/>
    <cellStyle name="PSSpacer 4 3" xfId="7421"/>
    <cellStyle name="PSSpacer 4 3 2" xfId="7422"/>
    <cellStyle name="PSSpacer 4 3 2 2" xfId="7423"/>
    <cellStyle name="PSSpacer 4 3 3" xfId="7424"/>
    <cellStyle name="PSSpacer 4 4" xfId="7425"/>
    <cellStyle name="PSSpacer 4 4 2" xfId="7426"/>
    <cellStyle name="PSSpacer 4 4 2 2" xfId="7427"/>
    <cellStyle name="PSSpacer 4 4 3" xfId="7428"/>
    <cellStyle name="PSSpacer 4 5" xfId="7429"/>
    <cellStyle name="PSSpacer 4 5 2" xfId="7430"/>
    <cellStyle name="PSSpacer 4 5 2 2" xfId="7431"/>
    <cellStyle name="PSSpacer 4 5 3" xfId="7432"/>
    <cellStyle name="PSSpacer 4 6" xfId="7433"/>
    <cellStyle name="PSSpacer 4 6 2" xfId="7434"/>
    <cellStyle name="PSSpacer 4 6 2 2" xfId="7435"/>
    <cellStyle name="PSSpacer 4 6 3" xfId="7436"/>
    <cellStyle name="PSSpacer 4 7" xfId="7437"/>
    <cellStyle name="PSSpacer 4 7 2" xfId="7438"/>
    <cellStyle name="PSSpacer 4 7 2 2" xfId="7439"/>
    <cellStyle name="PSSpacer 4 7 3" xfId="7440"/>
    <cellStyle name="PSSpacer 4 8" xfId="7441"/>
    <cellStyle name="PSSpacer 4 8 2" xfId="7442"/>
    <cellStyle name="PSSpacer 4 8 2 2" xfId="7443"/>
    <cellStyle name="PSSpacer 4 8 3" xfId="7444"/>
    <cellStyle name="PSSpacer 4 9" xfId="7445"/>
    <cellStyle name="PSSpacer 4 9 2" xfId="7446"/>
    <cellStyle name="PSSpacer 4 9 2 2" xfId="7447"/>
    <cellStyle name="PSSpacer 4 9 3" xfId="7448"/>
    <cellStyle name="PSSpacer 5" xfId="3568"/>
    <cellStyle name="PSSpacer 5 10" xfId="7449"/>
    <cellStyle name="PSSpacer 5 10 2" xfId="7450"/>
    <cellStyle name="PSSpacer 5 11" xfId="7451"/>
    <cellStyle name="PSSpacer 5 2" xfId="7452"/>
    <cellStyle name="PSSpacer 5 2 2" xfId="7453"/>
    <cellStyle name="PSSpacer 5 2 2 2" xfId="7454"/>
    <cellStyle name="PSSpacer 5 2 3" xfId="7455"/>
    <cellStyle name="PSSpacer 5 3" xfId="7456"/>
    <cellStyle name="PSSpacer 5 3 2" xfId="7457"/>
    <cellStyle name="PSSpacer 5 3 2 2" xfId="7458"/>
    <cellStyle name="PSSpacer 5 3 3" xfId="7459"/>
    <cellStyle name="PSSpacer 5 4" xfId="7460"/>
    <cellStyle name="PSSpacer 5 4 2" xfId="7461"/>
    <cellStyle name="PSSpacer 5 4 2 2" xfId="7462"/>
    <cellStyle name="PSSpacer 5 4 3" xfId="7463"/>
    <cellStyle name="PSSpacer 5 5" xfId="7464"/>
    <cellStyle name="PSSpacer 5 5 2" xfId="7465"/>
    <cellStyle name="PSSpacer 5 5 2 2" xfId="7466"/>
    <cellStyle name="PSSpacer 5 5 3" xfId="7467"/>
    <cellStyle name="PSSpacer 5 6" xfId="7468"/>
    <cellStyle name="PSSpacer 5 6 2" xfId="7469"/>
    <cellStyle name="PSSpacer 5 6 2 2" xfId="7470"/>
    <cellStyle name="PSSpacer 5 6 3" xfId="7471"/>
    <cellStyle name="PSSpacer 5 7" xfId="7472"/>
    <cellStyle name="PSSpacer 5 7 2" xfId="7473"/>
    <cellStyle name="PSSpacer 5 7 2 2" xfId="7474"/>
    <cellStyle name="PSSpacer 5 7 3" xfId="7475"/>
    <cellStyle name="PSSpacer 5 8" xfId="7476"/>
    <cellStyle name="PSSpacer 5 8 2" xfId="7477"/>
    <cellStyle name="PSSpacer 5 8 2 2" xfId="7478"/>
    <cellStyle name="PSSpacer 5 8 3" xfId="7479"/>
    <cellStyle name="PSSpacer 5 9" xfId="7480"/>
    <cellStyle name="PSSpacer 5 9 2" xfId="7481"/>
    <cellStyle name="PSSpacer 5 9 2 2" xfId="7482"/>
    <cellStyle name="PSSpacer 5 9 3" xfId="7483"/>
    <cellStyle name="PSSpacer 6" xfId="3569"/>
    <cellStyle name="PSSpacer 6 10" xfId="7484"/>
    <cellStyle name="PSSpacer 6 10 2" xfId="7485"/>
    <cellStyle name="PSSpacer 6 11" xfId="7486"/>
    <cellStyle name="PSSpacer 6 2" xfId="7487"/>
    <cellStyle name="PSSpacer 6 2 2" xfId="7488"/>
    <cellStyle name="PSSpacer 6 2 2 2" xfId="7489"/>
    <cellStyle name="PSSpacer 6 2 3" xfId="7490"/>
    <cellStyle name="PSSpacer 6 3" xfId="7491"/>
    <cellStyle name="PSSpacer 6 3 2" xfId="7492"/>
    <cellStyle name="PSSpacer 6 3 2 2" xfId="7493"/>
    <cellStyle name="PSSpacer 6 3 3" xfId="7494"/>
    <cellStyle name="PSSpacer 6 4" xfId="7495"/>
    <cellStyle name="PSSpacer 6 4 2" xfId="7496"/>
    <cellStyle name="PSSpacer 6 4 2 2" xfId="7497"/>
    <cellStyle name="PSSpacer 6 4 3" xfId="7498"/>
    <cellStyle name="PSSpacer 6 5" xfId="7499"/>
    <cellStyle name="PSSpacer 6 5 2" xfId="7500"/>
    <cellStyle name="PSSpacer 6 5 2 2" xfId="7501"/>
    <cellStyle name="PSSpacer 6 5 3" xfId="7502"/>
    <cellStyle name="PSSpacer 6 6" xfId="7503"/>
    <cellStyle name="PSSpacer 6 6 2" xfId="7504"/>
    <cellStyle name="PSSpacer 6 6 2 2" xfId="7505"/>
    <cellStyle name="PSSpacer 6 6 3" xfId="7506"/>
    <cellStyle name="PSSpacer 6 7" xfId="7507"/>
    <cellStyle name="PSSpacer 6 7 2" xfId="7508"/>
    <cellStyle name="PSSpacer 6 7 2 2" xfId="7509"/>
    <cellStyle name="PSSpacer 6 7 3" xfId="7510"/>
    <cellStyle name="PSSpacer 6 8" xfId="7511"/>
    <cellStyle name="PSSpacer 6 8 2" xfId="7512"/>
    <cellStyle name="PSSpacer 6 8 2 2" xfId="7513"/>
    <cellStyle name="PSSpacer 6 8 3" xfId="7514"/>
    <cellStyle name="PSSpacer 6 9" xfId="7515"/>
    <cellStyle name="PSSpacer 6 9 2" xfId="7516"/>
    <cellStyle name="PSSpacer 6 9 2 2" xfId="7517"/>
    <cellStyle name="PSSpacer 6 9 3" xfId="7518"/>
    <cellStyle name="PSSpacer 7" xfId="3570"/>
    <cellStyle name="PSSpacer 7 2" xfId="7519"/>
    <cellStyle name="PSSpacer 7 2 2" xfId="7520"/>
    <cellStyle name="PSSpacer 7 2 2 2" xfId="7521"/>
    <cellStyle name="PSSpacer 7 2 3" xfId="7522"/>
    <cellStyle name="PSSpacer 7 3" xfId="7523"/>
    <cellStyle name="PSSpacer 7 3 2" xfId="7524"/>
    <cellStyle name="PSSpacer 7 3 2 2" xfId="7525"/>
    <cellStyle name="PSSpacer 7 3 3" xfId="7526"/>
    <cellStyle name="PSSpacer 7 4" xfId="7527"/>
    <cellStyle name="PSSpacer 7 4 2" xfId="7528"/>
    <cellStyle name="PSSpacer 7 4 2 2" xfId="7529"/>
    <cellStyle name="PSSpacer 7 4 3" xfId="7530"/>
    <cellStyle name="PSSpacer 7 5" xfId="7531"/>
    <cellStyle name="PSSpacer 7 5 2" xfId="7532"/>
    <cellStyle name="PSSpacer 7 5 2 2" xfId="7533"/>
    <cellStyle name="PSSpacer 7 5 3" xfId="7534"/>
    <cellStyle name="PSSpacer 7 6" xfId="7535"/>
    <cellStyle name="PSSpacer 7 6 2" xfId="7536"/>
    <cellStyle name="PSSpacer 7 7" xfId="7537"/>
    <cellStyle name="PSSpacer 8" xfId="3571"/>
    <cellStyle name="PSSpacer 8 2" xfId="7538"/>
    <cellStyle name="PSSpacer 8 2 2" xfId="7539"/>
    <cellStyle name="PSSpacer 8 2 2 2" xfId="7540"/>
    <cellStyle name="PSSpacer 8 2 3" xfId="7541"/>
    <cellStyle name="PSSpacer 8 3" xfId="7542"/>
    <cellStyle name="PSSpacer 8 3 2" xfId="7543"/>
    <cellStyle name="PSSpacer 8 3 2 2" xfId="7544"/>
    <cellStyle name="PSSpacer 8 3 3" xfId="7545"/>
    <cellStyle name="PSSpacer 8 4" xfId="7546"/>
    <cellStyle name="PSSpacer 8 4 2" xfId="7547"/>
    <cellStyle name="PSSpacer 8 4 2 2" xfId="7548"/>
    <cellStyle name="PSSpacer 8 4 3" xfId="7549"/>
    <cellStyle name="PSSpacer 8 5" xfId="7550"/>
    <cellStyle name="PSSpacer 8 5 2" xfId="7551"/>
    <cellStyle name="PSSpacer 8 5 2 2" xfId="7552"/>
    <cellStyle name="PSSpacer 8 5 3" xfId="7553"/>
    <cellStyle name="PSSpacer 8 6" xfId="7554"/>
    <cellStyle name="PSSpacer 8 6 2" xfId="7555"/>
    <cellStyle name="PSSpacer 8 7" xfId="7556"/>
    <cellStyle name="PSSpacer 9" xfId="3572"/>
    <cellStyle name="PSSpacer 9 2" xfId="7557"/>
    <cellStyle name="PSSpacer 9 2 2" xfId="7558"/>
    <cellStyle name="PSSpacer 9 2 2 2" xfId="7559"/>
    <cellStyle name="PSSpacer 9 2 3" xfId="7560"/>
    <cellStyle name="PSSpacer 9 3" xfId="7561"/>
    <cellStyle name="PSSpacer 9 3 2" xfId="7562"/>
    <cellStyle name="PSSpacer 9 3 2 2" xfId="7563"/>
    <cellStyle name="PSSpacer 9 3 3" xfId="7564"/>
    <cellStyle name="PSSpacer 9 4" xfId="7565"/>
    <cellStyle name="PSSpacer 9 4 2" xfId="7566"/>
    <cellStyle name="PSSpacer 9 4 2 2" xfId="7567"/>
    <cellStyle name="PSSpacer 9 4 3" xfId="7568"/>
    <cellStyle name="PSSpacer 9 5" xfId="7569"/>
    <cellStyle name="PSSpacer 9 5 2" xfId="7570"/>
    <cellStyle name="PSSpacer 9 5 2 2" xfId="7571"/>
    <cellStyle name="PSSpacer 9 5 3" xfId="7572"/>
    <cellStyle name="PSSpacer 9 6" xfId="7573"/>
    <cellStyle name="PSSpacer 9 6 2" xfId="7574"/>
    <cellStyle name="PSSpacer 9 7" xfId="7575"/>
    <cellStyle name="RangeBelow" xfId="3573"/>
    <cellStyle name="RangeBelow 10" xfId="7576"/>
    <cellStyle name="RangeBelow 10 2" xfId="7577"/>
    <cellStyle name="RangeBelow 10 2 2" xfId="7578"/>
    <cellStyle name="RangeBelow 10 2 2 2" xfId="7579"/>
    <cellStyle name="RangeBelow 10 2 3" xfId="7580"/>
    <cellStyle name="RangeBelow 10 3" xfId="7581"/>
    <cellStyle name="RangeBelow 10 3 2" xfId="7582"/>
    <cellStyle name="RangeBelow 10 3 2 2" xfId="7583"/>
    <cellStyle name="RangeBelow 10 3 3" xfId="7584"/>
    <cellStyle name="RangeBelow 10 4" xfId="7585"/>
    <cellStyle name="RangeBelow 10 4 2" xfId="7586"/>
    <cellStyle name="RangeBelow 10 4 2 2" xfId="7587"/>
    <cellStyle name="RangeBelow 10 4 3" xfId="7588"/>
    <cellStyle name="RangeBelow 10 5" xfId="7589"/>
    <cellStyle name="RangeBelow 10 5 2" xfId="7590"/>
    <cellStyle name="RangeBelow 10 5 2 2" xfId="7591"/>
    <cellStyle name="RangeBelow 10 5 3" xfId="7592"/>
    <cellStyle name="RangeBelow 10 6" xfId="7593"/>
    <cellStyle name="RangeBelow 10 6 2" xfId="7594"/>
    <cellStyle name="RangeBelow 10 7" xfId="7595"/>
    <cellStyle name="RangeBelow 11" xfId="7596"/>
    <cellStyle name="RangeBelow 11 2" xfId="7597"/>
    <cellStyle name="RangeBelow 11 2 2" xfId="7598"/>
    <cellStyle name="RangeBelow 11 2 2 2" xfId="7599"/>
    <cellStyle name="RangeBelow 11 2 3" xfId="7600"/>
    <cellStyle name="RangeBelow 11 3" xfId="7601"/>
    <cellStyle name="RangeBelow 11 3 2" xfId="7602"/>
    <cellStyle name="RangeBelow 11 3 2 2" xfId="7603"/>
    <cellStyle name="RangeBelow 11 3 3" xfId="7604"/>
    <cellStyle name="RangeBelow 11 4" xfId="7605"/>
    <cellStyle name="RangeBelow 11 4 2" xfId="7606"/>
    <cellStyle name="RangeBelow 11 4 2 2" xfId="7607"/>
    <cellStyle name="RangeBelow 11 4 3" xfId="7608"/>
    <cellStyle name="RangeBelow 11 5" xfId="7609"/>
    <cellStyle name="RangeBelow 11 5 2" xfId="7610"/>
    <cellStyle name="RangeBelow 11 5 2 2" xfId="7611"/>
    <cellStyle name="RangeBelow 11 5 3" xfId="7612"/>
    <cellStyle name="RangeBelow 11 6" xfId="7613"/>
    <cellStyle name="RangeBelow 11 6 2" xfId="7614"/>
    <cellStyle name="RangeBelow 11 7" xfId="7615"/>
    <cellStyle name="RangeBelow 12" xfId="7616"/>
    <cellStyle name="RangeBelow 12 2" xfId="7617"/>
    <cellStyle name="RangeBelow 12 2 2" xfId="7618"/>
    <cellStyle name="RangeBelow 12 2 2 2" xfId="7619"/>
    <cellStyle name="RangeBelow 12 2 3" xfId="7620"/>
    <cellStyle name="RangeBelow 12 3" xfId="7621"/>
    <cellStyle name="RangeBelow 12 3 2" xfId="7622"/>
    <cellStyle name="RangeBelow 12 3 2 2" xfId="7623"/>
    <cellStyle name="RangeBelow 12 3 3" xfId="7624"/>
    <cellStyle name="RangeBelow 12 4" xfId="7625"/>
    <cellStyle name="RangeBelow 12 4 2" xfId="7626"/>
    <cellStyle name="RangeBelow 12 4 2 2" xfId="7627"/>
    <cellStyle name="RangeBelow 12 4 3" xfId="7628"/>
    <cellStyle name="RangeBelow 12 5" xfId="7629"/>
    <cellStyle name="RangeBelow 12 5 2" xfId="7630"/>
    <cellStyle name="RangeBelow 12 5 2 2" xfId="7631"/>
    <cellStyle name="RangeBelow 12 5 3" xfId="7632"/>
    <cellStyle name="RangeBelow 12 6" xfId="7633"/>
    <cellStyle name="RangeBelow 12 6 2" xfId="7634"/>
    <cellStyle name="RangeBelow 12 7" xfId="7635"/>
    <cellStyle name="RangeBelow 13" xfId="7636"/>
    <cellStyle name="RangeBelow 13 2" xfId="7637"/>
    <cellStyle name="RangeBelow 13 2 2" xfId="7638"/>
    <cellStyle name="RangeBelow 13 2 2 2" xfId="7639"/>
    <cellStyle name="RangeBelow 13 2 3" xfId="7640"/>
    <cellStyle name="RangeBelow 13 3" xfId="7641"/>
    <cellStyle name="RangeBelow 13 3 2" xfId="7642"/>
    <cellStyle name="RangeBelow 13 3 2 2" xfId="7643"/>
    <cellStyle name="RangeBelow 13 3 3" xfId="7644"/>
    <cellStyle name="RangeBelow 13 4" xfId="7645"/>
    <cellStyle name="RangeBelow 13 4 2" xfId="7646"/>
    <cellStyle name="RangeBelow 13 4 2 2" xfId="7647"/>
    <cellStyle name="RangeBelow 13 4 3" xfId="7648"/>
    <cellStyle name="RangeBelow 13 5" xfId="7649"/>
    <cellStyle name="RangeBelow 13 5 2" xfId="7650"/>
    <cellStyle name="RangeBelow 13 5 2 2" xfId="7651"/>
    <cellStyle name="RangeBelow 13 5 3" xfId="7652"/>
    <cellStyle name="RangeBelow 13 6" xfId="7653"/>
    <cellStyle name="RangeBelow 13 6 2" xfId="7654"/>
    <cellStyle name="RangeBelow 13 7" xfId="7655"/>
    <cellStyle name="RangeBelow 14" xfId="7656"/>
    <cellStyle name="RangeBelow 14 2" xfId="7657"/>
    <cellStyle name="RangeBelow 14 2 2" xfId="7658"/>
    <cellStyle name="RangeBelow 14 2 2 2" xfId="7659"/>
    <cellStyle name="RangeBelow 14 2 3" xfId="7660"/>
    <cellStyle name="RangeBelow 14 3" xfId="7661"/>
    <cellStyle name="RangeBelow 14 3 2" xfId="7662"/>
    <cellStyle name="RangeBelow 14 3 2 2" xfId="7663"/>
    <cellStyle name="RangeBelow 14 3 3" xfId="7664"/>
    <cellStyle name="RangeBelow 14 4" xfId="7665"/>
    <cellStyle name="RangeBelow 14 4 2" xfId="7666"/>
    <cellStyle name="RangeBelow 14 4 2 2" xfId="7667"/>
    <cellStyle name="RangeBelow 14 4 3" xfId="7668"/>
    <cellStyle name="RangeBelow 14 5" xfId="7669"/>
    <cellStyle name="RangeBelow 14 5 2" xfId="7670"/>
    <cellStyle name="RangeBelow 14 5 2 2" xfId="7671"/>
    <cellStyle name="RangeBelow 14 5 3" xfId="7672"/>
    <cellStyle name="RangeBelow 14 6" xfId="7673"/>
    <cellStyle name="RangeBelow 14 6 2" xfId="7674"/>
    <cellStyle name="RangeBelow 14 7" xfId="7675"/>
    <cellStyle name="RangeBelow 15" xfId="7676"/>
    <cellStyle name="RangeBelow 15 2" xfId="7677"/>
    <cellStyle name="RangeBelow 15 2 2" xfId="7678"/>
    <cellStyle name="RangeBelow 15 2 2 2" xfId="7679"/>
    <cellStyle name="RangeBelow 15 2 3" xfId="7680"/>
    <cellStyle name="RangeBelow 15 3" xfId="7681"/>
    <cellStyle name="RangeBelow 15 3 2" xfId="7682"/>
    <cellStyle name="RangeBelow 15 3 2 2" xfId="7683"/>
    <cellStyle name="RangeBelow 15 3 3" xfId="7684"/>
    <cellStyle name="RangeBelow 15 4" xfId="7685"/>
    <cellStyle name="RangeBelow 15 4 2" xfId="7686"/>
    <cellStyle name="RangeBelow 15 4 2 2" xfId="7687"/>
    <cellStyle name="RangeBelow 15 4 3" xfId="7688"/>
    <cellStyle name="RangeBelow 15 5" xfId="7689"/>
    <cellStyle name="RangeBelow 15 5 2" xfId="7690"/>
    <cellStyle name="RangeBelow 15 5 2 2" xfId="7691"/>
    <cellStyle name="RangeBelow 15 5 3" xfId="7692"/>
    <cellStyle name="RangeBelow 15 6" xfId="7693"/>
    <cellStyle name="RangeBelow 15 6 2" xfId="7694"/>
    <cellStyle name="RangeBelow 15 7" xfId="7695"/>
    <cellStyle name="RangeBelow 16" xfId="7696"/>
    <cellStyle name="RangeBelow 2" xfId="3574"/>
    <cellStyle name="RangeBelow 2 10" xfId="7697"/>
    <cellStyle name="RangeBelow 2 10 2" xfId="7698"/>
    <cellStyle name="RangeBelow 2 11" xfId="7699"/>
    <cellStyle name="RangeBelow 2 2" xfId="3575"/>
    <cellStyle name="RangeBelow 2 2 2" xfId="7700"/>
    <cellStyle name="RangeBelow 2 2 2 2" xfId="7701"/>
    <cellStyle name="RangeBelow 2 2 3" xfId="7702"/>
    <cellStyle name="RangeBelow 2 3" xfId="7703"/>
    <cellStyle name="RangeBelow 2 3 2" xfId="7704"/>
    <cellStyle name="RangeBelow 2 3 2 2" xfId="7705"/>
    <cellStyle name="RangeBelow 2 3 3" xfId="7706"/>
    <cellStyle name="RangeBelow 2 4" xfId="7707"/>
    <cellStyle name="RangeBelow 2 4 2" xfId="7708"/>
    <cellStyle name="RangeBelow 2 4 2 2" xfId="7709"/>
    <cellStyle name="RangeBelow 2 4 3" xfId="7710"/>
    <cellStyle name="RangeBelow 2 5" xfId="7711"/>
    <cellStyle name="RangeBelow 2 5 2" xfId="7712"/>
    <cellStyle name="RangeBelow 2 5 2 2" xfId="7713"/>
    <cellStyle name="RangeBelow 2 5 3" xfId="7714"/>
    <cellStyle name="RangeBelow 2 6" xfId="7715"/>
    <cellStyle name="RangeBelow 2 6 2" xfId="7716"/>
    <cellStyle name="RangeBelow 2 6 2 2" xfId="7717"/>
    <cellStyle name="RangeBelow 2 6 3" xfId="7718"/>
    <cellStyle name="RangeBelow 2 7" xfId="7719"/>
    <cellStyle name="RangeBelow 2 7 2" xfId="7720"/>
    <cellStyle name="RangeBelow 2 7 2 2" xfId="7721"/>
    <cellStyle name="RangeBelow 2 7 3" xfId="7722"/>
    <cellStyle name="RangeBelow 2 8" xfId="7723"/>
    <cellStyle name="RangeBelow 2 8 2" xfId="7724"/>
    <cellStyle name="RangeBelow 2 8 2 2" xfId="7725"/>
    <cellStyle name="RangeBelow 2 8 3" xfId="7726"/>
    <cellStyle name="RangeBelow 2 9" xfId="7727"/>
    <cellStyle name="RangeBelow 2 9 2" xfId="7728"/>
    <cellStyle name="RangeBelow 2 9 2 2" xfId="7729"/>
    <cellStyle name="RangeBelow 2 9 3" xfId="7730"/>
    <cellStyle name="RangeBelow 3" xfId="3576"/>
    <cellStyle name="RangeBelow 3 10" xfId="7731"/>
    <cellStyle name="RangeBelow 3 10 2" xfId="7732"/>
    <cellStyle name="RangeBelow 3 11" xfId="7733"/>
    <cellStyle name="RangeBelow 3 2" xfId="7734"/>
    <cellStyle name="RangeBelow 3 2 2" xfId="7735"/>
    <cellStyle name="RangeBelow 3 2 2 2" xfId="7736"/>
    <cellStyle name="RangeBelow 3 2 3" xfId="7737"/>
    <cellStyle name="RangeBelow 3 3" xfId="7738"/>
    <cellStyle name="RangeBelow 3 3 2" xfId="7739"/>
    <cellStyle name="RangeBelow 3 3 2 2" xfId="7740"/>
    <cellStyle name="RangeBelow 3 3 3" xfId="7741"/>
    <cellStyle name="RangeBelow 3 4" xfId="7742"/>
    <cellStyle name="RangeBelow 3 4 2" xfId="7743"/>
    <cellStyle name="RangeBelow 3 4 2 2" xfId="7744"/>
    <cellStyle name="RangeBelow 3 4 3" xfId="7745"/>
    <cellStyle name="RangeBelow 3 5" xfId="7746"/>
    <cellStyle name="RangeBelow 3 5 2" xfId="7747"/>
    <cellStyle name="RangeBelow 3 5 2 2" xfId="7748"/>
    <cellStyle name="RangeBelow 3 5 3" xfId="7749"/>
    <cellStyle name="RangeBelow 3 6" xfId="7750"/>
    <cellStyle name="RangeBelow 3 6 2" xfId="7751"/>
    <cellStyle name="RangeBelow 3 6 2 2" xfId="7752"/>
    <cellStyle name="RangeBelow 3 6 3" xfId="7753"/>
    <cellStyle name="RangeBelow 3 7" xfId="7754"/>
    <cellStyle name="RangeBelow 3 7 2" xfId="7755"/>
    <cellStyle name="RangeBelow 3 7 2 2" xfId="7756"/>
    <cellStyle name="RangeBelow 3 7 3" xfId="7757"/>
    <cellStyle name="RangeBelow 3 8" xfId="7758"/>
    <cellStyle name="RangeBelow 3 8 2" xfId="7759"/>
    <cellStyle name="RangeBelow 3 8 2 2" xfId="7760"/>
    <cellStyle name="RangeBelow 3 8 3" xfId="7761"/>
    <cellStyle name="RangeBelow 3 9" xfId="7762"/>
    <cellStyle name="RangeBelow 3 9 2" xfId="7763"/>
    <cellStyle name="RangeBelow 3 9 2 2" xfId="7764"/>
    <cellStyle name="RangeBelow 3 9 3" xfId="7765"/>
    <cellStyle name="RangeBelow 4" xfId="7766"/>
    <cellStyle name="RangeBelow 4 10" xfId="7767"/>
    <cellStyle name="RangeBelow 4 10 2" xfId="7768"/>
    <cellStyle name="RangeBelow 4 11" xfId="7769"/>
    <cellStyle name="RangeBelow 4 2" xfId="7770"/>
    <cellStyle name="RangeBelow 4 2 2" xfId="7771"/>
    <cellStyle name="RangeBelow 4 2 2 2" xfId="7772"/>
    <cellStyle name="RangeBelow 4 2 3" xfId="7773"/>
    <cellStyle name="RangeBelow 4 3" xfId="7774"/>
    <cellStyle name="RangeBelow 4 3 2" xfId="7775"/>
    <cellStyle name="RangeBelow 4 3 2 2" xfId="7776"/>
    <cellStyle name="RangeBelow 4 3 3" xfId="7777"/>
    <cellStyle name="RangeBelow 4 4" xfId="7778"/>
    <cellStyle name="RangeBelow 4 4 2" xfId="7779"/>
    <cellStyle name="RangeBelow 4 4 2 2" xfId="7780"/>
    <cellStyle name="RangeBelow 4 4 3" xfId="7781"/>
    <cellStyle name="RangeBelow 4 5" xfId="7782"/>
    <cellStyle name="RangeBelow 4 5 2" xfId="7783"/>
    <cellStyle name="RangeBelow 4 5 2 2" xfId="7784"/>
    <cellStyle name="RangeBelow 4 5 3" xfId="7785"/>
    <cellStyle name="RangeBelow 4 6" xfId="7786"/>
    <cellStyle name="RangeBelow 4 6 2" xfId="7787"/>
    <cellStyle name="RangeBelow 4 6 2 2" xfId="7788"/>
    <cellStyle name="RangeBelow 4 6 3" xfId="7789"/>
    <cellStyle name="RangeBelow 4 7" xfId="7790"/>
    <cellStyle name="RangeBelow 4 7 2" xfId="7791"/>
    <cellStyle name="RangeBelow 4 7 2 2" xfId="7792"/>
    <cellStyle name="RangeBelow 4 7 3" xfId="7793"/>
    <cellStyle name="RangeBelow 4 8" xfId="7794"/>
    <cellStyle name="RangeBelow 4 8 2" xfId="7795"/>
    <cellStyle name="RangeBelow 4 8 2 2" xfId="7796"/>
    <cellStyle name="RangeBelow 4 8 3" xfId="7797"/>
    <cellStyle name="RangeBelow 4 9" xfId="7798"/>
    <cellStyle name="RangeBelow 4 9 2" xfId="7799"/>
    <cellStyle name="RangeBelow 4 9 2 2" xfId="7800"/>
    <cellStyle name="RangeBelow 4 9 3" xfId="7801"/>
    <cellStyle name="RangeBelow 5" xfId="7802"/>
    <cellStyle name="RangeBelow 5 10" xfId="7803"/>
    <cellStyle name="RangeBelow 5 10 2" xfId="7804"/>
    <cellStyle name="RangeBelow 5 11" xfId="7805"/>
    <cellStyle name="RangeBelow 5 2" xfId="7806"/>
    <cellStyle name="RangeBelow 5 2 2" xfId="7807"/>
    <cellStyle name="RangeBelow 5 2 2 2" xfId="7808"/>
    <cellStyle name="RangeBelow 5 2 3" xfId="7809"/>
    <cellStyle name="RangeBelow 5 3" xfId="7810"/>
    <cellStyle name="RangeBelow 5 3 2" xfId="7811"/>
    <cellStyle name="RangeBelow 5 3 2 2" xfId="7812"/>
    <cellStyle name="RangeBelow 5 3 3" xfId="7813"/>
    <cellStyle name="RangeBelow 5 4" xfId="7814"/>
    <cellStyle name="RangeBelow 5 4 2" xfId="7815"/>
    <cellStyle name="RangeBelow 5 4 2 2" xfId="7816"/>
    <cellStyle name="RangeBelow 5 4 3" xfId="7817"/>
    <cellStyle name="RangeBelow 5 5" xfId="7818"/>
    <cellStyle name="RangeBelow 5 5 2" xfId="7819"/>
    <cellStyle name="RangeBelow 5 5 2 2" xfId="7820"/>
    <cellStyle name="RangeBelow 5 5 3" xfId="7821"/>
    <cellStyle name="RangeBelow 5 6" xfId="7822"/>
    <cellStyle name="RangeBelow 5 6 2" xfId="7823"/>
    <cellStyle name="RangeBelow 5 6 2 2" xfId="7824"/>
    <cellStyle name="RangeBelow 5 6 3" xfId="7825"/>
    <cellStyle name="RangeBelow 5 7" xfId="7826"/>
    <cellStyle name="RangeBelow 5 7 2" xfId="7827"/>
    <cellStyle name="RangeBelow 5 7 2 2" xfId="7828"/>
    <cellStyle name="RangeBelow 5 7 3" xfId="7829"/>
    <cellStyle name="RangeBelow 5 8" xfId="7830"/>
    <cellStyle name="RangeBelow 5 8 2" xfId="7831"/>
    <cellStyle name="RangeBelow 5 8 2 2" xfId="7832"/>
    <cellStyle name="RangeBelow 5 8 3" xfId="7833"/>
    <cellStyle name="RangeBelow 5 9" xfId="7834"/>
    <cellStyle name="RangeBelow 5 9 2" xfId="7835"/>
    <cellStyle name="RangeBelow 5 9 2 2" xfId="7836"/>
    <cellStyle name="RangeBelow 5 9 3" xfId="7837"/>
    <cellStyle name="RangeBelow 6" xfId="7838"/>
    <cellStyle name="RangeBelow 6 10" xfId="7839"/>
    <cellStyle name="RangeBelow 6 10 2" xfId="7840"/>
    <cellStyle name="RangeBelow 6 11" xfId="7841"/>
    <cellStyle name="RangeBelow 6 2" xfId="7842"/>
    <cellStyle name="RangeBelow 6 2 2" xfId="7843"/>
    <cellStyle name="RangeBelow 6 2 2 2" xfId="7844"/>
    <cellStyle name="RangeBelow 6 2 3" xfId="7845"/>
    <cellStyle name="RangeBelow 6 3" xfId="7846"/>
    <cellStyle name="RangeBelow 6 3 2" xfId="7847"/>
    <cellStyle name="RangeBelow 6 3 2 2" xfId="7848"/>
    <cellStyle name="RangeBelow 6 3 3" xfId="7849"/>
    <cellStyle name="RangeBelow 6 4" xfId="7850"/>
    <cellStyle name="RangeBelow 6 4 2" xfId="7851"/>
    <cellStyle name="RangeBelow 6 4 2 2" xfId="7852"/>
    <cellStyle name="RangeBelow 6 4 3" xfId="7853"/>
    <cellStyle name="RangeBelow 6 5" xfId="7854"/>
    <cellStyle name="RangeBelow 6 5 2" xfId="7855"/>
    <cellStyle name="RangeBelow 6 5 2 2" xfId="7856"/>
    <cellStyle name="RangeBelow 6 5 3" xfId="7857"/>
    <cellStyle name="RangeBelow 6 6" xfId="7858"/>
    <cellStyle name="RangeBelow 6 6 2" xfId="7859"/>
    <cellStyle name="RangeBelow 6 6 2 2" xfId="7860"/>
    <cellStyle name="RangeBelow 6 6 3" xfId="7861"/>
    <cellStyle name="RangeBelow 6 7" xfId="7862"/>
    <cellStyle name="RangeBelow 6 7 2" xfId="7863"/>
    <cellStyle name="RangeBelow 6 7 2 2" xfId="7864"/>
    <cellStyle name="RangeBelow 6 7 3" xfId="7865"/>
    <cellStyle name="RangeBelow 6 8" xfId="7866"/>
    <cellStyle name="RangeBelow 6 8 2" xfId="7867"/>
    <cellStyle name="RangeBelow 6 8 2 2" xfId="7868"/>
    <cellStyle name="RangeBelow 6 8 3" xfId="7869"/>
    <cellStyle name="RangeBelow 6 9" xfId="7870"/>
    <cellStyle name="RangeBelow 6 9 2" xfId="7871"/>
    <cellStyle name="RangeBelow 6 9 2 2" xfId="7872"/>
    <cellStyle name="RangeBelow 6 9 3" xfId="7873"/>
    <cellStyle name="RangeBelow 7" xfId="7874"/>
    <cellStyle name="RangeBelow 7 2" xfId="7875"/>
    <cellStyle name="RangeBelow 7 2 2" xfId="7876"/>
    <cellStyle name="RangeBelow 7 2 2 2" xfId="7877"/>
    <cellStyle name="RangeBelow 7 2 3" xfId="7878"/>
    <cellStyle name="RangeBelow 7 3" xfId="7879"/>
    <cellStyle name="RangeBelow 7 3 2" xfId="7880"/>
    <cellStyle name="RangeBelow 7 3 2 2" xfId="7881"/>
    <cellStyle name="RangeBelow 7 3 3" xfId="7882"/>
    <cellStyle name="RangeBelow 7 4" xfId="7883"/>
    <cellStyle name="RangeBelow 7 4 2" xfId="7884"/>
    <cellStyle name="RangeBelow 7 4 2 2" xfId="7885"/>
    <cellStyle name="RangeBelow 7 4 3" xfId="7886"/>
    <cellStyle name="RangeBelow 7 5" xfId="7887"/>
    <cellStyle name="RangeBelow 7 5 2" xfId="7888"/>
    <cellStyle name="RangeBelow 7 5 2 2" xfId="7889"/>
    <cellStyle name="RangeBelow 7 5 3" xfId="7890"/>
    <cellStyle name="RangeBelow 7 6" xfId="7891"/>
    <cellStyle name="RangeBelow 7 6 2" xfId="7892"/>
    <cellStyle name="RangeBelow 7 7" xfId="7893"/>
    <cellStyle name="RangeBelow 8" xfId="7894"/>
    <cellStyle name="RangeBelow 8 2" xfId="7895"/>
    <cellStyle name="RangeBelow 8 2 2" xfId="7896"/>
    <cellStyle name="RangeBelow 8 2 2 2" xfId="7897"/>
    <cellStyle name="RangeBelow 8 2 3" xfId="7898"/>
    <cellStyle name="RangeBelow 8 3" xfId="7899"/>
    <cellStyle name="RangeBelow 8 3 2" xfId="7900"/>
    <cellStyle name="RangeBelow 8 3 2 2" xfId="7901"/>
    <cellStyle name="RangeBelow 8 3 3" xfId="7902"/>
    <cellStyle name="RangeBelow 8 4" xfId="7903"/>
    <cellStyle name="RangeBelow 8 4 2" xfId="7904"/>
    <cellStyle name="RangeBelow 8 4 2 2" xfId="7905"/>
    <cellStyle name="RangeBelow 8 4 3" xfId="7906"/>
    <cellStyle name="RangeBelow 8 5" xfId="7907"/>
    <cellStyle name="RangeBelow 8 5 2" xfId="7908"/>
    <cellStyle name="RangeBelow 8 5 2 2" xfId="7909"/>
    <cellStyle name="RangeBelow 8 5 3" xfId="7910"/>
    <cellStyle name="RangeBelow 8 6" xfId="7911"/>
    <cellStyle name="RangeBelow 8 6 2" xfId="7912"/>
    <cellStyle name="RangeBelow 8 7" xfId="7913"/>
    <cellStyle name="RangeBelow 9" xfId="7914"/>
    <cellStyle name="RangeBelow 9 2" xfId="7915"/>
    <cellStyle name="RangeBelow 9 2 2" xfId="7916"/>
    <cellStyle name="RangeBelow 9 2 2 2" xfId="7917"/>
    <cellStyle name="RangeBelow 9 2 3" xfId="7918"/>
    <cellStyle name="RangeBelow 9 3" xfId="7919"/>
    <cellStyle name="RangeBelow 9 3 2" xfId="7920"/>
    <cellStyle name="RangeBelow 9 3 2 2" xfId="7921"/>
    <cellStyle name="RangeBelow 9 3 3" xfId="7922"/>
    <cellStyle name="RangeBelow 9 4" xfId="7923"/>
    <cellStyle name="RangeBelow 9 4 2" xfId="7924"/>
    <cellStyle name="RangeBelow 9 4 2 2" xfId="7925"/>
    <cellStyle name="RangeBelow 9 4 3" xfId="7926"/>
    <cellStyle name="RangeBelow 9 5" xfId="7927"/>
    <cellStyle name="RangeBelow 9 5 2" xfId="7928"/>
    <cellStyle name="RangeBelow 9 5 2 2" xfId="7929"/>
    <cellStyle name="RangeBelow 9 5 3" xfId="7930"/>
    <cellStyle name="RangeBelow 9 6" xfId="7931"/>
    <cellStyle name="RangeBelow 9 6 2" xfId="7932"/>
    <cellStyle name="RangeBelow 9 7" xfId="7933"/>
    <cellStyle name="RangeBelow_11-03.1 Pepco" xfId="3577"/>
    <cellStyle name="ROW #'S" xfId="3578"/>
    <cellStyle name="RowLevel_1 2" xfId="7934"/>
    <cellStyle name="SAPBEXaggData" xfId="3579"/>
    <cellStyle name="SAPBEXaggDataEmph" xfId="3580"/>
    <cellStyle name="SAPBEXaggItem" xfId="3581"/>
    <cellStyle name="SAPBEXaggItemX" xfId="3582"/>
    <cellStyle name="SAPBEXchaText" xfId="3583"/>
    <cellStyle name="SAPBEXchaText 2" xfId="3584"/>
    <cellStyle name="SAPBEXchaText 2 2" xfId="3585"/>
    <cellStyle name="SAPBEXchaText 2 2 2" xfId="3586"/>
    <cellStyle name="SAPBEXchaText 2 3" xfId="3587"/>
    <cellStyle name="SAPBEXchaText 3" xfId="3588"/>
    <cellStyle name="SAPBEXexcBad7" xfId="3589"/>
    <cellStyle name="SAPBEXexcBad8" xfId="3590"/>
    <cellStyle name="SAPBEXexcBad9" xfId="3591"/>
    <cellStyle name="SAPBEXexcCritical4" xfId="3592"/>
    <cellStyle name="SAPBEXexcCritical5" xfId="3593"/>
    <cellStyle name="SAPBEXexcCritical6" xfId="3594"/>
    <cellStyle name="SAPBEXexcGood1" xfId="3595"/>
    <cellStyle name="SAPBEXexcGood2" xfId="3596"/>
    <cellStyle name="SAPBEXexcGood3" xfId="3597"/>
    <cellStyle name="SAPBEXfilterDrill" xfId="3598"/>
    <cellStyle name="SAPBEXfilterItem" xfId="3599"/>
    <cellStyle name="SAPBEXfilterText" xfId="3600"/>
    <cellStyle name="SAPBEXfilterText 2" xfId="3601"/>
    <cellStyle name="SAPBEXformats" xfId="3602"/>
    <cellStyle name="SAPBEXformats 2" xfId="3603"/>
    <cellStyle name="SAPBEXformats 2 2" xfId="3604"/>
    <cellStyle name="SAPBEXformats 2 2 2" xfId="3605"/>
    <cellStyle name="SAPBEXformats 2 3" xfId="3606"/>
    <cellStyle name="SAPBEXformats 3" xfId="3607"/>
    <cellStyle name="SAPBEXheaderItem" xfId="3608"/>
    <cellStyle name="SAPBEXheaderItem 2" xfId="3609"/>
    <cellStyle name="SAPBEXheaderItem 3" xfId="3610"/>
    <cellStyle name="SAPBEXheaderItem 4" xfId="3611"/>
    <cellStyle name="SAPBEXheaderText" xfId="3612"/>
    <cellStyle name="SAPBEXheaderText 2" xfId="3613"/>
    <cellStyle name="SAPBEXheaderText 3" xfId="3614"/>
    <cellStyle name="SAPBEXheaderText 4" xfId="3615"/>
    <cellStyle name="SAPBEXHLevel0" xfId="3616"/>
    <cellStyle name="SAPBEXHLevel0 2" xfId="3617"/>
    <cellStyle name="SAPBEXHLevel0 2 2" xfId="3618"/>
    <cellStyle name="SAPBEXHLevel0 2 2 2" xfId="3619"/>
    <cellStyle name="SAPBEXHLevel0 2 3" xfId="3620"/>
    <cellStyle name="SAPBEXHLevel0 3" xfId="3621"/>
    <cellStyle name="SAPBEXHLevel0X" xfId="3622"/>
    <cellStyle name="SAPBEXHLevel0X 2" xfId="3623"/>
    <cellStyle name="SAPBEXHLevel0X 2 2" xfId="3624"/>
    <cellStyle name="SAPBEXHLevel0X 2 2 2" xfId="3625"/>
    <cellStyle name="SAPBEXHLevel0X 2 3" xfId="3626"/>
    <cellStyle name="SAPBEXHLevel0X 3" xfId="3627"/>
    <cellStyle name="SAPBEXHLevel1" xfId="3628"/>
    <cellStyle name="SAPBEXHLevel1 2" xfId="3629"/>
    <cellStyle name="SAPBEXHLevel1 2 2" xfId="3630"/>
    <cellStyle name="SAPBEXHLevel1 2 2 2" xfId="3631"/>
    <cellStyle name="SAPBEXHLevel1 2 3" xfId="3632"/>
    <cellStyle name="SAPBEXHLevel1 3" xfId="3633"/>
    <cellStyle name="SAPBEXHLevel1X" xfId="3634"/>
    <cellStyle name="SAPBEXHLevel1X 2" xfId="3635"/>
    <cellStyle name="SAPBEXHLevel1X 2 2" xfId="3636"/>
    <cellStyle name="SAPBEXHLevel1X 2 2 2" xfId="3637"/>
    <cellStyle name="SAPBEXHLevel1X 2 3" xfId="3638"/>
    <cellStyle name="SAPBEXHLevel1X 3" xfId="3639"/>
    <cellStyle name="SAPBEXHLevel2" xfId="3640"/>
    <cellStyle name="SAPBEXHLevel2 2" xfId="3641"/>
    <cellStyle name="SAPBEXHLevel2 2 2" xfId="3642"/>
    <cellStyle name="SAPBEXHLevel2 2 2 2" xfId="3643"/>
    <cellStyle name="SAPBEXHLevel2 2 3" xfId="3644"/>
    <cellStyle name="SAPBEXHLevel2 3" xfId="3645"/>
    <cellStyle name="SAPBEXHLevel2X" xfId="3646"/>
    <cellStyle name="SAPBEXHLevel2X 2" xfId="3647"/>
    <cellStyle name="SAPBEXHLevel2X 2 2" xfId="3648"/>
    <cellStyle name="SAPBEXHLevel2X 2 2 2" xfId="3649"/>
    <cellStyle name="SAPBEXHLevel2X 2 3" xfId="3650"/>
    <cellStyle name="SAPBEXHLevel2X 3" xfId="3651"/>
    <cellStyle name="SAPBEXHLevel3" xfId="3652"/>
    <cellStyle name="SAPBEXHLevel3 2" xfId="3653"/>
    <cellStyle name="SAPBEXHLevel3 2 2" xfId="3654"/>
    <cellStyle name="SAPBEXHLevel3 2 2 2" xfId="3655"/>
    <cellStyle name="SAPBEXHLevel3 2 3" xfId="3656"/>
    <cellStyle name="SAPBEXHLevel3 3" xfId="3657"/>
    <cellStyle name="SAPBEXHLevel3X" xfId="3658"/>
    <cellStyle name="SAPBEXHLevel3X 2" xfId="3659"/>
    <cellStyle name="SAPBEXHLevel3X 2 2" xfId="3660"/>
    <cellStyle name="SAPBEXHLevel3X 2 2 2" xfId="3661"/>
    <cellStyle name="SAPBEXHLevel3X 2 3" xfId="3662"/>
    <cellStyle name="SAPBEXHLevel3X 3" xfId="3663"/>
    <cellStyle name="SAPBEXinputData" xfId="3664"/>
    <cellStyle name="SAPBEXItemHeader" xfId="3665"/>
    <cellStyle name="SAPBEXresData" xfId="3666"/>
    <cellStyle name="SAPBEXresDataEmph" xfId="3667"/>
    <cellStyle name="SAPBEXresItem" xfId="3668"/>
    <cellStyle name="SAPBEXresItemX" xfId="3669"/>
    <cellStyle name="SAPBEXstdData" xfId="3670"/>
    <cellStyle name="SAPBEXstdDataEmph" xfId="3671"/>
    <cellStyle name="SAPBEXstdItem" xfId="3672"/>
    <cellStyle name="SAPBEXstdItem 10" xfId="7935"/>
    <cellStyle name="SAPBEXstdItem 10 2" xfId="7936"/>
    <cellStyle name="SAPBEXstdItem 10 2 2" xfId="7937"/>
    <cellStyle name="SAPBEXstdItem 10 2 2 2" xfId="7938"/>
    <cellStyle name="SAPBEXstdItem 10 2 3" xfId="7939"/>
    <cellStyle name="SAPBEXstdItem 10 3" xfId="7940"/>
    <cellStyle name="SAPBEXstdItem 10 3 2" xfId="7941"/>
    <cellStyle name="SAPBEXstdItem 10 3 2 2" xfId="7942"/>
    <cellStyle name="SAPBEXstdItem 10 3 3" xfId="7943"/>
    <cellStyle name="SAPBEXstdItem 10 4" xfId="7944"/>
    <cellStyle name="SAPBEXstdItem 10 4 2" xfId="7945"/>
    <cellStyle name="SAPBEXstdItem 10 4 2 2" xfId="7946"/>
    <cellStyle name="SAPBEXstdItem 10 4 3" xfId="7947"/>
    <cellStyle name="SAPBEXstdItem 10 5" xfId="7948"/>
    <cellStyle name="SAPBEXstdItem 10 5 2" xfId="7949"/>
    <cellStyle name="SAPBEXstdItem 10 5 2 2" xfId="7950"/>
    <cellStyle name="SAPBEXstdItem 10 5 3" xfId="7951"/>
    <cellStyle name="SAPBEXstdItem 10 6" xfId="7952"/>
    <cellStyle name="SAPBEXstdItem 10 6 2" xfId="7953"/>
    <cellStyle name="SAPBEXstdItem 10 7" xfId="7954"/>
    <cellStyle name="SAPBEXstdItem 11" xfId="7955"/>
    <cellStyle name="SAPBEXstdItem 11 2" xfId="7956"/>
    <cellStyle name="SAPBEXstdItem 11 2 2" xfId="7957"/>
    <cellStyle name="SAPBEXstdItem 11 2 2 2" xfId="7958"/>
    <cellStyle name="SAPBEXstdItem 11 2 3" xfId="7959"/>
    <cellStyle name="SAPBEXstdItem 11 3" xfId="7960"/>
    <cellStyle name="SAPBEXstdItem 11 3 2" xfId="7961"/>
    <cellStyle name="SAPBEXstdItem 11 3 2 2" xfId="7962"/>
    <cellStyle name="SAPBEXstdItem 11 3 3" xfId="7963"/>
    <cellStyle name="SAPBEXstdItem 11 4" xfId="7964"/>
    <cellStyle name="SAPBEXstdItem 11 4 2" xfId="7965"/>
    <cellStyle name="SAPBEXstdItem 11 4 2 2" xfId="7966"/>
    <cellStyle name="SAPBEXstdItem 11 4 3" xfId="7967"/>
    <cellStyle name="SAPBEXstdItem 11 5" xfId="7968"/>
    <cellStyle name="SAPBEXstdItem 11 5 2" xfId="7969"/>
    <cellStyle name="SAPBEXstdItem 11 5 2 2" xfId="7970"/>
    <cellStyle name="SAPBEXstdItem 11 5 3" xfId="7971"/>
    <cellStyle name="SAPBEXstdItem 11 6" xfId="7972"/>
    <cellStyle name="SAPBEXstdItem 11 6 2" xfId="7973"/>
    <cellStyle name="SAPBEXstdItem 11 7" xfId="7974"/>
    <cellStyle name="SAPBEXstdItem 12" xfId="7975"/>
    <cellStyle name="SAPBEXstdItem 12 2" xfId="7976"/>
    <cellStyle name="SAPBEXstdItem 12 2 2" xfId="7977"/>
    <cellStyle name="SAPBEXstdItem 12 2 2 2" xfId="7978"/>
    <cellStyle name="SAPBEXstdItem 12 2 3" xfId="7979"/>
    <cellStyle name="SAPBEXstdItem 12 3" xfId="7980"/>
    <cellStyle name="SAPBEXstdItem 12 3 2" xfId="7981"/>
    <cellStyle name="SAPBEXstdItem 12 3 2 2" xfId="7982"/>
    <cellStyle name="SAPBEXstdItem 12 3 3" xfId="7983"/>
    <cellStyle name="SAPBEXstdItem 12 4" xfId="7984"/>
    <cellStyle name="SAPBEXstdItem 12 4 2" xfId="7985"/>
    <cellStyle name="SAPBEXstdItem 12 4 2 2" xfId="7986"/>
    <cellStyle name="SAPBEXstdItem 12 4 3" xfId="7987"/>
    <cellStyle name="SAPBEXstdItem 12 5" xfId="7988"/>
    <cellStyle name="SAPBEXstdItem 12 5 2" xfId="7989"/>
    <cellStyle name="SAPBEXstdItem 12 5 2 2" xfId="7990"/>
    <cellStyle name="SAPBEXstdItem 12 5 3" xfId="7991"/>
    <cellStyle name="SAPBEXstdItem 12 6" xfId="7992"/>
    <cellStyle name="SAPBEXstdItem 12 6 2" xfId="7993"/>
    <cellStyle name="SAPBEXstdItem 12 7" xfId="7994"/>
    <cellStyle name="SAPBEXstdItem 13" xfId="7995"/>
    <cellStyle name="SAPBEXstdItem 13 2" xfId="7996"/>
    <cellStyle name="SAPBEXstdItem 13 2 2" xfId="7997"/>
    <cellStyle name="SAPBEXstdItem 13 2 2 2" xfId="7998"/>
    <cellStyle name="SAPBEXstdItem 13 2 3" xfId="7999"/>
    <cellStyle name="SAPBEXstdItem 13 3" xfId="8000"/>
    <cellStyle name="SAPBEXstdItem 13 3 2" xfId="8001"/>
    <cellStyle name="SAPBEXstdItem 13 3 2 2" xfId="8002"/>
    <cellStyle name="SAPBEXstdItem 13 3 3" xfId="8003"/>
    <cellStyle name="SAPBEXstdItem 13 4" xfId="8004"/>
    <cellStyle name="SAPBEXstdItem 13 4 2" xfId="8005"/>
    <cellStyle name="SAPBEXstdItem 13 4 2 2" xfId="8006"/>
    <cellStyle name="SAPBEXstdItem 13 4 3" xfId="8007"/>
    <cellStyle name="SAPBEXstdItem 13 5" xfId="8008"/>
    <cellStyle name="SAPBEXstdItem 13 5 2" xfId="8009"/>
    <cellStyle name="SAPBEXstdItem 13 5 2 2" xfId="8010"/>
    <cellStyle name="SAPBEXstdItem 13 5 3" xfId="8011"/>
    <cellStyle name="SAPBEXstdItem 13 6" xfId="8012"/>
    <cellStyle name="SAPBEXstdItem 13 6 2" xfId="8013"/>
    <cellStyle name="SAPBEXstdItem 13 7" xfId="8014"/>
    <cellStyle name="SAPBEXstdItem 14" xfId="8015"/>
    <cellStyle name="SAPBEXstdItem 14 2" xfId="8016"/>
    <cellStyle name="SAPBEXstdItem 14 2 2" xfId="8017"/>
    <cellStyle name="SAPBEXstdItem 14 2 2 2" xfId="8018"/>
    <cellStyle name="SAPBEXstdItem 14 2 3" xfId="8019"/>
    <cellStyle name="SAPBEXstdItem 14 3" xfId="8020"/>
    <cellStyle name="SAPBEXstdItem 14 3 2" xfId="8021"/>
    <cellStyle name="SAPBEXstdItem 14 3 2 2" xfId="8022"/>
    <cellStyle name="SAPBEXstdItem 14 3 3" xfId="8023"/>
    <cellStyle name="SAPBEXstdItem 14 4" xfId="8024"/>
    <cellStyle name="SAPBEXstdItem 14 4 2" xfId="8025"/>
    <cellStyle name="SAPBEXstdItem 14 4 2 2" xfId="8026"/>
    <cellStyle name="SAPBEXstdItem 14 4 3" xfId="8027"/>
    <cellStyle name="SAPBEXstdItem 14 5" xfId="8028"/>
    <cellStyle name="SAPBEXstdItem 14 5 2" xfId="8029"/>
    <cellStyle name="SAPBEXstdItem 14 5 2 2" xfId="8030"/>
    <cellStyle name="SAPBEXstdItem 14 5 3" xfId="8031"/>
    <cellStyle name="SAPBEXstdItem 14 6" xfId="8032"/>
    <cellStyle name="SAPBEXstdItem 14 6 2" xfId="8033"/>
    <cellStyle name="SAPBEXstdItem 14 7" xfId="8034"/>
    <cellStyle name="SAPBEXstdItem 15" xfId="8035"/>
    <cellStyle name="SAPBEXstdItem 15 2" xfId="8036"/>
    <cellStyle name="SAPBEXstdItem 15 2 2" xfId="8037"/>
    <cellStyle name="SAPBEXstdItem 15 2 2 2" xfId="8038"/>
    <cellStyle name="SAPBEXstdItem 15 2 3" xfId="8039"/>
    <cellStyle name="SAPBEXstdItem 15 3" xfId="8040"/>
    <cellStyle name="SAPBEXstdItem 15 3 2" xfId="8041"/>
    <cellStyle name="SAPBEXstdItem 15 3 2 2" xfId="8042"/>
    <cellStyle name="SAPBEXstdItem 15 3 3" xfId="8043"/>
    <cellStyle name="SAPBEXstdItem 15 4" xfId="8044"/>
    <cellStyle name="SAPBEXstdItem 15 4 2" xfId="8045"/>
    <cellStyle name="SAPBEXstdItem 15 4 2 2" xfId="8046"/>
    <cellStyle name="SAPBEXstdItem 15 4 3" xfId="8047"/>
    <cellStyle name="SAPBEXstdItem 15 5" xfId="8048"/>
    <cellStyle name="SAPBEXstdItem 15 5 2" xfId="8049"/>
    <cellStyle name="SAPBEXstdItem 15 5 2 2" xfId="8050"/>
    <cellStyle name="SAPBEXstdItem 15 5 3" xfId="8051"/>
    <cellStyle name="SAPBEXstdItem 15 6" xfId="8052"/>
    <cellStyle name="SAPBEXstdItem 15 6 2" xfId="8053"/>
    <cellStyle name="SAPBEXstdItem 15 7" xfId="8054"/>
    <cellStyle name="SAPBEXstdItem 16" xfId="8055"/>
    <cellStyle name="SAPBEXstdItem 16 2" xfId="8056"/>
    <cellStyle name="SAPBEXstdItem 16 2 2" xfId="8057"/>
    <cellStyle name="SAPBEXstdItem 16 2 2 2" xfId="8058"/>
    <cellStyle name="SAPBEXstdItem 16 2 3" xfId="8059"/>
    <cellStyle name="SAPBEXstdItem 16 3" xfId="8060"/>
    <cellStyle name="SAPBEXstdItem 16 3 2" xfId="8061"/>
    <cellStyle name="SAPBEXstdItem 16 3 2 2" xfId="8062"/>
    <cellStyle name="SAPBEXstdItem 16 3 3" xfId="8063"/>
    <cellStyle name="SAPBEXstdItem 16 4" xfId="8064"/>
    <cellStyle name="SAPBEXstdItem 16 4 2" xfId="8065"/>
    <cellStyle name="SAPBEXstdItem 16 4 2 2" xfId="8066"/>
    <cellStyle name="SAPBEXstdItem 16 4 3" xfId="8067"/>
    <cellStyle name="SAPBEXstdItem 16 5" xfId="8068"/>
    <cellStyle name="SAPBEXstdItem 16 5 2" xfId="8069"/>
    <cellStyle name="SAPBEXstdItem 16 5 2 2" xfId="8070"/>
    <cellStyle name="SAPBEXstdItem 16 5 3" xfId="8071"/>
    <cellStyle name="SAPBEXstdItem 16 6" xfId="8072"/>
    <cellStyle name="SAPBEXstdItem 16 6 2" xfId="8073"/>
    <cellStyle name="SAPBEXstdItem 16 7" xfId="8074"/>
    <cellStyle name="SAPBEXstdItem 17" xfId="8075"/>
    <cellStyle name="SAPBEXstdItem 17 2" xfId="8076"/>
    <cellStyle name="SAPBEXstdItem 17 2 2" xfId="8077"/>
    <cellStyle name="SAPBEXstdItem 17 2 2 2" xfId="8078"/>
    <cellStyle name="SAPBEXstdItem 17 2 3" xfId="8079"/>
    <cellStyle name="SAPBEXstdItem 17 3" xfId="8080"/>
    <cellStyle name="SAPBEXstdItem 17 3 2" xfId="8081"/>
    <cellStyle name="SAPBEXstdItem 17 3 2 2" xfId="8082"/>
    <cellStyle name="SAPBEXstdItem 17 3 3" xfId="8083"/>
    <cellStyle name="SAPBEXstdItem 17 4" xfId="8084"/>
    <cellStyle name="SAPBEXstdItem 17 4 2" xfId="8085"/>
    <cellStyle name="SAPBEXstdItem 17 4 2 2" xfId="8086"/>
    <cellStyle name="SAPBEXstdItem 17 4 3" xfId="8087"/>
    <cellStyle name="SAPBEXstdItem 17 5" xfId="8088"/>
    <cellStyle name="SAPBEXstdItem 17 5 2" xfId="8089"/>
    <cellStyle name="SAPBEXstdItem 17 5 2 2" xfId="8090"/>
    <cellStyle name="SAPBEXstdItem 17 5 3" xfId="8091"/>
    <cellStyle name="SAPBEXstdItem 17 6" xfId="8092"/>
    <cellStyle name="SAPBEXstdItem 17 6 2" xfId="8093"/>
    <cellStyle name="SAPBEXstdItem 17 7" xfId="8094"/>
    <cellStyle name="SAPBEXstdItem 18" xfId="8095"/>
    <cellStyle name="SAPBEXstdItem 18 2" xfId="8096"/>
    <cellStyle name="SAPBEXstdItem 18 2 2" xfId="8097"/>
    <cellStyle name="SAPBEXstdItem 18 2 2 2" xfId="8098"/>
    <cellStyle name="SAPBEXstdItem 18 2 3" xfId="8099"/>
    <cellStyle name="SAPBEXstdItem 18 3" xfId="8100"/>
    <cellStyle name="SAPBEXstdItem 18 3 2" xfId="8101"/>
    <cellStyle name="SAPBEXstdItem 18 3 2 2" xfId="8102"/>
    <cellStyle name="SAPBEXstdItem 18 3 3" xfId="8103"/>
    <cellStyle name="SAPBEXstdItem 18 4" xfId="8104"/>
    <cellStyle name="SAPBEXstdItem 18 4 2" xfId="8105"/>
    <cellStyle name="SAPBEXstdItem 18 4 2 2" xfId="8106"/>
    <cellStyle name="SAPBEXstdItem 18 4 3" xfId="8107"/>
    <cellStyle name="SAPBEXstdItem 18 5" xfId="8108"/>
    <cellStyle name="SAPBEXstdItem 18 5 2" xfId="8109"/>
    <cellStyle name="SAPBEXstdItem 18 5 2 2" xfId="8110"/>
    <cellStyle name="SAPBEXstdItem 18 5 3" xfId="8111"/>
    <cellStyle name="SAPBEXstdItem 18 6" xfId="8112"/>
    <cellStyle name="SAPBEXstdItem 18 6 2" xfId="8113"/>
    <cellStyle name="SAPBEXstdItem 18 7" xfId="8114"/>
    <cellStyle name="SAPBEXstdItem 19" xfId="8115"/>
    <cellStyle name="SAPBEXstdItem 19 2" xfId="8116"/>
    <cellStyle name="SAPBEXstdItem 19 2 2" xfId="8117"/>
    <cellStyle name="SAPBEXstdItem 19 2 2 2" xfId="8118"/>
    <cellStyle name="SAPBEXstdItem 19 2 3" xfId="8119"/>
    <cellStyle name="SAPBEXstdItem 19 3" xfId="8120"/>
    <cellStyle name="SAPBEXstdItem 19 3 2" xfId="8121"/>
    <cellStyle name="SAPBEXstdItem 19 3 2 2" xfId="8122"/>
    <cellStyle name="SAPBEXstdItem 19 3 3" xfId="8123"/>
    <cellStyle name="SAPBEXstdItem 19 4" xfId="8124"/>
    <cellStyle name="SAPBEXstdItem 19 4 2" xfId="8125"/>
    <cellStyle name="SAPBEXstdItem 19 4 2 2" xfId="8126"/>
    <cellStyle name="SAPBEXstdItem 19 4 3" xfId="8127"/>
    <cellStyle name="SAPBEXstdItem 19 5" xfId="8128"/>
    <cellStyle name="SAPBEXstdItem 19 5 2" xfId="8129"/>
    <cellStyle name="SAPBEXstdItem 19 5 2 2" xfId="8130"/>
    <cellStyle name="SAPBEXstdItem 19 5 3" xfId="8131"/>
    <cellStyle name="SAPBEXstdItem 19 6" xfId="8132"/>
    <cellStyle name="SAPBEXstdItem 19 6 2" xfId="8133"/>
    <cellStyle name="SAPBEXstdItem 19 7" xfId="8134"/>
    <cellStyle name="SAPBEXstdItem 2" xfId="3673"/>
    <cellStyle name="SAPBEXstdItem 2 2" xfId="3674"/>
    <cellStyle name="SAPBEXstdItem 2 2 2" xfId="8135"/>
    <cellStyle name="SAPBEXstdItem 2 2 2 2" xfId="8136"/>
    <cellStyle name="SAPBEXstdItem 2 2 3" xfId="8137"/>
    <cellStyle name="SAPBEXstdItem 2 3" xfId="8138"/>
    <cellStyle name="SAPBEXstdItem 2 3 2" xfId="8139"/>
    <cellStyle name="SAPBEXstdItem 2 4" xfId="8140"/>
    <cellStyle name="SAPBEXstdItem 20" xfId="8141"/>
    <cellStyle name="SAPBEXstdItem 20 2" xfId="8142"/>
    <cellStyle name="SAPBEXstdItem 20 2 2" xfId="8143"/>
    <cellStyle name="SAPBEXstdItem 20 3" xfId="8144"/>
    <cellStyle name="SAPBEXstdItem 21" xfId="8145"/>
    <cellStyle name="SAPBEXstdItem 21 2" xfId="8146"/>
    <cellStyle name="SAPBEXstdItem 21 2 2" xfId="8147"/>
    <cellStyle name="SAPBEXstdItem 21 3" xfId="8148"/>
    <cellStyle name="SAPBEXstdItem 22" xfId="8149"/>
    <cellStyle name="SAPBEXstdItem 22 2" xfId="8150"/>
    <cellStyle name="SAPBEXstdItem 22 2 2" xfId="8151"/>
    <cellStyle name="SAPBEXstdItem 22 3" xfId="8152"/>
    <cellStyle name="SAPBEXstdItem 23" xfId="8153"/>
    <cellStyle name="SAPBEXstdItem 23 2" xfId="8154"/>
    <cellStyle name="SAPBEXstdItem 23 2 2" xfId="8155"/>
    <cellStyle name="SAPBEXstdItem 23 3" xfId="8156"/>
    <cellStyle name="SAPBEXstdItem 24" xfId="8157"/>
    <cellStyle name="SAPBEXstdItem 24 2" xfId="8158"/>
    <cellStyle name="SAPBEXstdItem 24 2 2" xfId="8159"/>
    <cellStyle name="SAPBEXstdItem 24 3" xfId="8160"/>
    <cellStyle name="SAPBEXstdItem 25" xfId="8161"/>
    <cellStyle name="SAPBEXstdItem 25 2" xfId="8162"/>
    <cellStyle name="SAPBEXstdItem 25 2 2" xfId="8163"/>
    <cellStyle name="SAPBEXstdItem 25 3" xfId="8164"/>
    <cellStyle name="SAPBEXstdItem 26" xfId="8165"/>
    <cellStyle name="SAPBEXstdItem 26 2" xfId="8166"/>
    <cellStyle name="SAPBEXstdItem 26 2 2" xfId="8167"/>
    <cellStyle name="SAPBEXstdItem 26 3" xfId="8168"/>
    <cellStyle name="SAPBEXstdItem 27" xfId="8169"/>
    <cellStyle name="SAPBEXstdItem 27 2" xfId="8170"/>
    <cellStyle name="SAPBEXstdItem 27 2 2" xfId="8171"/>
    <cellStyle name="SAPBEXstdItem 27 3" xfId="8172"/>
    <cellStyle name="SAPBEXstdItem 28" xfId="8173"/>
    <cellStyle name="SAPBEXstdItem 28 2" xfId="8174"/>
    <cellStyle name="SAPBEXstdItem 29" xfId="8175"/>
    <cellStyle name="SAPBEXstdItem 29 2" xfId="8176"/>
    <cellStyle name="SAPBEXstdItem 3" xfId="3675"/>
    <cellStyle name="SAPBEXstdItem 3 2" xfId="8177"/>
    <cellStyle name="SAPBEXstdItem 3 2 2" xfId="8178"/>
    <cellStyle name="SAPBEXstdItem 3 2 2 2" xfId="8179"/>
    <cellStyle name="SAPBEXstdItem 3 2 3" xfId="8180"/>
    <cellStyle name="SAPBEXstdItem 3 3" xfId="8181"/>
    <cellStyle name="SAPBEXstdItem 3 3 2" xfId="8182"/>
    <cellStyle name="SAPBEXstdItem 3 4" xfId="8183"/>
    <cellStyle name="SAPBEXstdItem 30" xfId="8184"/>
    <cellStyle name="SAPBEXstdItem 30 2" xfId="8185"/>
    <cellStyle name="SAPBEXstdItem 31" xfId="8186"/>
    <cellStyle name="SAPBEXstdItem 31 2" xfId="8187"/>
    <cellStyle name="SAPBEXstdItem 32" xfId="8188"/>
    <cellStyle name="SAPBEXstdItem 32 2" xfId="8189"/>
    <cellStyle name="SAPBEXstdItem 33" xfId="8190"/>
    <cellStyle name="SAPBEXstdItem 4" xfId="8191"/>
    <cellStyle name="SAPBEXstdItem 4 2" xfId="8192"/>
    <cellStyle name="SAPBEXstdItem 4 2 2" xfId="8193"/>
    <cellStyle name="SAPBEXstdItem 4 2 2 2" xfId="8194"/>
    <cellStyle name="SAPBEXstdItem 4 2 3" xfId="8195"/>
    <cellStyle name="SAPBEXstdItem 4 3" xfId="8196"/>
    <cellStyle name="SAPBEXstdItem 4 3 2" xfId="8197"/>
    <cellStyle name="SAPBEXstdItem 4 4" xfId="8198"/>
    <cellStyle name="SAPBEXstdItem 5" xfId="8199"/>
    <cellStyle name="SAPBEXstdItem 5 2" xfId="8200"/>
    <cellStyle name="SAPBEXstdItem 5 2 2" xfId="8201"/>
    <cellStyle name="SAPBEXstdItem 5 2 2 2" xfId="8202"/>
    <cellStyle name="SAPBEXstdItem 5 2 3" xfId="8203"/>
    <cellStyle name="SAPBEXstdItem 5 3" xfId="8204"/>
    <cellStyle name="SAPBEXstdItem 5 3 2" xfId="8205"/>
    <cellStyle name="SAPBEXstdItem 5 4" xfId="8206"/>
    <cellStyle name="SAPBEXstdItem 6" xfId="8207"/>
    <cellStyle name="SAPBEXstdItem 6 2" xfId="8208"/>
    <cellStyle name="SAPBEXstdItem 6 2 2" xfId="8209"/>
    <cellStyle name="SAPBEXstdItem 6 2 2 2" xfId="8210"/>
    <cellStyle name="SAPBEXstdItem 6 2 3" xfId="8211"/>
    <cellStyle name="SAPBEXstdItem 6 3" xfId="8212"/>
    <cellStyle name="SAPBEXstdItem 6 3 2" xfId="8213"/>
    <cellStyle name="SAPBEXstdItem 6 4" xfId="8214"/>
    <cellStyle name="SAPBEXstdItem 7" xfId="8215"/>
    <cellStyle name="SAPBEXstdItem 7 2" xfId="8216"/>
    <cellStyle name="SAPBEXstdItem 7 2 2" xfId="8217"/>
    <cellStyle name="SAPBEXstdItem 7 2 2 2" xfId="8218"/>
    <cellStyle name="SAPBEXstdItem 7 2 3" xfId="8219"/>
    <cellStyle name="SAPBEXstdItem 7 3" xfId="8220"/>
    <cellStyle name="SAPBEXstdItem 7 3 2" xfId="8221"/>
    <cellStyle name="SAPBEXstdItem 7 4" xfId="8222"/>
    <cellStyle name="SAPBEXstdItem 8" xfId="8223"/>
    <cellStyle name="SAPBEXstdItem 8 2" xfId="8224"/>
    <cellStyle name="SAPBEXstdItem 8 2 2" xfId="8225"/>
    <cellStyle name="SAPBEXstdItem 8 2 2 2" xfId="8226"/>
    <cellStyle name="SAPBEXstdItem 8 2 3" xfId="8227"/>
    <cellStyle name="SAPBEXstdItem 8 3" xfId="8228"/>
    <cellStyle name="SAPBEXstdItem 8 3 2" xfId="8229"/>
    <cellStyle name="SAPBEXstdItem 8 4" xfId="8230"/>
    <cellStyle name="SAPBEXstdItem 9" xfId="8231"/>
    <cellStyle name="SAPBEXstdItem 9 2" xfId="8232"/>
    <cellStyle name="SAPBEXstdItem 9 2 2" xfId="8233"/>
    <cellStyle name="SAPBEXstdItem 9 2 2 2" xfId="8234"/>
    <cellStyle name="SAPBEXstdItem 9 2 3" xfId="8235"/>
    <cellStyle name="SAPBEXstdItem 9 3" xfId="8236"/>
    <cellStyle name="SAPBEXstdItem 9 3 2" xfId="8237"/>
    <cellStyle name="SAPBEXstdItem 9 4" xfId="8238"/>
    <cellStyle name="SAPBEXstdItem_11-03.1 Pepco" xfId="3676"/>
    <cellStyle name="SAPBEXstdItemX" xfId="3677"/>
    <cellStyle name="SAPBEXstdItemX 2" xfId="3678"/>
    <cellStyle name="SAPBEXstdItemX 2 2" xfId="3679"/>
    <cellStyle name="SAPBEXstdItemX 2 2 2" xfId="3680"/>
    <cellStyle name="SAPBEXstdItemX 2 3" xfId="3681"/>
    <cellStyle name="SAPBEXstdItemX 3" xfId="3682"/>
    <cellStyle name="SAPBEXtitle" xfId="3683"/>
    <cellStyle name="SAPBEXtitle 2" xfId="8239"/>
    <cellStyle name="SAPBEXunassignedItem" xfId="3684"/>
    <cellStyle name="SAPBEXundefined" xfId="3685"/>
    <cellStyle name="Sheet Title" xfId="3686"/>
    <cellStyle name="Style 1" xfId="3687"/>
    <cellStyle name="Style 1 2" xfId="3688"/>
    <cellStyle name="Style 1 2 2" xfId="3689"/>
    <cellStyle name="Style 1 2 2 2" xfId="3690"/>
    <cellStyle name="Style 1 2 3" xfId="3691"/>
    <cellStyle name="Style 1 3" xfId="3692"/>
    <cellStyle name="STYLE1" xfId="3693"/>
    <cellStyle name="STYLE1 10" xfId="3694"/>
    <cellStyle name="STYLE1 10 2" xfId="8240"/>
    <cellStyle name="STYLE1 10 2 2" xfId="8241"/>
    <cellStyle name="STYLE1 10 2 2 2" xfId="8242"/>
    <cellStyle name="STYLE1 10 2 3" xfId="8243"/>
    <cellStyle name="STYLE1 10 3" xfId="8244"/>
    <cellStyle name="STYLE1 10 3 2" xfId="8245"/>
    <cellStyle name="STYLE1 10 3 2 2" xfId="8246"/>
    <cellStyle name="STYLE1 10 3 3" xfId="8247"/>
    <cellStyle name="STYLE1 10 4" xfId="8248"/>
    <cellStyle name="STYLE1 10 4 2" xfId="8249"/>
    <cellStyle name="STYLE1 10 4 2 2" xfId="8250"/>
    <cellStyle name="STYLE1 10 4 3" xfId="8251"/>
    <cellStyle name="STYLE1 10 5" xfId="8252"/>
    <cellStyle name="STYLE1 10 5 2" xfId="8253"/>
    <cellStyle name="STYLE1 10 5 2 2" xfId="8254"/>
    <cellStyle name="STYLE1 10 5 3" xfId="8255"/>
    <cellStyle name="STYLE1 10 6" xfId="8256"/>
    <cellStyle name="STYLE1 10 6 2" xfId="8257"/>
    <cellStyle name="STYLE1 10 7" xfId="8258"/>
    <cellStyle name="STYLE1 11" xfId="3695"/>
    <cellStyle name="STYLE1 11 2" xfId="8259"/>
    <cellStyle name="STYLE1 11 2 2" xfId="8260"/>
    <cellStyle name="STYLE1 11 2 2 2" xfId="8261"/>
    <cellStyle name="STYLE1 11 2 3" xfId="8262"/>
    <cellStyle name="STYLE1 11 3" xfId="8263"/>
    <cellStyle name="STYLE1 11 3 2" xfId="8264"/>
    <cellStyle name="STYLE1 11 3 2 2" xfId="8265"/>
    <cellStyle name="STYLE1 11 3 3" xfId="8266"/>
    <cellStyle name="STYLE1 11 4" xfId="8267"/>
    <cellStyle name="STYLE1 11 4 2" xfId="8268"/>
    <cellStyle name="STYLE1 11 4 2 2" xfId="8269"/>
    <cellStyle name="STYLE1 11 4 3" xfId="8270"/>
    <cellStyle name="STYLE1 11 5" xfId="8271"/>
    <cellStyle name="STYLE1 11 5 2" xfId="8272"/>
    <cellStyle name="STYLE1 11 5 2 2" xfId="8273"/>
    <cellStyle name="STYLE1 11 5 3" xfId="8274"/>
    <cellStyle name="STYLE1 11 6" xfId="8275"/>
    <cellStyle name="STYLE1 11 6 2" xfId="8276"/>
    <cellStyle name="STYLE1 11 7" xfId="8277"/>
    <cellStyle name="STYLE1 12" xfId="3696"/>
    <cellStyle name="STYLE1 12 2" xfId="8278"/>
    <cellStyle name="STYLE1 12 2 2" xfId="8279"/>
    <cellStyle name="STYLE1 12 2 2 2" xfId="8280"/>
    <cellStyle name="STYLE1 12 2 3" xfId="8281"/>
    <cellStyle name="STYLE1 12 3" xfId="8282"/>
    <cellStyle name="STYLE1 12 3 2" xfId="8283"/>
    <cellStyle name="STYLE1 12 3 2 2" xfId="8284"/>
    <cellStyle name="STYLE1 12 3 3" xfId="8285"/>
    <cellStyle name="STYLE1 12 4" xfId="8286"/>
    <cellStyle name="STYLE1 12 4 2" xfId="8287"/>
    <cellStyle name="STYLE1 12 4 2 2" xfId="8288"/>
    <cellStyle name="STYLE1 12 4 3" xfId="8289"/>
    <cellStyle name="STYLE1 12 5" xfId="8290"/>
    <cellStyle name="STYLE1 12 5 2" xfId="8291"/>
    <cellStyle name="STYLE1 12 5 2 2" xfId="8292"/>
    <cellStyle name="STYLE1 12 5 3" xfId="8293"/>
    <cellStyle name="STYLE1 12 6" xfId="8294"/>
    <cellStyle name="STYLE1 12 6 2" xfId="8295"/>
    <cellStyle name="STYLE1 12 7" xfId="8296"/>
    <cellStyle name="STYLE1 13" xfId="3697"/>
    <cellStyle name="STYLE1 13 2" xfId="8297"/>
    <cellStyle name="STYLE1 13 2 2" xfId="8298"/>
    <cellStyle name="STYLE1 13 2 2 2" xfId="8299"/>
    <cellStyle name="STYLE1 13 2 3" xfId="8300"/>
    <cellStyle name="STYLE1 13 3" xfId="8301"/>
    <cellStyle name="STYLE1 13 3 2" xfId="8302"/>
    <cellStyle name="STYLE1 13 3 2 2" xfId="8303"/>
    <cellStyle name="STYLE1 13 3 3" xfId="8304"/>
    <cellStyle name="STYLE1 13 4" xfId="8305"/>
    <cellStyle name="STYLE1 13 4 2" xfId="8306"/>
    <cellStyle name="STYLE1 13 4 2 2" xfId="8307"/>
    <cellStyle name="STYLE1 13 4 3" xfId="8308"/>
    <cellStyle name="STYLE1 13 5" xfId="8309"/>
    <cellStyle name="STYLE1 13 5 2" xfId="8310"/>
    <cellStyle name="STYLE1 13 5 2 2" xfId="8311"/>
    <cellStyle name="STYLE1 13 5 3" xfId="8312"/>
    <cellStyle name="STYLE1 13 6" xfId="8313"/>
    <cellStyle name="STYLE1 13 6 2" xfId="8314"/>
    <cellStyle name="STYLE1 13 7" xfId="8315"/>
    <cellStyle name="STYLE1 14" xfId="3698"/>
    <cellStyle name="STYLE1 14 2" xfId="8316"/>
    <cellStyle name="STYLE1 14 2 2" xfId="8317"/>
    <cellStyle name="STYLE1 14 2 2 2" xfId="8318"/>
    <cellStyle name="STYLE1 14 2 3" xfId="8319"/>
    <cellStyle name="STYLE1 14 3" xfId="8320"/>
    <cellStyle name="STYLE1 14 3 2" xfId="8321"/>
    <cellStyle name="STYLE1 14 3 2 2" xfId="8322"/>
    <cellStyle name="STYLE1 14 3 3" xfId="8323"/>
    <cellStyle name="STYLE1 14 4" xfId="8324"/>
    <cellStyle name="STYLE1 14 4 2" xfId="8325"/>
    <cellStyle name="STYLE1 14 4 2 2" xfId="8326"/>
    <cellStyle name="STYLE1 14 4 3" xfId="8327"/>
    <cellStyle name="STYLE1 14 5" xfId="8328"/>
    <cellStyle name="STYLE1 14 5 2" xfId="8329"/>
    <cellStyle name="STYLE1 14 5 2 2" xfId="8330"/>
    <cellStyle name="STYLE1 14 5 3" xfId="8331"/>
    <cellStyle name="STYLE1 14 6" xfId="8332"/>
    <cellStyle name="STYLE1 14 6 2" xfId="8333"/>
    <cellStyle name="STYLE1 14 7" xfId="8334"/>
    <cellStyle name="STYLE1 15" xfId="3699"/>
    <cellStyle name="STYLE1 15 2" xfId="8335"/>
    <cellStyle name="STYLE1 15 2 2" xfId="8336"/>
    <cellStyle name="STYLE1 15 2 2 2" xfId="8337"/>
    <cellStyle name="STYLE1 15 2 3" xfId="8338"/>
    <cellStyle name="STYLE1 15 3" xfId="8339"/>
    <cellStyle name="STYLE1 15 3 2" xfId="8340"/>
    <cellStyle name="STYLE1 15 3 2 2" xfId="8341"/>
    <cellStyle name="STYLE1 15 3 3" xfId="8342"/>
    <cellStyle name="STYLE1 15 4" xfId="8343"/>
    <cellStyle name="STYLE1 15 4 2" xfId="8344"/>
    <cellStyle name="STYLE1 15 4 2 2" xfId="8345"/>
    <cellStyle name="STYLE1 15 4 3" xfId="8346"/>
    <cellStyle name="STYLE1 15 5" xfId="8347"/>
    <cellStyle name="STYLE1 15 5 2" xfId="8348"/>
    <cellStyle name="STYLE1 15 5 2 2" xfId="8349"/>
    <cellStyle name="STYLE1 15 5 3" xfId="8350"/>
    <cellStyle name="STYLE1 15 6" xfId="8351"/>
    <cellStyle name="STYLE1 15 6 2" xfId="8352"/>
    <cellStyle name="STYLE1 15 7" xfId="8353"/>
    <cellStyle name="STYLE1 16" xfId="3700"/>
    <cellStyle name="STYLE1 16 2" xfId="8354"/>
    <cellStyle name="STYLE1 16 2 2" xfId="8355"/>
    <cellStyle name="STYLE1 16 2 2 2" xfId="8356"/>
    <cellStyle name="STYLE1 16 2 3" xfId="8357"/>
    <cellStyle name="STYLE1 16 3" xfId="8358"/>
    <cellStyle name="STYLE1 16 3 2" xfId="8359"/>
    <cellStyle name="STYLE1 16 3 2 2" xfId="8360"/>
    <cellStyle name="STYLE1 16 3 3" xfId="8361"/>
    <cellStyle name="STYLE1 16 4" xfId="8362"/>
    <cellStyle name="STYLE1 16 4 2" xfId="8363"/>
    <cellStyle name="STYLE1 16 4 2 2" xfId="8364"/>
    <cellStyle name="STYLE1 16 4 3" xfId="8365"/>
    <cellStyle name="STYLE1 16 5" xfId="8366"/>
    <cellStyle name="STYLE1 16 5 2" xfId="8367"/>
    <cellStyle name="STYLE1 16 5 2 2" xfId="8368"/>
    <cellStyle name="STYLE1 16 5 3" xfId="8369"/>
    <cellStyle name="STYLE1 16 6" xfId="8370"/>
    <cellStyle name="STYLE1 16 6 2" xfId="8371"/>
    <cellStyle name="STYLE1 16 7" xfId="8372"/>
    <cellStyle name="STYLE1 17" xfId="3701"/>
    <cellStyle name="STYLE1 17 2" xfId="8373"/>
    <cellStyle name="STYLE1 17 2 2" xfId="8374"/>
    <cellStyle name="STYLE1 17 2 2 2" xfId="8375"/>
    <cellStyle name="STYLE1 17 2 3" xfId="8376"/>
    <cellStyle name="STYLE1 17 3" xfId="8377"/>
    <cellStyle name="STYLE1 17 3 2" xfId="8378"/>
    <cellStyle name="STYLE1 17 3 2 2" xfId="8379"/>
    <cellStyle name="STYLE1 17 3 3" xfId="8380"/>
    <cellStyle name="STYLE1 17 4" xfId="8381"/>
    <cellStyle name="STYLE1 17 4 2" xfId="8382"/>
    <cellStyle name="STYLE1 17 4 2 2" xfId="8383"/>
    <cellStyle name="STYLE1 17 4 3" xfId="8384"/>
    <cellStyle name="STYLE1 17 5" xfId="8385"/>
    <cellStyle name="STYLE1 17 5 2" xfId="8386"/>
    <cellStyle name="STYLE1 17 5 2 2" xfId="8387"/>
    <cellStyle name="STYLE1 17 5 3" xfId="8388"/>
    <cellStyle name="STYLE1 17 6" xfId="8389"/>
    <cellStyle name="STYLE1 17 6 2" xfId="8390"/>
    <cellStyle name="STYLE1 17 7" xfId="8391"/>
    <cellStyle name="STYLE1 18" xfId="3702"/>
    <cellStyle name="STYLE1 18 2" xfId="8392"/>
    <cellStyle name="STYLE1 18 2 2" xfId="8393"/>
    <cellStyle name="STYLE1 18 2 2 2" xfId="8394"/>
    <cellStyle name="STYLE1 18 2 3" xfId="8395"/>
    <cellStyle name="STYLE1 18 3" xfId="8396"/>
    <cellStyle name="STYLE1 18 3 2" xfId="8397"/>
    <cellStyle name="STYLE1 18 3 2 2" xfId="8398"/>
    <cellStyle name="STYLE1 18 3 3" xfId="8399"/>
    <cellStyle name="STYLE1 18 4" xfId="8400"/>
    <cellStyle name="STYLE1 18 4 2" xfId="8401"/>
    <cellStyle name="STYLE1 18 4 2 2" xfId="8402"/>
    <cellStyle name="STYLE1 18 4 3" xfId="8403"/>
    <cellStyle name="STYLE1 18 5" xfId="8404"/>
    <cellStyle name="STYLE1 18 5 2" xfId="8405"/>
    <cellStyle name="STYLE1 18 5 2 2" xfId="8406"/>
    <cellStyle name="STYLE1 18 5 3" xfId="8407"/>
    <cellStyle name="STYLE1 18 6" xfId="8408"/>
    <cellStyle name="STYLE1 18 6 2" xfId="8409"/>
    <cellStyle name="STYLE1 18 7" xfId="8410"/>
    <cellStyle name="STYLE1 19" xfId="3703"/>
    <cellStyle name="STYLE1 19 2" xfId="8411"/>
    <cellStyle name="STYLE1 19 2 2" xfId="8412"/>
    <cellStyle name="STYLE1 19 2 2 2" xfId="8413"/>
    <cellStyle name="STYLE1 19 2 3" xfId="8414"/>
    <cellStyle name="STYLE1 19 3" xfId="8415"/>
    <cellStyle name="STYLE1 19 3 2" xfId="8416"/>
    <cellStyle name="STYLE1 19 3 2 2" xfId="8417"/>
    <cellStyle name="STYLE1 19 3 3" xfId="8418"/>
    <cellStyle name="STYLE1 19 4" xfId="8419"/>
    <cellStyle name="STYLE1 19 4 2" xfId="8420"/>
    <cellStyle name="STYLE1 19 4 2 2" xfId="8421"/>
    <cellStyle name="STYLE1 19 4 3" xfId="8422"/>
    <cellStyle name="STYLE1 19 5" xfId="8423"/>
    <cellStyle name="STYLE1 19 5 2" xfId="8424"/>
    <cellStyle name="STYLE1 19 5 2 2" xfId="8425"/>
    <cellStyle name="STYLE1 19 5 3" xfId="8426"/>
    <cellStyle name="STYLE1 19 6" xfId="8427"/>
    <cellStyle name="STYLE1 19 6 2" xfId="8428"/>
    <cellStyle name="STYLE1 19 7" xfId="8429"/>
    <cellStyle name="STYLE1 2" xfId="3704"/>
    <cellStyle name="STYLE1 2 2" xfId="3705"/>
    <cellStyle name="STYLE1 2 2 2" xfId="8430"/>
    <cellStyle name="STYLE1 2 2 2 2" xfId="8431"/>
    <cellStyle name="STYLE1 2 2 3" xfId="8432"/>
    <cellStyle name="STYLE1 2 3" xfId="8433"/>
    <cellStyle name="STYLE1 2 3 2" xfId="8434"/>
    <cellStyle name="STYLE1 2 4" xfId="8435"/>
    <cellStyle name="STYLE1 2_11-03 - PHI Consolidated - Summary of FIN 48 Related To DC Q4 2010" xfId="3706"/>
    <cellStyle name="STYLE1 20" xfId="3707"/>
    <cellStyle name="STYLE1 20 2" xfId="8436"/>
    <cellStyle name="STYLE1 20 2 2" xfId="8437"/>
    <cellStyle name="STYLE1 20 3" xfId="8438"/>
    <cellStyle name="STYLE1 21" xfId="3708"/>
    <cellStyle name="STYLE1 21 2" xfId="8439"/>
    <cellStyle name="STYLE1 21 2 2" xfId="8440"/>
    <cellStyle name="STYLE1 21 3" xfId="8441"/>
    <cellStyle name="STYLE1 22" xfId="3709"/>
    <cellStyle name="STYLE1 22 2" xfId="8442"/>
    <cellStyle name="STYLE1 22 2 2" xfId="8443"/>
    <cellStyle name="STYLE1 22 3" xfId="8444"/>
    <cellStyle name="STYLE1 23" xfId="3710"/>
    <cellStyle name="STYLE1 23 2" xfId="8445"/>
    <cellStyle name="STYLE1 23 2 2" xfId="8446"/>
    <cellStyle name="STYLE1 23 3" xfId="8447"/>
    <cellStyle name="STYLE1 24" xfId="3711"/>
    <cellStyle name="STYLE1 24 2" xfId="8448"/>
    <cellStyle name="STYLE1 24 2 2" xfId="8449"/>
    <cellStyle name="STYLE1 24 3" xfId="8450"/>
    <cellStyle name="STYLE1 25" xfId="3712"/>
    <cellStyle name="STYLE1 25 2" xfId="8451"/>
    <cellStyle name="STYLE1 25 2 2" xfId="8452"/>
    <cellStyle name="STYLE1 25 3" xfId="8453"/>
    <cellStyle name="STYLE1 26" xfId="3713"/>
    <cellStyle name="STYLE1 26 2" xfId="8454"/>
    <cellStyle name="STYLE1 26 2 2" xfId="8455"/>
    <cellStyle name="STYLE1 26 3" xfId="8456"/>
    <cellStyle name="STYLE1 27" xfId="3714"/>
    <cellStyle name="STYLE1 27 2" xfId="8457"/>
    <cellStyle name="STYLE1 27 2 2" xfId="8458"/>
    <cellStyle name="STYLE1 27 3" xfId="8459"/>
    <cellStyle name="STYLE1 28" xfId="3715"/>
    <cellStyle name="STYLE1 28 2" xfId="8460"/>
    <cellStyle name="STYLE1 29" xfId="3716"/>
    <cellStyle name="STYLE1 29 2" xfId="8461"/>
    <cellStyle name="STYLE1 3" xfId="3717"/>
    <cellStyle name="STYLE1 3 2" xfId="8462"/>
    <cellStyle name="STYLE1 3 2 2" xfId="8463"/>
    <cellStyle name="STYLE1 3 2 2 2" xfId="8464"/>
    <cellStyle name="STYLE1 3 2 3" xfId="8465"/>
    <cellStyle name="STYLE1 3 3" xfId="8466"/>
    <cellStyle name="STYLE1 3 3 2" xfId="8467"/>
    <cellStyle name="STYLE1 3 4" xfId="8468"/>
    <cellStyle name="STYLE1 30" xfId="3718"/>
    <cellStyle name="STYLE1 30 2" xfId="8469"/>
    <cellStyle name="STYLE1 31" xfId="8470"/>
    <cellStyle name="STYLE1 31 2" xfId="8471"/>
    <cellStyle name="STYLE1 32" xfId="8472"/>
    <cellStyle name="STYLE1 32 2" xfId="8473"/>
    <cellStyle name="STYLE1 33" xfId="8474"/>
    <cellStyle name="STYLE1 4" xfId="3719"/>
    <cellStyle name="STYLE1 4 2" xfId="8475"/>
    <cellStyle name="STYLE1 4 2 2" xfId="8476"/>
    <cellStyle name="STYLE1 4 2 2 2" xfId="8477"/>
    <cellStyle name="STYLE1 4 2 3" xfId="8478"/>
    <cellStyle name="STYLE1 4 3" xfId="8479"/>
    <cellStyle name="STYLE1 4 3 2" xfId="8480"/>
    <cellStyle name="STYLE1 4 4" xfId="8481"/>
    <cellStyle name="STYLE1 5" xfId="3720"/>
    <cellStyle name="STYLE1 5 2" xfId="8482"/>
    <cellStyle name="STYLE1 5 2 2" xfId="8483"/>
    <cellStyle name="STYLE1 5 2 2 2" xfId="8484"/>
    <cellStyle name="STYLE1 5 2 3" xfId="8485"/>
    <cellStyle name="STYLE1 5 3" xfId="8486"/>
    <cellStyle name="STYLE1 5 3 2" xfId="8487"/>
    <cellStyle name="STYLE1 5 4" xfId="8488"/>
    <cellStyle name="STYLE1 6" xfId="3721"/>
    <cellStyle name="STYLE1 6 2" xfId="8489"/>
    <cellStyle name="STYLE1 6 2 2" xfId="8490"/>
    <cellStyle name="STYLE1 6 2 2 2" xfId="8491"/>
    <cellStyle name="STYLE1 6 2 3" xfId="8492"/>
    <cellStyle name="STYLE1 6 3" xfId="8493"/>
    <cellStyle name="STYLE1 6 3 2" xfId="8494"/>
    <cellStyle name="STYLE1 6 4" xfId="8495"/>
    <cellStyle name="STYLE1 7" xfId="3722"/>
    <cellStyle name="STYLE1 7 2" xfId="8496"/>
    <cellStyle name="STYLE1 7 2 2" xfId="8497"/>
    <cellStyle name="STYLE1 7 2 2 2" xfId="8498"/>
    <cellStyle name="STYLE1 7 2 3" xfId="8499"/>
    <cellStyle name="STYLE1 7 3" xfId="8500"/>
    <cellStyle name="STYLE1 7 3 2" xfId="8501"/>
    <cellStyle name="STYLE1 7 4" xfId="8502"/>
    <cellStyle name="STYLE1 8" xfId="3723"/>
    <cellStyle name="STYLE1 8 2" xfId="8503"/>
    <cellStyle name="STYLE1 8 2 2" xfId="8504"/>
    <cellStyle name="STYLE1 8 2 2 2" xfId="8505"/>
    <cellStyle name="STYLE1 8 2 3" xfId="8506"/>
    <cellStyle name="STYLE1 8 3" xfId="8507"/>
    <cellStyle name="STYLE1 8 3 2" xfId="8508"/>
    <cellStyle name="STYLE1 8 4" xfId="8509"/>
    <cellStyle name="STYLE1 9" xfId="3724"/>
    <cellStyle name="STYLE1 9 2" xfId="8510"/>
    <cellStyle name="STYLE1 9 2 2" xfId="8511"/>
    <cellStyle name="STYLE1 9 2 2 2" xfId="8512"/>
    <cellStyle name="STYLE1 9 2 3" xfId="8513"/>
    <cellStyle name="STYLE1 9 3" xfId="8514"/>
    <cellStyle name="STYLE1 9 3 2" xfId="8515"/>
    <cellStyle name="STYLE1 9 4" xfId="8516"/>
    <cellStyle name="STYLE1_11-03 - PHI Consolidated - Summary of FIN 48 Related To DC Q4 2010" xfId="3725"/>
    <cellStyle name="STYLE2" xfId="3726"/>
    <cellStyle name="STYLE2 2" xfId="8517"/>
    <cellStyle name="STYLE3" xfId="3727"/>
    <cellStyle name="STYLE3 2" xfId="8518"/>
    <cellStyle name="STYLE4" xfId="3728"/>
    <cellStyle name="STYLE5" xfId="3729"/>
    <cellStyle name="SubRoutine" xfId="3730"/>
    <cellStyle name="SubRoutine 10" xfId="8519"/>
    <cellStyle name="SubRoutine 10 2" xfId="8520"/>
    <cellStyle name="SubRoutine 10 2 2" xfId="8521"/>
    <cellStyle name="SubRoutine 10 2 2 2" xfId="8522"/>
    <cellStyle name="SubRoutine 10 2 3" xfId="8523"/>
    <cellStyle name="SubRoutine 10 3" xfId="8524"/>
    <cellStyle name="SubRoutine 10 3 2" xfId="8525"/>
    <cellStyle name="SubRoutine 10 3 2 2" xfId="8526"/>
    <cellStyle name="SubRoutine 10 3 3" xfId="8527"/>
    <cellStyle name="SubRoutine 10 4" xfId="8528"/>
    <cellStyle name="SubRoutine 10 4 2" xfId="8529"/>
    <cellStyle name="SubRoutine 10 4 2 2" xfId="8530"/>
    <cellStyle name="SubRoutine 10 4 3" xfId="8531"/>
    <cellStyle name="SubRoutine 10 5" xfId="8532"/>
    <cellStyle name="SubRoutine 10 5 2" xfId="8533"/>
    <cellStyle name="SubRoutine 10 5 2 2" xfId="8534"/>
    <cellStyle name="SubRoutine 10 5 3" xfId="8535"/>
    <cellStyle name="SubRoutine 10 6" xfId="8536"/>
    <cellStyle name="SubRoutine 10 6 2" xfId="8537"/>
    <cellStyle name="SubRoutine 10 7" xfId="8538"/>
    <cellStyle name="SubRoutine 11" xfId="8539"/>
    <cellStyle name="SubRoutine 11 2" xfId="8540"/>
    <cellStyle name="SubRoutine 11 2 2" xfId="8541"/>
    <cellStyle name="SubRoutine 11 2 2 2" xfId="8542"/>
    <cellStyle name="SubRoutine 11 2 2 2 2" xfId="8543"/>
    <cellStyle name="SubRoutine 11 2 2 3" xfId="8544"/>
    <cellStyle name="SubRoutine 11 2 3" xfId="8545"/>
    <cellStyle name="SubRoutine 11 2 3 2" xfId="8546"/>
    <cellStyle name="SubRoutine 11 2 4" xfId="8547"/>
    <cellStyle name="SubRoutine 11 3" xfId="8548"/>
    <cellStyle name="SubRoutine 11 3 2" xfId="8549"/>
    <cellStyle name="SubRoutine 11 3 2 2" xfId="8550"/>
    <cellStyle name="SubRoutine 11 3 2 2 2" xfId="8551"/>
    <cellStyle name="SubRoutine 11 3 2 3" xfId="8552"/>
    <cellStyle name="SubRoutine 11 3 3" xfId="8553"/>
    <cellStyle name="SubRoutine 11 3 3 2" xfId="8554"/>
    <cellStyle name="SubRoutine 11 3 4" xfId="8555"/>
    <cellStyle name="SubRoutine 11 4" xfId="8556"/>
    <cellStyle name="SubRoutine 11 4 2" xfId="8557"/>
    <cellStyle name="SubRoutine 11 4 2 2" xfId="8558"/>
    <cellStyle name="SubRoutine 11 4 2 2 2" xfId="8559"/>
    <cellStyle name="SubRoutine 11 4 2 3" xfId="8560"/>
    <cellStyle name="SubRoutine 11 4 3" xfId="8561"/>
    <cellStyle name="SubRoutine 11 4 3 2" xfId="8562"/>
    <cellStyle name="SubRoutine 11 4 4" xfId="8563"/>
    <cellStyle name="SubRoutine 11 5" xfId="8564"/>
    <cellStyle name="SubRoutine 11 5 2" xfId="8565"/>
    <cellStyle name="SubRoutine 11 5 2 2" xfId="8566"/>
    <cellStyle name="SubRoutine 11 5 2 2 2" xfId="8567"/>
    <cellStyle name="SubRoutine 11 5 2 3" xfId="8568"/>
    <cellStyle name="SubRoutine 11 5 3" xfId="8569"/>
    <cellStyle name="SubRoutine 11 5 3 2" xfId="8570"/>
    <cellStyle name="SubRoutine 11 5 4" xfId="8571"/>
    <cellStyle name="SubRoutine 11 6" xfId="8572"/>
    <cellStyle name="SubRoutine 11 6 2" xfId="8573"/>
    <cellStyle name="SubRoutine 11 6 2 2" xfId="8574"/>
    <cellStyle name="SubRoutine 11 6 3" xfId="8575"/>
    <cellStyle name="SubRoutine 11 6 4" xfId="8576"/>
    <cellStyle name="SubRoutine 11 7" xfId="8577"/>
    <cellStyle name="SubRoutine 11 7 2" xfId="8578"/>
    <cellStyle name="SubRoutine 11 8" xfId="8579"/>
    <cellStyle name="SubRoutine 12" xfId="8580"/>
    <cellStyle name="SubRoutine 12 2" xfId="8581"/>
    <cellStyle name="SubRoutine 12 2 2" xfId="8582"/>
    <cellStyle name="SubRoutine 12 2 2 2" xfId="8583"/>
    <cellStyle name="SubRoutine 12 2 2 2 2" xfId="8584"/>
    <cellStyle name="SubRoutine 12 2 2 3" xfId="8585"/>
    <cellStyle name="SubRoutine 12 2 2 4" xfId="8586"/>
    <cellStyle name="SubRoutine 12 2 3" xfId="8587"/>
    <cellStyle name="SubRoutine 12 2 3 2" xfId="8588"/>
    <cellStyle name="SubRoutine 12 2 4" xfId="8589"/>
    <cellStyle name="SubRoutine 12 2 5" xfId="8590"/>
    <cellStyle name="SubRoutine 12 3" xfId="8591"/>
    <cellStyle name="SubRoutine 12 3 2" xfId="8592"/>
    <cellStyle name="SubRoutine 12 3 2 2" xfId="8593"/>
    <cellStyle name="SubRoutine 12 3 2 2 2" xfId="8594"/>
    <cellStyle name="SubRoutine 12 3 2 3" xfId="8595"/>
    <cellStyle name="SubRoutine 12 3 2 4" xfId="8596"/>
    <cellStyle name="SubRoutine 12 3 3" xfId="8597"/>
    <cellStyle name="SubRoutine 12 3 3 2" xfId="8598"/>
    <cellStyle name="SubRoutine 12 3 4" xfId="8599"/>
    <cellStyle name="SubRoutine 12 3 5" xfId="8600"/>
    <cellStyle name="SubRoutine 12 4" xfId="8601"/>
    <cellStyle name="SubRoutine 12 4 2" xfId="8602"/>
    <cellStyle name="SubRoutine 12 4 2 2" xfId="8603"/>
    <cellStyle name="SubRoutine 12 4 2 2 2" xfId="8604"/>
    <cellStyle name="SubRoutine 12 4 2 3" xfId="8605"/>
    <cellStyle name="SubRoutine 12 4 2 4" xfId="8606"/>
    <cellStyle name="SubRoutine 12 4 3" xfId="8607"/>
    <cellStyle name="SubRoutine 12 4 3 2" xfId="8608"/>
    <cellStyle name="SubRoutine 12 4 4" xfId="8609"/>
    <cellStyle name="SubRoutine 12 4 5" xfId="8610"/>
    <cellStyle name="SubRoutine 12 5" xfId="8611"/>
    <cellStyle name="SubRoutine 12 5 2" xfId="8612"/>
    <cellStyle name="SubRoutine 12 5 2 2" xfId="8613"/>
    <cellStyle name="SubRoutine 12 5 2 2 2" xfId="8614"/>
    <cellStyle name="SubRoutine 12 5 2 3" xfId="8615"/>
    <cellStyle name="SubRoutine 12 5 2 4" xfId="8616"/>
    <cellStyle name="SubRoutine 12 5 3" xfId="8617"/>
    <cellStyle name="SubRoutine 12 5 3 2" xfId="8618"/>
    <cellStyle name="SubRoutine 12 5 4" xfId="8619"/>
    <cellStyle name="SubRoutine 12 5 5" xfId="8620"/>
    <cellStyle name="SubRoutine 12 6" xfId="8621"/>
    <cellStyle name="SubRoutine 12 6 2" xfId="8622"/>
    <cellStyle name="SubRoutine 12 6 2 2" xfId="8623"/>
    <cellStyle name="SubRoutine 12 6 3" xfId="8624"/>
    <cellStyle name="SubRoutine 12 6 4" xfId="8625"/>
    <cellStyle name="SubRoutine 12 7" xfId="8626"/>
    <cellStyle name="SubRoutine 12 7 2" xfId="8627"/>
    <cellStyle name="SubRoutine 12 8" xfId="8628"/>
    <cellStyle name="SubRoutine 12 9" xfId="8629"/>
    <cellStyle name="SubRoutine 13" xfId="8630"/>
    <cellStyle name="SubRoutine 13 2" xfId="8631"/>
    <cellStyle name="SubRoutine 13 2 2" xfId="8632"/>
    <cellStyle name="SubRoutine 13 2 2 2" xfId="8633"/>
    <cellStyle name="SubRoutine 13 2 2 2 2" xfId="8634"/>
    <cellStyle name="SubRoutine 13 2 2 3" xfId="8635"/>
    <cellStyle name="SubRoutine 13 2 2 4" xfId="8636"/>
    <cellStyle name="SubRoutine 13 2 3" xfId="8637"/>
    <cellStyle name="SubRoutine 13 2 3 2" xfId="8638"/>
    <cellStyle name="SubRoutine 13 2 4" xfId="8639"/>
    <cellStyle name="SubRoutine 13 2 5" xfId="8640"/>
    <cellStyle name="SubRoutine 13 3" xfId="8641"/>
    <cellStyle name="SubRoutine 13 3 2" xfId="8642"/>
    <cellStyle name="SubRoutine 13 3 2 2" xfId="8643"/>
    <cellStyle name="SubRoutine 13 3 2 2 2" xfId="8644"/>
    <cellStyle name="SubRoutine 13 3 2 3" xfId="8645"/>
    <cellStyle name="SubRoutine 13 3 2 4" xfId="8646"/>
    <cellStyle name="SubRoutine 13 3 3" xfId="8647"/>
    <cellStyle name="SubRoutine 13 3 3 2" xfId="8648"/>
    <cellStyle name="SubRoutine 13 3 4" xfId="8649"/>
    <cellStyle name="SubRoutine 13 3 5" xfId="8650"/>
    <cellStyle name="SubRoutine 13 4" xfId="8651"/>
    <cellStyle name="SubRoutine 13 4 2" xfId="8652"/>
    <cellStyle name="SubRoutine 13 4 2 2" xfId="8653"/>
    <cellStyle name="SubRoutine 13 4 2 2 2" xfId="8654"/>
    <cellStyle name="SubRoutine 13 4 2 3" xfId="8655"/>
    <cellStyle name="SubRoutine 13 4 2 4" xfId="8656"/>
    <cellStyle name="SubRoutine 13 4 3" xfId="8657"/>
    <cellStyle name="SubRoutine 13 4 3 2" xfId="8658"/>
    <cellStyle name="SubRoutine 13 4 4" xfId="8659"/>
    <cellStyle name="SubRoutine 13 4 5" xfId="8660"/>
    <cellStyle name="SubRoutine 13 5" xfId="8661"/>
    <cellStyle name="SubRoutine 13 5 2" xfId="8662"/>
    <cellStyle name="SubRoutine 13 5 2 2" xfId="8663"/>
    <cellStyle name="SubRoutine 13 5 2 2 2" xfId="8664"/>
    <cellStyle name="SubRoutine 13 5 2 3" xfId="8665"/>
    <cellStyle name="SubRoutine 13 5 2 4" xfId="8666"/>
    <cellStyle name="SubRoutine 13 5 3" xfId="8667"/>
    <cellStyle name="SubRoutine 13 5 3 2" xfId="8668"/>
    <cellStyle name="SubRoutine 13 5 4" xfId="8669"/>
    <cellStyle name="SubRoutine 13 5 5" xfId="8670"/>
    <cellStyle name="SubRoutine 13 6" xfId="8671"/>
    <cellStyle name="SubRoutine 13 6 2" xfId="8672"/>
    <cellStyle name="SubRoutine 13 6 2 2" xfId="8673"/>
    <cellStyle name="SubRoutine 13 6 3" xfId="8674"/>
    <cellStyle name="SubRoutine 13 6 4" xfId="8675"/>
    <cellStyle name="SubRoutine 13 7" xfId="8676"/>
    <cellStyle name="SubRoutine 13 7 2" xfId="8677"/>
    <cellStyle name="SubRoutine 13 8" xfId="8678"/>
    <cellStyle name="SubRoutine 13 9" xfId="8679"/>
    <cellStyle name="SubRoutine 14" xfId="8680"/>
    <cellStyle name="SubRoutine 14 2" xfId="8681"/>
    <cellStyle name="SubRoutine 14 2 2" xfId="8682"/>
    <cellStyle name="SubRoutine 14 2 2 2" xfId="8683"/>
    <cellStyle name="SubRoutine 14 2 2 2 2" xfId="8684"/>
    <cellStyle name="SubRoutine 14 2 2 3" xfId="8685"/>
    <cellStyle name="SubRoutine 14 2 2 4" xfId="8686"/>
    <cellStyle name="SubRoutine 14 2 3" xfId="8687"/>
    <cellStyle name="SubRoutine 14 2 3 2" xfId="8688"/>
    <cellStyle name="SubRoutine 14 2 4" xfId="8689"/>
    <cellStyle name="SubRoutine 14 2 5" xfId="8690"/>
    <cellStyle name="SubRoutine 14 3" xfId="8691"/>
    <cellStyle name="SubRoutine 14 3 2" xfId="8692"/>
    <cellStyle name="SubRoutine 14 3 2 2" xfId="8693"/>
    <cellStyle name="SubRoutine 14 3 2 2 2" xfId="8694"/>
    <cellStyle name="SubRoutine 14 3 2 3" xfId="8695"/>
    <cellStyle name="SubRoutine 14 3 2 4" xfId="8696"/>
    <cellStyle name="SubRoutine 14 3 3" xfId="8697"/>
    <cellStyle name="SubRoutine 14 3 3 2" xfId="8698"/>
    <cellStyle name="SubRoutine 14 3 4" xfId="8699"/>
    <cellStyle name="SubRoutine 14 3 5" xfId="8700"/>
    <cellStyle name="SubRoutine 14 4" xfId="8701"/>
    <cellStyle name="SubRoutine 14 4 2" xfId="8702"/>
    <cellStyle name="SubRoutine 14 4 2 2" xfId="8703"/>
    <cellStyle name="SubRoutine 14 4 2 2 2" xfId="8704"/>
    <cellStyle name="SubRoutine 14 4 2 3" xfId="8705"/>
    <cellStyle name="SubRoutine 14 4 2 4" xfId="8706"/>
    <cellStyle name="SubRoutine 14 4 3" xfId="8707"/>
    <cellStyle name="SubRoutine 14 4 3 2" xfId="8708"/>
    <cellStyle name="SubRoutine 14 4 4" xfId="8709"/>
    <cellStyle name="SubRoutine 14 4 5" xfId="8710"/>
    <cellStyle name="SubRoutine 14 5" xfId="8711"/>
    <cellStyle name="SubRoutine 14 5 2" xfId="8712"/>
    <cellStyle name="SubRoutine 14 5 2 2" xfId="8713"/>
    <cellStyle name="SubRoutine 14 5 2 2 2" xfId="8714"/>
    <cellStyle name="SubRoutine 14 5 2 3" xfId="8715"/>
    <cellStyle name="SubRoutine 14 5 2 4" xfId="8716"/>
    <cellStyle name="SubRoutine 14 5 3" xfId="8717"/>
    <cellStyle name="SubRoutine 14 5 3 2" xfId="8718"/>
    <cellStyle name="SubRoutine 14 5 4" xfId="8719"/>
    <cellStyle name="SubRoutine 14 5 5" xfId="8720"/>
    <cellStyle name="SubRoutine 14 6" xfId="8721"/>
    <cellStyle name="SubRoutine 14 6 2" xfId="8722"/>
    <cellStyle name="SubRoutine 14 6 2 2" xfId="8723"/>
    <cellStyle name="SubRoutine 14 6 3" xfId="8724"/>
    <cellStyle name="SubRoutine 14 6 4" xfId="8725"/>
    <cellStyle name="SubRoutine 14 7" xfId="8726"/>
    <cellStyle name="SubRoutine 14 7 2" xfId="8727"/>
    <cellStyle name="SubRoutine 14 8" xfId="8728"/>
    <cellStyle name="SubRoutine 14 9" xfId="8729"/>
    <cellStyle name="SubRoutine 15" xfId="8730"/>
    <cellStyle name="SubRoutine 15 2" xfId="8731"/>
    <cellStyle name="SubRoutine 15 2 2" xfId="8732"/>
    <cellStyle name="SubRoutine 15 2 2 2" xfId="8733"/>
    <cellStyle name="SubRoutine 15 2 2 2 2" xfId="8734"/>
    <cellStyle name="SubRoutine 15 2 2 3" xfId="8735"/>
    <cellStyle name="SubRoutine 15 2 2 4" xfId="8736"/>
    <cellStyle name="SubRoutine 15 2 3" xfId="8737"/>
    <cellStyle name="SubRoutine 15 2 3 2" xfId="8738"/>
    <cellStyle name="SubRoutine 15 2 4" xfId="8739"/>
    <cellStyle name="SubRoutine 15 2 5" xfId="8740"/>
    <cellStyle name="SubRoutine 15 3" xfId="8741"/>
    <cellStyle name="SubRoutine 15 3 2" xfId="8742"/>
    <cellStyle name="SubRoutine 15 3 2 2" xfId="8743"/>
    <cellStyle name="SubRoutine 15 3 2 2 2" xfId="8744"/>
    <cellStyle name="SubRoutine 15 3 2 3" xfId="8745"/>
    <cellStyle name="SubRoutine 15 3 2 4" xfId="8746"/>
    <cellStyle name="SubRoutine 15 3 3" xfId="8747"/>
    <cellStyle name="SubRoutine 15 3 3 2" xfId="8748"/>
    <cellStyle name="SubRoutine 15 3 4" xfId="8749"/>
    <cellStyle name="SubRoutine 15 3 5" xfId="8750"/>
    <cellStyle name="SubRoutine 15 4" xfId="8751"/>
    <cellStyle name="SubRoutine 15 4 2" xfId="8752"/>
    <cellStyle name="SubRoutine 15 4 2 2" xfId="8753"/>
    <cellStyle name="SubRoutine 15 4 2 2 2" xfId="8754"/>
    <cellStyle name="SubRoutine 15 4 2 3" xfId="8755"/>
    <cellStyle name="SubRoutine 15 4 2 4" xfId="8756"/>
    <cellStyle name="SubRoutine 15 4 3" xfId="8757"/>
    <cellStyle name="SubRoutine 15 4 3 2" xfId="8758"/>
    <cellStyle name="SubRoutine 15 4 4" xfId="8759"/>
    <cellStyle name="SubRoutine 15 4 5" xfId="8760"/>
    <cellStyle name="SubRoutine 15 5" xfId="8761"/>
    <cellStyle name="SubRoutine 15 5 2" xfId="8762"/>
    <cellStyle name="SubRoutine 15 5 2 2" xfId="8763"/>
    <cellStyle name="SubRoutine 15 5 2 2 2" xfId="8764"/>
    <cellStyle name="SubRoutine 15 5 2 3" xfId="8765"/>
    <cellStyle name="SubRoutine 15 5 2 4" xfId="8766"/>
    <cellStyle name="SubRoutine 15 5 3" xfId="8767"/>
    <cellStyle name="SubRoutine 15 5 3 2" xfId="8768"/>
    <cellStyle name="SubRoutine 15 5 4" xfId="8769"/>
    <cellStyle name="SubRoutine 15 5 5" xfId="8770"/>
    <cellStyle name="SubRoutine 15 6" xfId="8771"/>
    <cellStyle name="SubRoutine 15 6 2" xfId="8772"/>
    <cellStyle name="SubRoutine 15 6 2 2" xfId="8773"/>
    <cellStyle name="SubRoutine 15 6 3" xfId="8774"/>
    <cellStyle name="SubRoutine 15 6 4" xfId="8775"/>
    <cellStyle name="SubRoutine 15 7" xfId="8776"/>
    <cellStyle name="SubRoutine 15 7 2" xfId="8777"/>
    <cellStyle name="SubRoutine 15 8" xfId="8778"/>
    <cellStyle name="SubRoutine 15 9" xfId="8779"/>
    <cellStyle name="SubRoutine 16" xfId="8780"/>
    <cellStyle name="SubRoutine 2" xfId="3731"/>
    <cellStyle name="SubRoutine 2 10" xfId="8781"/>
    <cellStyle name="SubRoutine 2 10 2" xfId="8782"/>
    <cellStyle name="SubRoutine 2 10 2 2" xfId="8783"/>
    <cellStyle name="SubRoutine 2 10 3" xfId="8784"/>
    <cellStyle name="SubRoutine 2 10 4" xfId="8785"/>
    <cellStyle name="SubRoutine 2 11" xfId="8786"/>
    <cellStyle name="SubRoutine 2 11 2" xfId="8787"/>
    <cellStyle name="SubRoutine 2 12" xfId="8788"/>
    <cellStyle name="SubRoutine 2 13" xfId="8789"/>
    <cellStyle name="SubRoutine 2 2" xfId="3732"/>
    <cellStyle name="SubRoutine 2 2 2" xfId="8790"/>
    <cellStyle name="SubRoutine 2 2 2 2" xfId="8791"/>
    <cellStyle name="SubRoutine 2 2 2 2 2" xfId="8792"/>
    <cellStyle name="SubRoutine 2 2 2 3" xfId="8793"/>
    <cellStyle name="SubRoutine 2 2 2 4" xfId="8794"/>
    <cellStyle name="SubRoutine 2 2 3" xfId="8795"/>
    <cellStyle name="SubRoutine 2 2 3 2" xfId="8796"/>
    <cellStyle name="SubRoutine 2 2 4" xfId="8797"/>
    <cellStyle name="SubRoutine 2 2 5" xfId="8798"/>
    <cellStyle name="SubRoutine 2 3" xfId="8799"/>
    <cellStyle name="SubRoutine 2 3 2" xfId="8800"/>
    <cellStyle name="SubRoutine 2 3 2 2" xfId="8801"/>
    <cellStyle name="SubRoutine 2 3 2 2 2" xfId="8802"/>
    <cellStyle name="SubRoutine 2 3 2 3" xfId="8803"/>
    <cellStyle name="SubRoutine 2 3 2 4" xfId="8804"/>
    <cellStyle name="SubRoutine 2 3 3" xfId="8805"/>
    <cellStyle name="SubRoutine 2 3 3 2" xfId="8806"/>
    <cellStyle name="SubRoutine 2 3 4" xfId="8807"/>
    <cellStyle name="SubRoutine 2 3 5" xfId="8808"/>
    <cellStyle name="SubRoutine 2 4" xfId="8809"/>
    <cellStyle name="SubRoutine 2 4 2" xfId="8810"/>
    <cellStyle name="SubRoutine 2 4 2 2" xfId="8811"/>
    <cellStyle name="SubRoutine 2 4 2 2 2" xfId="8812"/>
    <cellStyle name="SubRoutine 2 4 2 3" xfId="8813"/>
    <cellStyle name="SubRoutine 2 4 2 4" xfId="8814"/>
    <cellStyle name="SubRoutine 2 4 3" xfId="8815"/>
    <cellStyle name="SubRoutine 2 4 3 2" xfId="8816"/>
    <cellStyle name="SubRoutine 2 4 4" xfId="8817"/>
    <cellStyle name="SubRoutine 2 4 5" xfId="8818"/>
    <cellStyle name="SubRoutine 2 5" xfId="8819"/>
    <cellStyle name="SubRoutine 2 5 2" xfId="8820"/>
    <cellStyle name="SubRoutine 2 5 2 2" xfId="8821"/>
    <cellStyle name="SubRoutine 2 5 2 2 2" xfId="8822"/>
    <cellStyle name="SubRoutine 2 5 2 3" xfId="8823"/>
    <cellStyle name="SubRoutine 2 5 2 4" xfId="8824"/>
    <cellStyle name="SubRoutine 2 5 3" xfId="8825"/>
    <cellStyle name="SubRoutine 2 5 3 2" xfId="8826"/>
    <cellStyle name="SubRoutine 2 5 4" xfId="8827"/>
    <cellStyle name="SubRoutine 2 5 5" xfId="8828"/>
    <cellStyle name="SubRoutine 2 6" xfId="8829"/>
    <cellStyle name="SubRoutine 2 6 2" xfId="8830"/>
    <cellStyle name="SubRoutine 2 6 2 2" xfId="8831"/>
    <cellStyle name="SubRoutine 2 6 2 2 2" xfId="8832"/>
    <cellStyle name="SubRoutine 2 6 2 3" xfId="8833"/>
    <cellStyle name="SubRoutine 2 6 2 4" xfId="8834"/>
    <cellStyle name="SubRoutine 2 6 3" xfId="8835"/>
    <cellStyle name="SubRoutine 2 6 3 2" xfId="8836"/>
    <cellStyle name="SubRoutine 2 6 4" xfId="8837"/>
    <cellStyle name="SubRoutine 2 6 5" xfId="8838"/>
    <cellStyle name="SubRoutine 2 7" xfId="8839"/>
    <cellStyle name="SubRoutine 2 7 2" xfId="8840"/>
    <cellStyle name="SubRoutine 2 7 2 2" xfId="8841"/>
    <cellStyle name="SubRoutine 2 7 2 2 2" xfId="8842"/>
    <cellStyle name="SubRoutine 2 7 2 3" xfId="8843"/>
    <cellStyle name="SubRoutine 2 7 2 4" xfId="8844"/>
    <cellStyle name="SubRoutine 2 7 3" xfId="8845"/>
    <cellStyle name="SubRoutine 2 7 3 2" xfId="8846"/>
    <cellStyle name="SubRoutine 2 7 4" xfId="8847"/>
    <cellStyle name="SubRoutine 2 7 5" xfId="8848"/>
    <cellStyle name="SubRoutine 2 8" xfId="8849"/>
    <cellStyle name="SubRoutine 2 8 2" xfId="8850"/>
    <cellStyle name="SubRoutine 2 8 2 2" xfId="8851"/>
    <cellStyle name="SubRoutine 2 8 2 2 2" xfId="8852"/>
    <cellStyle name="SubRoutine 2 8 2 3" xfId="8853"/>
    <cellStyle name="SubRoutine 2 8 2 4" xfId="8854"/>
    <cellStyle name="SubRoutine 2 8 3" xfId="8855"/>
    <cellStyle name="SubRoutine 2 8 3 2" xfId="8856"/>
    <cellStyle name="SubRoutine 2 8 4" xfId="8857"/>
    <cellStyle name="SubRoutine 2 8 5" xfId="8858"/>
    <cellStyle name="SubRoutine 2 9" xfId="8859"/>
    <cellStyle name="SubRoutine 2 9 2" xfId="8860"/>
    <cellStyle name="SubRoutine 2 9 2 2" xfId="8861"/>
    <cellStyle name="SubRoutine 2 9 2 2 2" xfId="8862"/>
    <cellStyle name="SubRoutine 2 9 2 3" xfId="8863"/>
    <cellStyle name="SubRoutine 2 9 2 4" xfId="8864"/>
    <cellStyle name="SubRoutine 2 9 3" xfId="8865"/>
    <cellStyle name="SubRoutine 2 9 3 2" xfId="8866"/>
    <cellStyle name="SubRoutine 2 9 4" xfId="8867"/>
    <cellStyle name="SubRoutine 2 9 5" xfId="8868"/>
    <cellStyle name="SubRoutine 3" xfId="3733"/>
    <cellStyle name="SubRoutine 3 10" xfId="8869"/>
    <cellStyle name="SubRoutine 3 10 2" xfId="8870"/>
    <cellStyle name="SubRoutine 3 10 2 2" xfId="8871"/>
    <cellStyle name="SubRoutine 3 10 3" xfId="8872"/>
    <cellStyle name="SubRoutine 3 10 4" xfId="8873"/>
    <cellStyle name="SubRoutine 3 11" xfId="8874"/>
    <cellStyle name="SubRoutine 3 11 2" xfId="8875"/>
    <cellStyle name="SubRoutine 3 12" xfId="8876"/>
    <cellStyle name="SubRoutine 3 13" xfId="8877"/>
    <cellStyle name="SubRoutine 3 2" xfId="8878"/>
    <cellStyle name="SubRoutine 3 2 2" xfId="8879"/>
    <cellStyle name="SubRoutine 3 2 2 2" xfId="8880"/>
    <cellStyle name="SubRoutine 3 2 2 2 2" xfId="8881"/>
    <cellStyle name="SubRoutine 3 2 2 3" xfId="8882"/>
    <cellStyle name="SubRoutine 3 2 2 4" xfId="8883"/>
    <cellStyle name="SubRoutine 3 2 3" xfId="8884"/>
    <cellStyle name="SubRoutine 3 2 3 2" xfId="8885"/>
    <cellStyle name="SubRoutine 3 2 4" xfId="8886"/>
    <cellStyle name="SubRoutine 3 2 5" xfId="8887"/>
    <cellStyle name="SubRoutine 3 3" xfId="8888"/>
    <cellStyle name="SubRoutine 3 3 2" xfId="8889"/>
    <cellStyle name="SubRoutine 3 3 2 2" xfId="8890"/>
    <cellStyle name="SubRoutine 3 3 2 2 2" xfId="8891"/>
    <cellStyle name="SubRoutine 3 3 2 3" xfId="8892"/>
    <cellStyle name="SubRoutine 3 3 2 4" xfId="8893"/>
    <cellStyle name="SubRoutine 3 3 3" xfId="8894"/>
    <cellStyle name="SubRoutine 3 3 3 2" xfId="8895"/>
    <cellStyle name="SubRoutine 3 3 4" xfId="8896"/>
    <cellStyle name="SubRoutine 3 3 5" xfId="8897"/>
    <cellStyle name="SubRoutine 3 4" xfId="8898"/>
    <cellStyle name="SubRoutine 3 4 2" xfId="8899"/>
    <cellStyle name="SubRoutine 3 4 2 2" xfId="8900"/>
    <cellStyle name="SubRoutine 3 4 2 2 2" xfId="8901"/>
    <cellStyle name="SubRoutine 3 4 2 3" xfId="8902"/>
    <cellStyle name="SubRoutine 3 4 2 4" xfId="8903"/>
    <cellStyle name="SubRoutine 3 4 3" xfId="8904"/>
    <cellStyle name="SubRoutine 3 4 3 2" xfId="8905"/>
    <cellStyle name="SubRoutine 3 4 4" xfId="8906"/>
    <cellStyle name="SubRoutine 3 4 5" xfId="8907"/>
    <cellStyle name="SubRoutine 3 5" xfId="8908"/>
    <cellStyle name="SubRoutine 3 5 2" xfId="8909"/>
    <cellStyle name="SubRoutine 3 5 2 2" xfId="8910"/>
    <cellStyle name="SubRoutine 3 5 2 2 2" xfId="8911"/>
    <cellStyle name="SubRoutine 3 5 2 3" xfId="8912"/>
    <cellStyle name="SubRoutine 3 5 2 4" xfId="8913"/>
    <cellStyle name="SubRoutine 3 5 3" xfId="8914"/>
    <cellStyle name="SubRoutine 3 5 3 2" xfId="8915"/>
    <cellStyle name="SubRoutine 3 5 4" xfId="8916"/>
    <cellStyle name="SubRoutine 3 5 5" xfId="8917"/>
    <cellStyle name="SubRoutine 3 6" xfId="8918"/>
    <cellStyle name="SubRoutine 3 6 2" xfId="8919"/>
    <cellStyle name="SubRoutine 3 6 2 2" xfId="8920"/>
    <cellStyle name="SubRoutine 3 6 2 2 2" xfId="8921"/>
    <cellStyle name="SubRoutine 3 6 2 3" xfId="8922"/>
    <cellStyle name="SubRoutine 3 6 2 4" xfId="8923"/>
    <cellStyle name="SubRoutine 3 6 3" xfId="8924"/>
    <cellStyle name="SubRoutine 3 6 3 2" xfId="8925"/>
    <cellStyle name="SubRoutine 3 6 4" xfId="8926"/>
    <cellStyle name="SubRoutine 3 6 5" xfId="8927"/>
    <cellStyle name="SubRoutine 3 7" xfId="8928"/>
    <cellStyle name="SubRoutine 3 7 2" xfId="8929"/>
    <cellStyle name="SubRoutine 3 7 2 2" xfId="8930"/>
    <cellStyle name="SubRoutine 3 7 2 2 2" xfId="8931"/>
    <cellStyle name="SubRoutine 3 7 2 3" xfId="8932"/>
    <cellStyle name="SubRoutine 3 7 2 4" xfId="8933"/>
    <cellStyle name="SubRoutine 3 7 3" xfId="8934"/>
    <cellStyle name="SubRoutine 3 7 3 2" xfId="8935"/>
    <cellStyle name="SubRoutine 3 7 4" xfId="8936"/>
    <cellStyle name="SubRoutine 3 7 5" xfId="8937"/>
    <cellStyle name="SubRoutine 3 8" xfId="8938"/>
    <cellStyle name="SubRoutine 3 8 2" xfId="8939"/>
    <cellStyle name="SubRoutine 3 8 2 2" xfId="8940"/>
    <cellStyle name="SubRoutine 3 8 2 2 2" xfId="8941"/>
    <cellStyle name="SubRoutine 3 8 2 3" xfId="8942"/>
    <cellStyle name="SubRoutine 3 8 2 4" xfId="8943"/>
    <cellStyle name="SubRoutine 3 8 3" xfId="8944"/>
    <cellStyle name="SubRoutine 3 8 3 2" xfId="8945"/>
    <cellStyle name="SubRoutine 3 8 4" xfId="8946"/>
    <cellStyle name="SubRoutine 3 8 5" xfId="8947"/>
    <cellStyle name="SubRoutine 3 9" xfId="8948"/>
    <cellStyle name="SubRoutine 3 9 2" xfId="8949"/>
    <cellStyle name="SubRoutine 3 9 2 2" xfId="8950"/>
    <cellStyle name="SubRoutine 3 9 2 2 2" xfId="8951"/>
    <cellStyle name="SubRoutine 3 9 2 3" xfId="8952"/>
    <cellStyle name="SubRoutine 3 9 2 4" xfId="8953"/>
    <cellStyle name="SubRoutine 3 9 3" xfId="8954"/>
    <cellStyle name="SubRoutine 3 9 3 2" xfId="8955"/>
    <cellStyle name="SubRoutine 3 9 4" xfId="8956"/>
    <cellStyle name="SubRoutine 3 9 5" xfId="8957"/>
    <cellStyle name="SubRoutine 4" xfId="8958"/>
    <cellStyle name="SubRoutine 4 10" xfId="8959"/>
    <cellStyle name="SubRoutine 4 10 2" xfId="8960"/>
    <cellStyle name="SubRoutine 4 10 2 2" xfId="8961"/>
    <cellStyle name="SubRoutine 4 10 3" xfId="8962"/>
    <cellStyle name="SubRoutine 4 10 4" xfId="8963"/>
    <cellStyle name="SubRoutine 4 11" xfId="8964"/>
    <cellStyle name="SubRoutine 4 11 2" xfId="8965"/>
    <cellStyle name="SubRoutine 4 12" xfId="8966"/>
    <cellStyle name="SubRoutine 4 13" xfId="8967"/>
    <cellStyle name="SubRoutine 4 2" xfId="8968"/>
    <cellStyle name="SubRoutine 4 2 2" xfId="8969"/>
    <cellStyle name="SubRoutine 4 2 2 2" xfId="8970"/>
    <cellStyle name="SubRoutine 4 2 2 2 2" xfId="8971"/>
    <cellStyle name="SubRoutine 4 2 2 3" xfId="8972"/>
    <cellStyle name="SubRoutine 4 2 2 4" xfId="8973"/>
    <cellStyle name="SubRoutine 4 2 3" xfId="8974"/>
    <cellStyle name="SubRoutine 4 2 3 2" xfId="8975"/>
    <cellStyle name="SubRoutine 4 2 4" xfId="8976"/>
    <cellStyle name="SubRoutine 4 2 5" xfId="8977"/>
    <cellStyle name="SubRoutine 4 3" xfId="8978"/>
    <cellStyle name="SubRoutine 4 3 2" xfId="8979"/>
    <cellStyle name="SubRoutine 4 3 2 2" xfId="8980"/>
    <cellStyle name="SubRoutine 4 3 2 2 2" xfId="8981"/>
    <cellStyle name="SubRoutine 4 3 2 3" xfId="8982"/>
    <cellStyle name="SubRoutine 4 3 2 4" xfId="8983"/>
    <cellStyle name="SubRoutine 4 3 3" xfId="8984"/>
    <cellStyle name="SubRoutine 4 3 3 2" xfId="8985"/>
    <cellStyle name="SubRoutine 4 3 4" xfId="8986"/>
    <cellStyle name="SubRoutine 4 3 5" xfId="8987"/>
    <cellStyle name="SubRoutine 4 4" xfId="8988"/>
    <cellStyle name="SubRoutine 4 4 2" xfId="8989"/>
    <cellStyle name="SubRoutine 4 4 2 2" xfId="8990"/>
    <cellStyle name="SubRoutine 4 4 2 2 2" xfId="8991"/>
    <cellStyle name="SubRoutine 4 4 2 3" xfId="8992"/>
    <cellStyle name="SubRoutine 4 4 2 4" xfId="8993"/>
    <cellStyle name="SubRoutine 4 4 3" xfId="8994"/>
    <cellStyle name="SubRoutine 4 4 3 2" xfId="8995"/>
    <cellStyle name="SubRoutine 4 4 4" xfId="8996"/>
    <cellStyle name="SubRoutine 4 4 5" xfId="8997"/>
    <cellStyle name="SubRoutine 4 5" xfId="8998"/>
    <cellStyle name="SubRoutine 4 5 2" xfId="8999"/>
    <cellStyle name="SubRoutine 4 5 2 2" xfId="9000"/>
    <cellStyle name="SubRoutine 4 5 2 2 2" xfId="9001"/>
    <cellStyle name="SubRoutine 4 5 2 3" xfId="9002"/>
    <cellStyle name="SubRoutine 4 5 2 4" xfId="9003"/>
    <cellStyle name="SubRoutine 4 5 3" xfId="9004"/>
    <cellStyle name="SubRoutine 4 5 3 2" xfId="9005"/>
    <cellStyle name="SubRoutine 4 5 4" xfId="9006"/>
    <cellStyle name="SubRoutine 4 5 5" xfId="9007"/>
    <cellStyle name="SubRoutine 4 6" xfId="9008"/>
    <cellStyle name="SubRoutine 4 6 2" xfId="9009"/>
    <cellStyle name="SubRoutine 4 6 2 2" xfId="9010"/>
    <cellStyle name="SubRoutine 4 6 2 2 2" xfId="9011"/>
    <cellStyle name="SubRoutine 4 6 2 3" xfId="9012"/>
    <cellStyle name="SubRoutine 4 6 2 4" xfId="9013"/>
    <cellStyle name="SubRoutine 4 6 3" xfId="9014"/>
    <cellStyle name="SubRoutine 4 6 3 2" xfId="9015"/>
    <cellStyle name="SubRoutine 4 6 4" xfId="9016"/>
    <cellStyle name="SubRoutine 4 6 5" xfId="9017"/>
    <cellStyle name="SubRoutine 4 7" xfId="9018"/>
    <cellStyle name="SubRoutine 4 7 2" xfId="9019"/>
    <cellStyle name="SubRoutine 4 7 2 2" xfId="9020"/>
    <cellStyle name="SubRoutine 4 7 2 2 2" xfId="9021"/>
    <cellStyle name="SubRoutine 4 7 2 3" xfId="9022"/>
    <cellStyle name="SubRoutine 4 7 2 4" xfId="9023"/>
    <cellStyle name="SubRoutine 4 7 3" xfId="9024"/>
    <cellStyle name="SubRoutine 4 7 3 2" xfId="9025"/>
    <cellStyle name="SubRoutine 4 7 4" xfId="9026"/>
    <cellStyle name="SubRoutine 4 7 5" xfId="9027"/>
    <cellStyle name="SubRoutine 4 8" xfId="9028"/>
    <cellStyle name="SubRoutine 4 8 2" xfId="9029"/>
    <cellStyle name="SubRoutine 4 8 2 2" xfId="9030"/>
    <cellStyle name="SubRoutine 4 8 2 2 2" xfId="9031"/>
    <cellStyle name="SubRoutine 4 8 2 3" xfId="9032"/>
    <cellStyle name="SubRoutine 4 8 2 4" xfId="9033"/>
    <cellStyle name="SubRoutine 4 8 3" xfId="9034"/>
    <cellStyle name="SubRoutine 4 8 3 2" xfId="9035"/>
    <cellStyle name="SubRoutine 4 8 4" xfId="9036"/>
    <cellStyle name="SubRoutine 4 8 5" xfId="9037"/>
    <cellStyle name="SubRoutine 4 9" xfId="9038"/>
    <cellStyle name="SubRoutine 4 9 2" xfId="9039"/>
    <cellStyle name="SubRoutine 4 9 2 2" xfId="9040"/>
    <cellStyle name="SubRoutine 4 9 2 2 2" xfId="9041"/>
    <cellStyle name="SubRoutine 4 9 2 3" xfId="9042"/>
    <cellStyle name="SubRoutine 4 9 2 4" xfId="9043"/>
    <cellStyle name="SubRoutine 4 9 3" xfId="9044"/>
    <cellStyle name="SubRoutine 4 9 3 2" xfId="9045"/>
    <cellStyle name="SubRoutine 4 9 4" xfId="9046"/>
    <cellStyle name="SubRoutine 4 9 5" xfId="9047"/>
    <cellStyle name="SubRoutine 5" xfId="9048"/>
    <cellStyle name="SubRoutine 5 10" xfId="9049"/>
    <cellStyle name="SubRoutine 5 10 2" xfId="9050"/>
    <cellStyle name="SubRoutine 5 10 2 2" xfId="9051"/>
    <cellStyle name="SubRoutine 5 10 3" xfId="9052"/>
    <cellStyle name="SubRoutine 5 10 4" xfId="9053"/>
    <cellStyle name="SubRoutine 5 11" xfId="9054"/>
    <cellStyle name="SubRoutine 5 11 2" xfId="9055"/>
    <cellStyle name="SubRoutine 5 12" xfId="9056"/>
    <cellStyle name="SubRoutine 5 13" xfId="9057"/>
    <cellStyle name="SubRoutine 5 2" xfId="9058"/>
    <cellStyle name="SubRoutine 5 2 2" xfId="9059"/>
    <cellStyle name="SubRoutine 5 2 2 2" xfId="9060"/>
    <cellStyle name="SubRoutine 5 2 2 2 2" xfId="9061"/>
    <cellStyle name="SubRoutine 5 2 2 3" xfId="9062"/>
    <cellStyle name="SubRoutine 5 2 2 4" xfId="9063"/>
    <cellStyle name="SubRoutine 5 2 3" xfId="9064"/>
    <cellStyle name="SubRoutine 5 2 3 2" xfId="9065"/>
    <cellStyle name="SubRoutine 5 2 4" xfId="9066"/>
    <cellStyle name="SubRoutine 5 2 5" xfId="9067"/>
    <cellStyle name="SubRoutine 5 3" xfId="9068"/>
    <cellStyle name="SubRoutine 5 3 2" xfId="9069"/>
    <cellStyle name="SubRoutine 5 3 2 2" xfId="9070"/>
    <cellStyle name="SubRoutine 5 3 2 2 2" xfId="9071"/>
    <cellStyle name="SubRoutine 5 3 2 3" xfId="9072"/>
    <cellStyle name="SubRoutine 5 3 2 4" xfId="9073"/>
    <cellStyle name="SubRoutine 5 3 3" xfId="9074"/>
    <cellStyle name="SubRoutine 5 3 3 2" xfId="9075"/>
    <cellStyle name="SubRoutine 5 3 4" xfId="9076"/>
    <cellStyle name="SubRoutine 5 3 5" xfId="9077"/>
    <cellStyle name="SubRoutine 5 4" xfId="9078"/>
    <cellStyle name="SubRoutine 5 4 2" xfId="9079"/>
    <cellStyle name="SubRoutine 5 4 2 2" xfId="9080"/>
    <cellStyle name="SubRoutine 5 4 2 2 2" xfId="9081"/>
    <cellStyle name="SubRoutine 5 4 2 3" xfId="9082"/>
    <cellStyle name="SubRoutine 5 4 2 4" xfId="9083"/>
    <cellStyle name="SubRoutine 5 4 3" xfId="9084"/>
    <cellStyle name="SubRoutine 5 4 3 2" xfId="9085"/>
    <cellStyle name="SubRoutine 5 4 4" xfId="9086"/>
    <cellStyle name="SubRoutine 5 4 5" xfId="9087"/>
    <cellStyle name="SubRoutine 5 5" xfId="9088"/>
    <cellStyle name="SubRoutine 5 5 2" xfId="9089"/>
    <cellStyle name="SubRoutine 5 5 2 2" xfId="9090"/>
    <cellStyle name="SubRoutine 5 5 2 2 2" xfId="9091"/>
    <cellStyle name="SubRoutine 5 5 2 3" xfId="9092"/>
    <cellStyle name="SubRoutine 5 5 2 4" xfId="9093"/>
    <cellStyle name="SubRoutine 5 5 3" xfId="9094"/>
    <cellStyle name="SubRoutine 5 5 3 2" xfId="9095"/>
    <cellStyle name="SubRoutine 5 5 4" xfId="9096"/>
    <cellStyle name="SubRoutine 5 5 5" xfId="9097"/>
    <cellStyle name="SubRoutine 5 6" xfId="9098"/>
    <cellStyle name="SubRoutine 5 6 2" xfId="9099"/>
    <cellStyle name="SubRoutine 5 6 2 2" xfId="9100"/>
    <cellStyle name="SubRoutine 5 6 2 2 2" xfId="9101"/>
    <cellStyle name="SubRoutine 5 6 2 3" xfId="9102"/>
    <cellStyle name="SubRoutine 5 6 2 4" xfId="9103"/>
    <cellStyle name="SubRoutine 5 6 3" xfId="9104"/>
    <cellStyle name="SubRoutine 5 6 3 2" xfId="9105"/>
    <cellStyle name="SubRoutine 5 6 4" xfId="9106"/>
    <cellStyle name="SubRoutine 5 6 5" xfId="9107"/>
    <cellStyle name="SubRoutine 5 7" xfId="9108"/>
    <cellStyle name="SubRoutine 5 7 2" xfId="9109"/>
    <cellStyle name="SubRoutine 5 7 2 2" xfId="9110"/>
    <cellStyle name="SubRoutine 5 7 2 2 2" xfId="9111"/>
    <cellStyle name="SubRoutine 5 7 2 3" xfId="9112"/>
    <cellStyle name="SubRoutine 5 7 2 4" xfId="9113"/>
    <cellStyle name="SubRoutine 5 7 3" xfId="9114"/>
    <cellStyle name="SubRoutine 5 7 3 2" xfId="9115"/>
    <cellStyle name="SubRoutine 5 7 4" xfId="9116"/>
    <cellStyle name="SubRoutine 5 7 5" xfId="9117"/>
    <cellStyle name="SubRoutine 5 8" xfId="9118"/>
    <cellStyle name="SubRoutine 5 8 2" xfId="9119"/>
    <cellStyle name="SubRoutine 5 8 2 2" xfId="9120"/>
    <cellStyle name="SubRoutine 5 8 2 2 2" xfId="9121"/>
    <cellStyle name="SubRoutine 5 8 2 3" xfId="9122"/>
    <cellStyle name="SubRoutine 5 8 2 4" xfId="9123"/>
    <cellStyle name="SubRoutine 5 8 3" xfId="9124"/>
    <cellStyle name="SubRoutine 5 8 3 2" xfId="9125"/>
    <cellStyle name="SubRoutine 5 8 4" xfId="9126"/>
    <cellStyle name="SubRoutine 5 8 5" xfId="9127"/>
    <cellStyle name="SubRoutine 5 9" xfId="9128"/>
    <cellStyle name="SubRoutine 5 9 2" xfId="9129"/>
    <cellStyle name="SubRoutine 5 9 2 2" xfId="9130"/>
    <cellStyle name="SubRoutine 5 9 2 2 2" xfId="9131"/>
    <cellStyle name="SubRoutine 5 9 2 3" xfId="9132"/>
    <cellStyle name="SubRoutine 5 9 2 4" xfId="9133"/>
    <cellStyle name="SubRoutine 5 9 3" xfId="9134"/>
    <cellStyle name="SubRoutine 5 9 3 2" xfId="9135"/>
    <cellStyle name="SubRoutine 5 9 4" xfId="9136"/>
    <cellStyle name="SubRoutine 5 9 5" xfId="9137"/>
    <cellStyle name="SubRoutine 6" xfId="9138"/>
    <cellStyle name="SubRoutine 6 10" xfId="9139"/>
    <cellStyle name="SubRoutine 6 10 2" xfId="9140"/>
    <cellStyle name="SubRoutine 6 10 2 2" xfId="9141"/>
    <cellStyle name="SubRoutine 6 10 3" xfId="9142"/>
    <cellStyle name="SubRoutine 6 10 4" xfId="9143"/>
    <cellStyle name="SubRoutine 6 11" xfId="9144"/>
    <cellStyle name="SubRoutine 6 11 2" xfId="9145"/>
    <cellStyle name="SubRoutine 6 12" xfId="9146"/>
    <cellStyle name="SubRoutine 6 13" xfId="9147"/>
    <cellStyle name="SubRoutine 6 2" xfId="9148"/>
    <cellStyle name="SubRoutine 6 2 2" xfId="9149"/>
    <cellStyle name="SubRoutine 6 2 2 2" xfId="9150"/>
    <cellStyle name="SubRoutine 6 2 2 2 2" xfId="9151"/>
    <cellStyle name="SubRoutine 6 2 2 3" xfId="9152"/>
    <cellStyle name="SubRoutine 6 2 2 4" xfId="9153"/>
    <cellStyle name="SubRoutine 6 2 3" xfId="9154"/>
    <cellStyle name="SubRoutine 6 2 3 2" xfId="9155"/>
    <cellStyle name="SubRoutine 6 2 4" xfId="9156"/>
    <cellStyle name="SubRoutine 6 2 5" xfId="9157"/>
    <cellStyle name="SubRoutine 6 3" xfId="9158"/>
    <cellStyle name="SubRoutine 6 3 2" xfId="9159"/>
    <cellStyle name="SubRoutine 6 3 2 2" xfId="9160"/>
    <cellStyle name="SubRoutine 6 3 2 2 2" xfId="9161"/>
    <cellStyle name="SubRoutine 6 3 2 3" xfId="9162"/>
    <cellStyle name="SubRoutine 6 3 2 4" xfId="9163"/>
    <cellStyle name="SubRoutine 6 3 3" xfId="9164"/>
    <cellStyle name="SubRoutine 6 3 3 2" xfId="9165"/>
    <cellStyle name="SubRoutine 6 3 4" xfId="9166"/>
    <cellStyle name="SubRoutine 6 3 5" xfId="9167"/>
    <cellStyle name="SubRoutine 6 4" xfId="9168"/>
    <cellStyle name="SubRoutine 6 4 2" xfId="9169"/>
    <cellStyle name="SubRoutine 6 4 2 2" xfId="9170"/>
    <cellStyle name="SubRoutine 6 4 2 2 2" xfId="9171"/>
    <cellStyle name="SubRoutine 6 4 2 3" xfId="9172"/>
    <cellStyle name="SubRoutine 6 4 2 4" xfId="9173"/>
    <cellStyle name="SubRoutine 6 4 3" xfId="9174"/>
    <cellStyle name="SubRoutine 6 4 3 2" xfId="9175"/>
    <cellStyle name="SubRoutine 6 4 4" xfId="9176"/>
    <cellStyle name="SubRoutine 6 4 5" xfId="9177"/>
    <cellStyle name="SubRoutine 6 5" xfId="9178"/>
    <cellStyle name="SubRoutine 6 5 2" xfId="9179"/>
    <cellStyle name="SubRoutine 6 5 2 2" xfId="9180"/>
    <cellStyle name="SubRoutine 6 5 2 2 2" xfId="9181"/>
    <cellStyle name="SubRoutine 6 5 2 3" xfId="9182"/>
    <cellStyle name="SubRoutine 6 5 2 4" xfId="9183"/>
    <cellStyle name="SubRoutine 6 5 3" xfId="9184"/>
    <cellStyle name="SubRoutine 6 5 3 2" xfId="9185"/>
    <cellStyle name="SubRoutine 6 5 4" xfId="9186"/>
    <cellStyle name="SubRoutine 6 5 5" xfId="9187"/>
    <cellStyle name="SubRoutine 6 6" xfId="9188"/>
    <cellStyle name="SubRoutine 6 6 2" xfId="9189"/>
    <cellStyle name="SubRoutine 6 6 2 2" xfId="9190"/>
    <cellStyle name="SubRoutine 6 6 2 2 2" xfId="9191"/>
    <cellStyle name="SubRoutine 6 6 2 3" xfId="9192"/>
    <cellStyle name="SubRoutine 6 6 2 4" xfId="9193"/>
    <cellStyle name="SubRoutine 6 6 3" xfId="9194"/>
    <cellStyle name="SubRoutine 6 6 3 2" xfId="9195"/>
    <cellStyle name="SubRoutine 6 6 4" xfId="9196"/>
    <cellStyle name="SubRoutine 6 6 5" xfId="9197"/>
    <cellStyle name="SubRoutine 6 7" xfId="9198"/>
    <cellStyle name="SubRoutine 6 7 2" xfId="9199"/>
    <cellStyle name="SubRoutine 6 7 2 2" xfId="9200"/>
    <cellStyle name="SubRoutine 6 7 2 2 2" xfId="9201"/>
    <cellStyle name="SubRoutine 6 7 2 3" xfId="9202"/>
    <cellStyle name="SubRoutine 6 7 2 4" xfId="9203"/>
    <cellStyle name="SubRoutine 6 7 3" xfId="9204"/>
    <cellStyle name="SubRoutine 6 7 3 2" xfId="9205"/>
    <cellStyle name="SubRoutine 6 7 4" xfId="9206"/>
    <cellStyle name="SubRoutine 6 7 5" xfId="9207"/>
    <cellStyle name="SubRoutine 6 8" xfId="9208"/>
    <cellStyle name="SubRoutine 6 8 2" xfId="9209"/>
    <cellStyle name="SubRoutine 6 8 2 2" xfId="9210"/>
    <cellStyle name="SubRoutine 6 8 2 2 2" xfId="9211"/>
    <cellStyle name="SubRoutine 6 8 2 3" xfId="9212"/>
    <cellStyle name="SubRoutine 6 8 2 4" xfId="9213"/>
    <cellStyle name="SubRoutine 6 8 3" xfId="9214"/>
    <cellStyle name="SubRoutine 6 8 3 2" xfId="9215"/>
    <cellStyle name="SubRoutine 6 8 4" xfId="9216"/>
    <cellStyle name="SubRoutine 6 8 5" xfId="9217"/>
    <cellStyle name="SubRoutine 6 9" xfId="9218"/>
    <cellStyle name="SubRoutine 6 9 2" xfId="9219"/>
    <cellStyle name="SubRoutine 6 9 2 2" xfId="9220"/>
    <cellStyle name="SubRoutine 6 9 2 2 2" xfId="9221"/>
    <cellStyle name="SubRoutine 6 9 2 3" xfId="9222"/>
    <cellStyle name="SubRoutine 6 9 2 4" xfId="9223"/>
    <cellStyle name="SubRoutine 6 9 3" xfId="9224"/>
    <cellStyle name="SubRoutine 6 9 3 2" xfId="9225"/>
    <cellStyle name="SubRoutine 6 9 4" xfId="9226"/>
    <cellStyle name="SubRoutine 6 9 5" xfId="9227"/>
    <cellStyle name="SubRoutine 7" xfId="9228"/>
    <cellStyle name="SubRoutine 7 2" xfId="9229"/>
    <cellStyle name="SubRoutine 7 2 2" xfId="9230"/>
    <cellStyle name="SubRoutine 7 2 2 2" xfId="9231"/>
    <cellStyle name="SubRoutine 7 2 2 2 2" xfId="9232"/>
    <cellStyle name="SubRoutine 7 2 2 3" xfId="9233"/>
    <cellStyle name="SubRoutine 7 2 2 4" xfId="9234"/>
    <cellStyle name="SubRoutine 7 2 3" xfId="9235"/>
    <cellStyle name="SubRoutine 7 2 3 2" xfId="9236"/>
    <cellStyle name="SubRoutine 7 2 4" xfId="9237"/>
    <cellStyle name="SubRoutine 7 2 5" xfId="9238"/>
    <cellStyle name="SubRoutine 7 3" xfId="9239"/>
    <cellStyle name="SubRoutine 7 3 2" xfId="9240"/>
    <cellStyle name="SubRoutine 7 3 2 2" xfId="9241"/>
    <cellStyle name="SubRoutine 7 3 2 2 2" xfId="9242"/>
    <cellStyle name="SubRoutine 7 3 2 3" xfId="9243"/>
    <cellStyle name="SubRoutine 7 3 2 4" xfId="9244"/>
    <cellStyle name="SubRoutine 7 3 3" xfId="9245"/>
    <cellStyle name="SubRoutine 7 3 3 2" xfId="9246"/>
    <cellStyle name="SubRoutine 7 3 4" xfId="9247"/>
    <cellStyle name="SubRoutine 7 3 5" xfId="9248"/>
    <cellStyle name="SubRoutine 7 4" xfId="9249"/>
    <cellStyle name="SubRoutine 7 4 2" xfId="9250"/>
    <cellStyle name="SubRoutine 7 4 2 2" xfId="9251"/>
    <cellStyle name="SubRoutine 7 4 2 2 2" xfId="9252"/>
    <cellStyle name="SubRoutine 7 4 2 3" xfId="9253"/>
    <cellStyle name="SubRoutine 7 4 2 4" xfId="9254"/>
    <cellStyle name="SubRoutine 7 4 3" xfId="9255"/>
    <cellStyle name="SubRoutine 7 4 3 2" xfId="9256"/>
    <cellStyle name="SubRoutine 7 4 4" xfId="9257"/>
    <cellStyle name="SubRoutine 7 4 5" xfId="9258"/>
    <cellStyle name="SubRoutine 7 5" xfId="9259"/>
    <cellStyle name="SubRoutine 7 5 2" xfId="9260"/>
    <cellStyle name="SubRoutine 7 5 2 2" xfId="9261"/>
    <cellStyle name="SubRoutine 7 5 2 2 2" xfId="9262"/>
    <cellStyle name="SubRoutine 7 5 2 3" xfId="9263"/>
    <cellStyle name="SubRoutine 7 5 2 4" xfId="9264"/>
    <cellStyle name="SubRoutine 7 5 3" xfId="9265"/>
    <cellStyle name="SubRoutine 7 5 3 2" xfId="9266"/>
    <cellStyle name="SubRoutine 7 5 4" xfId="9267"/>
    <cellStyle name="SubRoutine 7 5 5" xfId="9268"/>
    <cellStyle name="SubRoutine 7 6" xfId="9269"/>
    <cellStyle name="SubRoutine 7 6 2" xfId="9270"/>
    <cellStyle name="SubRoutine 7 6 2 2" xfId="9271"/>
    <cellStyle name="SubRoutine 7 6 3" xfId="9272"/>
    <cellStyle name="SubRoutine 7 6 4" xfId="9273"/>
    <cellStyle name="SubRoutine 7 7" xfId="9274"/>
    <cellStyle name="SubRoutine 7 7 2" xfId="9275"/>
    <cellStyle name="SubRoutine 7 8" xfId="9276"/>
    <cellStyle name="SubRoutine 7 9" xfId="9277"/>
    <cellStyle name="SubRoutine 8" xfId="9278"/>
    <cellStyle name="SubRoutine 8 2" xfId="9279"/>
    <cellStyle name="SubRoutine 8 2 2" xfId="9280"/>
    <cellStyle name="SubRoutine 8 2 2 2" xfId="9281"/>
    <cellStyle name="SubRoutine 8 2 2 2 2" xfId="9282"/>
    <cellStyle name="SubRoutine 8 2 2 3" xfId="9283"/>
    <cellStyle name="SubRoutine 8 2 2 4" xfId="9284"/>
    <cellStyle name="SubRoutine 8 2 3" xfId="9285"/>
    <cellStyle name="SubRoutine 8 2 3 2" xfId="9286"/>
    <cellStyle name="SubRoutine 8 2 4" xfId="9287"/>
    <cellStyle name="SubRoutine 8 2 5" xfId="9288"/>
    <cellStyle name="SubRoutine 8 3" xfId="9289"/>
    <cellStyle name="SubRoutine 8 3 2" xfId="9290"/>
    <cellStyle name="SubRoutine 8 3 2 2" xfId="9291"/>
    <cellStyle name="SubRoutine 8 3 2 2 2" xfId="9292"/>
    <cellStyle name="SubRoutine 8 3 2 3" xfId="9293"/>
    <cellStyle name="SubRoutine 8 3 2 4" xfId="9294"/>
    <cellStyle name="SubRoutine 8 3 3" xfId="9295"/>
    <cellStyle name="SubRoutine 8 3 3 2" xfId="9296"/>
    <cellStyle name="SubRoutine 8 3 4" xfId="9297"/>
    <cellStyle name="SubRoutine 8 3 5" xfId="9298"/>
    <cellStyle name="SubRoutine 8 4" xfId="9299"/>
    <cellStyle name="SubRoutine 8 4 2" xfId="9300"/>
    <cellStyle name="SubRoutine 8 4 2 2" xfId="9301"/>
    <cellStyle name="SubRoutine 8 4 2 2 2" xfId="9302"/>
    <cellStyle name="SubRoutine 8 4 2 3" xfId="9303"/>
    <cellStyle name="SubRoutine 8 4 2 4" xfId="9304"/>
    <cellStyle name="SubRoutine 8 4 3" xfId="9305"/>
    <cellStyle name="SubRoutine 8 4 3 2" xfId="9306"/>
    <cellStyle name="SubRoutine 8 4 4" xfId="9307"/>
    <cellStyle name="SubRoutine 8 4 5" xfId="9308"/>
    <cellStyle name="SubRoutine 8 5" xfId="9309"/>
    <cellStyle name="SubRoutine 8 5 2" xfId="9310"/>
    <cellStyle name="SubRoutine 8 5 2 2" xfId="9311"/>
    <cellStyle name="SubRoutine 8 5 2 2 2" xfId="9312"/>
    <cellStyle name="SubRoutine 8 5 2 3" xfId="9313"/>
    <cellStyle name="SubRoutine 8 5 2 4" xfId="9314"/>
    <cellStyle name="SubRoutine 8 5 3" xfId="9315"/>
    <cellStyle name="SubRoutine 8 5 3 2" xfId="9316"/>
    <cellStyle name="SubRoutine 8 5 4" xfId="9317"/>
    <cellStyle name="SubRoutine 8 5 5" xfId="9318"/>
    <cellStyle name="SubRoutine 8 6" xfId="9319"/>
    <cellStyle name="SubRoutine 8 6 2" xfId="9320"/>
    <cellStyle name="SubRoutine 8 6 2 2" xfId="9321"/>
    <cellStyle name="SubRoutine 8 6 3" xfId="9322"/>
    <cellStyle name="SubRoutine 8 6 4" xfId="9323"/>
    <cellStyle name="SubRoutine 8 7" xfId="9324"/>
    <cellStyle name="SubRoutine 8 7 2" xfId="9325"/>
    <cellStyle name="SubRoutine 8 8" xfId="9326"/>
    <cellStyle name="SubRoutine 8 9" xfId="9327"/>
    <cellStyle name="SubRoutine 9" xfId="9328"/>
    <cellStyle name="SubRoutine 9 2" xfId="9329"/>
    <cellStyle name="SubRoutine 9 2 2" xfId="9330"/>
    <cellStyle name="SubRoutine 9 2 2 2" xfId="9331"/>
    <cellStyle name="SubRoutine 9 2 2 2 2" xfId="9332"/>
    <cellStyle name="SubRoutine 9 2 2 3" xfId="9333"/>
    <cellStyle name="SubRoutine 9 2 2 4" xfId="9334"/>
    <cellStyle name="SubRoutine 9 2 3" xfId="9335"/>
    <cellStyle name="SubRoutine 9 2 3 2" xfId="9336"/>
    <cellStyle name="SubRoutine 9 2 4" xfId="9337"/>
    <cellStyle name="SubRoutine 9 2 5" xfId="9338"/>
    <cellStyle name="SubRoutine 9 3" xfId="9339"/>
    <cellStyle name="SubRoutine 9 3 2" xfId="9340"/>
    <cellStyle name="SubRoutine 9 3 2 2" xfId="9341"/>
    <cellStyle name="SubRoutine 9 3 2 2 2" xfId="9342"/>
    <cellStyle name="SubRoutine 9 3 2 3" xfId="9343"/>
    <cellStyle name="SubRoutine 9 3 2 4" xfId="9344"/>
    <cellStyle name="SubRoutine 9 3 3" xfId="9345"/>
    <cellStyle name="SubRoutine 9 3 3 2" xfId="9346"/>
    <cellStyle name="SubRoutine 9 3 4" xfId="9347"/>
    <cellStyle name="SubRoutine 9 3 5" xfId="9348"/>
    <cellStyle name="SubRoutine 9 4" xfId="9349"/>
    <cellStyle name="SubRoutine 9 4 2" xfId="9350"/>
    <cellStyle name="SubRoutine 9 4 2 2" xfId="9351"/>
    <cellStyle name="SubRoutine 9 4 2 2 2" xfId="9352"/>
    <cellStyle name="SubRoutine 9 4 2 3" xfId="9353"/>
    <cellStyle name="SubRoutine 9 4 2 4" xfId="9354"/>
    <cellStyle name="SubRoutine 9 4 3" xfId="9355"/>
    <cellStyle name="SubRoutine 9 4 3 2" xfId="9356"/>
    <cellStyle name="SubRoutine 9 4 4" xfId="9357"/>
    <cellStyle name="SubRoutine 9 4 5" xfId="9358"/>
    <cellStyle name="SubRoutine 9 5" xfId="9359"/>
    <cellStyle name="SubRoutine 9 5 2" xfId="9360"/>
    <cellStyle name="SubRoutine 9 5 2 2" xfId="9361"/>
    <cellStyle name="SubRoutine 9 5 2 2 2" xfId="9362"/>
    <cellStyle name="SubRoutine 9 5 2 3" xfId="9363"/>
    <cellStyle name="SubRoutine 9 5 2 4" xfId="9364"/>
    <cellStyle name="SubRoutine 9 5 3" xfId="9365"/>
    <cellStyle name="SubRoutine 9 5 3 2" xfId="9366"/>
    <cellStyle name="SubRoutine 9 5 4" xfId="9367"/>
    <cellStyle name="SubRoutine 9 5 5" xfId="9368"/>
    <cellStyle name="SubRoutine 9 6" xfId="9369"/>
    <cellStyle name="SubRoutine 9 6 2" xfId="9370"/>
    <cellStyle name="SubRoutine 9 6 2 2" xfId="9371"/>
    <cellStyle name="SubRoutine 9 6 3" xfId="9372"/>
    <cellStyle name="SubRoutine 9 6 4" xfId="9373"/>
    <cellStyle name="SubRoutine 9 7" xfId="9374"/>
    <cellStyle name="SubRoutine 9 7 2" xfId="9375"/>
    <cellStyle name="SubRoutine 9 8" xfId="9376"/>
    <cellStyle name="SubRoutine 9 9" xfId="9377"/>
    <cellStyle name="SubRoutine_11-03.1 Pepco" xfId="3734"/>
    <cellStyle name="Title" xfId="60" builtinId="15" customBuiltin="1"/>
    <cellStyle name="Title 10" xfId="3735"/>
    <cellStyle name="Title 10 2" xfId="3736"/>
    <cellStyle name="Title 11" xfId="3737"/>
    <cellStyle name="Title 11 2" xfId="3738"/>
    <cellStyle name="Title 12" xfId="3739"/>
    <cellStyle name="Title 12 2" xfId="3740"/>
    <cellStyle name="Title 13" xfId="3741"/>
    <cellStyle name="Title 13 2" xfId="3742"/>
    <cellStyle name="Title 14" xfId="3743"/>
    <cellStyle name="Title 14 2" xfId="3744"/>
    <cellStyle name="Title 15" xfId="3745"/>
    <cellStyle name="Title 15 2" xfId="3746"/>
    <cellStyle name="Title 16" xfId="3747"/>
    <cellStyle name="Title 16 2" xfId="3748"/>
    <cellStyle name="Title 17" xfId="3749"/>
    <cellStyle name="Title 17 2" xfId="3750"/>
    <cellStyle name="Title 18" xfId="3751"/>
    <cellStyle name="Title 18 2" xfId="3752"/>
    <cellStyle name="Title 19" xfId="3753"/>
    <cellStyle name="Title 19 2" xfId="3754"/>
    <cellStyle name="Title 2" xfId="3755"/>
    <cellStyle name="Title 2 2" xfId="3756"/>
    <cellStyle name="Title 2 3" xfId="3757"/>
    <cellStyle name="Title 20" xfId="3758"/>
    <cellStyle name="Title 21" xfId="3759"/>
    <cellStyle name="Title 22" xfId="3760"/>
    <cellStyle name="Title 23" xfId="3761"/>
    <cellStyle name="Title 24" xfId="3762"/>
    <cellStyle name="Title 25" xfId="3763"/>
    <cellStyle name="Title 26" xfId="3764"/>
    <cellStyle name="Title 27" xfId="3765"/>
    <cellStyle name="Title 28" xfId="3766"/>
    <cellStyle name="Title 29" xfId="3767"/>
    <cellStyle name="Title 3" xfId="9378"/>
    <cellStyle name="Title 3 2" xfId="3768"/>
    <cellStyle name="Title 30" xfId="3769"/>
    <cellStyle name="Title 31" xfId="3770"/>
    <cellStyle name="Title 32" xfId="3771"/>
    <cellStyle name="Title 33" xfId="3772"/>
    <cellStyle name="Title 34" xfId="3773"/>
    <cellStyle name="Title 35" xfId="3774"/>
    <cellStyle name="Title 36" xfId="3775"/>
    <cellStyle name="Title 37" xfId="9468"/>
    <cellStyle name="Title 4" xfId="3776"/>
    <cellStyle name="Title 4 2" xfId="3777"/>
    <cellStyle name="Title 5" xfId="3778"/>
    <cellStyle name="Title 5 2" xfId="3779"/>
    <cellStyle name="Title 6" xfId="3780"/>
    <cellStyle name="Title 6 2" xfId="3781"/>
    <cellStyle name="Title 7" xfId="3782"/>
    <cellStyle name="Title 7 2" xfId="3783"/>
    <cellStyle name="Title 8" xfId="3784"/>
    <cellStyle name="Title 8 2" xfId="3785"/>
    <cellStyle name="Title 9" xfId="3786"/>
    <cellStyle name="Title 9 2" xfId="3787"/>
    <cellStyle name="Total" xfId="61" builtinId="25" customBuiltin="1"/>
    <cellStyle name="Total 10" xfId="3788"/>
    <cellStyle name="Total 10 2" xfId="3789"/>
    <cellStyle name="Total 11" xfId="3790"/>
    <cellStyle name="Total 11 2" xfId="3791"/>
    <cellStyle name="Total 12" xfId="3792"/>
    <cellStyle name="Total 12 2" xfId="3793"/>
    <cellStyle name="Total 13" xfId="3794"/>
    <cellStyle name="Total 13 2" xfId="3795"/>
    <cellStyle name="Total 14" xfId="3796"/>
    <cellStyle name="Total 14 2" xfId="3797"/>
    <cellStyle name="Total 15" xfId="3798"/>
    <cellStyle name="Total 15 2" xfId="3799"/>
    <cellStyle name="Total 16" xfId="3800"/>
    <cellStyle name="Total 16 2" xfId="3801"/>
    <cellStyle name="Total 17" xfId="3802"/>
    <cellStyle name="Total 17 2" xfId="3803"/>
    <cellStyle name="Total 18" xfId="3804"/>
    <cellStyle name="Total 18 2" xfId="3805"/>
    <cellStyle name="Total 19" xfId="3806"/>
    <cellStyle name="Total 19 2" xfId="3807"/>
    <cellStyle name="Total 2" xfId="3808"/>
    <cellStyle name="Total 2 2" xfId="3809"/>
    <cellStyle name="Total 2 3" xfId="3810"/>
    <cellStyle name="Total 20" xfId="3811"/>
    <cellStyle name="Total 21" xfId="3812"/>
    <cellStyle name="Total 22" xfId="3813"/>
    <cellStyle name="Total 23" xfId="3814"/>
    <cellStyle name="Total 24" xfId="3815"/>
    <cellStyle name="Total 25" xfId="3816"/>
    <cellStyle name="Total 26" xfId="3817"/>
    <cellStyle name="Total 27" xfId="3818"/>
    <cellStyle name="Total 28" xfId="3819"/>
    <cellStyle name="Total 29" xfId="3820"/>
    <cellStyle name="Total 3" xfId="3821"/>
    <cellStyle name="Total 3 2" xfId="3822"/>
    <cellStyle name="Total 30" xfId="3823"/>
    <cellStyle name="Total 31" xfId="3824"/>
    <cellStyle name="Total 32" xfId="3825"/>
    <cellStyle name="Total 33" xfId="3826"/>
    <cellStyle name="Total 34" xfId="3827"/>
    <cellStyle name="Total 35" xfId="3828"/>
    <cellStyle name="Total 36" xfId="3829"/>
    <cellStyle name="Total 37" xfId="9469"/>
    <cellStyle name="Total 4" xfId="3830"/>
    <cellStyle name="Total 4 2" xfId="3831"/>
    <cellStyle name="Total 5" xfId="3832"/>
    <cellStyle name="Total 5 2" xfId="3833"/>
    <cellStyle name="Total 6" xfId="3834"/>
    <cellStyle name="Total 6 2" xfId="3835"/>
    <cellStyle name="Total 7" xfId="3836"/>
    <cellStyle name="Total 7 2" xfId="3837"/>
    <cellStyle name="Total 8" xfId="3838"/>
    <cellStyle name="Total 8 2" xfId="3839"/>
    <cellStyle name="Total 9" xfId="3840"/>
    <cellStyle name="Total 9 2" xfId="3841"/>
    <cellStyle name="Warning Text" xfId="62" builtinId="11" customBuiltin="1"/>
    <cellStyle name="Warning Text 10" xfId="3842"/>
    <cellStyle name="Warning Text 10 2" xfId="3843"/>
    <cellStyle name="Warning Text 11" xfId="3844"/>
    <cellStyle name="Warning Text 11 2" xfId="3845"/>
    <cellStyle name="Warning Text 12" xfId="3846"/>
    <cellStyle name="Warning Text 12 2" xfId="3847"/>
    <cellStyle name="Warning Text 13" xfId="3848"/>
    <cellStyle name="Warning Text 13 2" xfId="3849"/>
    <cellStyle name="Warning Text 14" xfId="3850"/>
    <cellStyle name="Warning Text 14 2" xfId="3851"/>
    <cellStyle name="Warning Text 15" xfId="3852"/>
    <cellStyle name="Warning Text 15 2" xfId="3853"/>
    <cellStyle name="Warning Text 16" xfId="3854"/>
    <cellStyle name="Warning Text 16 2" xfId="3855"/>
    <cellStyle name="Warning Text 17" xfId="3856"/>
    <cellStyle name="Warning Text 17 2" xfId="3857"/>
    <cellStyle name="Warning Text 18" xfId="3858"/>
    <cellStyle name="Warning Text 18 2" xfId="3859"/>
    <cellStyle name="Warning Text 19" xfId="3860"/>
    <cellStyle name="Warning Text 19 2" xfId="3861"/>
    <cellStyle name="Warning Text 2" xfId="3862"/>
    <cellStyle name="Warning Text 2 2" xfId="3863"/>
    <cellStyle name="Warning Text 2 3" xfId="3864"/>
    <cellStyle name="Warning Text 20" xfId="3865"/>
    <cellStyle name="Warning Text 21" xfId="3866"/>
    <cellStyle name="Warning Text 22" xfId="3867"/>
    <cellStyle name="Warning Text 23" xfId="3868"/>
    <cellStyle name="Warning Text 24" xfId="3869"/>
    <cellStyle name="Warning Text 25" xfId="3870"/>
    <cellStyle name="Warning Text 26" xfId="3871"/>
    <cellStyle name="Warning Text 27" xfId="3872"/>
    <cellStyle name="Warning Text 28" xfId="3873"/>
    <cellStyle name="Warning Text 29" xfId="3874"/>
    <cellStyle name="Warning Text 3" xfId="3875"/>
    <cellStyle name="Warning Text 3 2" xfId="3876"/>
    <cellStyle name="Warning Text 30" xfId="3877"/>
    <cellStyle name="Warning Text 31" xfId="3878"/>
    <cellStyle name="Warning Text 32" xfId="3879"/>
    <cellStyle name="Warning Text 33" xfId="3880"/>
    <cellStyle name="Warning Text 34" xfId="3881"/>
    <cellStyle name="Warning Text 35" xfId="3882"/>
    <cellStyle name="Warning Text 36" xfId="3883"/>
    <cellStyle name="Warning Text 37" xfId="9470"/>
    <cellStyle name="Warning Text 4" xfId="3884"/>
    <cellStyle name="Warning Text 4 2" xfId="3885"/>
    <cellStyle name="Warning Text 5" xfId="3886"/>
    <cellStyle name="Warning Text 5 2" xfId="3887"/>
    <cellStyle name="Warning Text 6" xfId="3888"/>
    <cellStyle name="Warning Text 6 2" xfId="3889"/>
    <cellStyle name="Warning Text 7" xfId="3890"/>
    <cellStyle name="Warning Text 7 2" xfId="3891"/>
    <cellStyle name="Warning Text 8" xfId="3892"/>
    <cellStyle name="Warning Text 8 2" xfId="3893"/>
    <cellStyle name="Warning Text 9" xfId="3894"/>
    <cellStyle name="Warning Text 9 2" xfId="389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41" Type="http://schemas.openxmlformats.org/officeDocument/2006/relationships/externalLink" Target="externalLinks/externalLink3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144</xdr:row>
      <xdr:rowOff>0</xdr:rowOff>
    </xdr:from>
    <xdr:to>
      <xdr:col>11</xdr:col>
      <xdr:colOff>349250</xdr:colOff>
      <xdr:row>235</xdr:row>
      <xdr:rowOff>84686</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955250"/>
          <a:ext cx="10858500" cy="145309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158749</xdr:rowOff>
    </xdr:from>
    <xdr:to>
      <xdr:col>11</xdr:col>
      <xdr:colOff>476250</xdr:colOff>
      <xdr:row>143</xdr:row>
      <xdr:rowOff>101440</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873999"/>
          <a:ext cx="10985500" cy="15023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Yang.Li\Local%20Settings\Temporary%20Internet%20Files\OLK35\NQ04_M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NJ%20Restructuring\2002%20Budget%20and%20Rates\2002%20High%20Level%20Budget\2002-2006%20TUB%20Forecast%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epcoholdings.biz\userhome\CP_FP13_UD3\tmcgregor\My%20Documents\PHI%20Mng%20Rev%20Process\2006%20Bus%20Plan%20&amp;%20Budget\Monthly%20Reports%20for%20CCG%202006\08Aug06\Stats%200806\Aug%20-%2020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1\kfjeldal\LOCALS~1\Temp\notes8160F2\2002-2006%20TUB%20Forecast%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kfjeldal\LOCALS~1\Temp\notes8160F2\2003-2007%20TUB%20Forecast%20Deferral%20Case%20v0801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hared\NewJerseyDeferrals\1999%20Deferrals\oct99\OctoberTariff(Ol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P-WPP-FP04\UD2\X080KGA\My%20Documents\version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sgrtaxcredit\agtax$\Agtax\2004\Tax%20Provision\Tax%20Provision%20To%20Return\2004%20TAX%20PROVISION%20PROVISION%20TO%20RETUR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TEMP\Res_Alloc_MBS_Replacement_Projec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ervices\Finance\0848_tax_dept\Tax%20Accounting,%20Provisions,%20and%20Reserves\TBBS\10K%20Footnote%20Support\2009\10K%20Support%20GL%20Lookup%20-%20Updated%20with%202009%20Acct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FERC%20Deferred%20Rollforward\Q2%202009%20Deferred%20Rollforwar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ervices\Finance\0992_g038\DC%20DETAIL%202006\Annual%20Ratios%20for%20Rev%20Req\2006%20Rent%20Revenue\Rent%20Revenue%20Analysis%2020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WINDOWS\TEMP\Unit%20Data%20Upload\Templates\Hyp.%20Retrieve%20v3.5%20%20-%20May%20%20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ervices\Finance\0848_tax_dept\Tax%20Accounting,%20Provisions,%20and%20Reserves\Provisions\2009\PHI%20Consolidated\Q1\Rollforwards,%20Acct%20Recs,%20ETR\PHI%20Consol%20Current-Def'd%20Exp%202009-03%20-%20WORKING.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smallk\LOCALS~1\Temp\notesA188F6\DOCUME~1\x0560fs\LOCALS~1\Temp\notes61BBD3\Pepco%2012-31-07%20TBBS%20adjust%20for%20MD%20rate%20change%20updated%20KR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JJanocha\JJanocha\NJ%20Restructuring\2000%20Rates\Rate%20Design\2000%20Rat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G304\CorpModel\Download\eda_cwip.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Services\Finance\0848_tax_dept\Tax%20Accounting,%20Provisions,%20and%20Reserves\Provisions\2010\PHI%20Consolidated\Q3\PHI%20Consol%20Current-Defd%20Exp%202010-09%20-%20Working%20Copy.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Services\Finance\0848_tax_dept\Tax%20Accounting,%20Provisions,%20and%20Reserves\Provisions\2008\Power%20Delivery\PEPCO\Q3\Uploads,%20Journal%20Entries\July%20Close\July%202008%20Provision.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epcoholdings.biz\userhome\PDelivery\NCRO\Regiondata1\0888_revaccount\Accts%20Rec%20Aging\2006\Pepco\Pepco%20AR%20Aging%20Analysis\Pepco%202006%20Aging\AR%20Aging%202005\DATA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P-NT04\NCRFiles\Finance\Finsvcs\Close%20-%20Current\Current%20Month%20Analyse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epcoholdings.biz\userhome\CP_FP13_UD3\tmcgregor\My%20Documents\PHI%20Mng%20Rev%20Process\2007%20Bus%20Plan%20&amp;%20Budget\CFO%20Mtg%209-5-06\2007%20S&amp;R%20Forecast%20v1r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502765%20GM\2005\WD05_Capital\NQ05_M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C-WPP-FP05\UD3\yoakumj\My%20Documents\Entry%20Template%20-%20State%20Dropdown.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nts%20and%20Settings\albresi1\Local%20Settings\Temporary%20Internet%20Files\OLK35\Use%20of%20Non-%20Recognized%20Net%20Operating%20Loss%20-%20NO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U:\WDIR\Desktop\Synforms_4.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nts%20and%20Settings\a315749\Local%20Settings\Temporary%20Internet%20Files\OLK31\SGRS_Synforms%20(1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Pes\Finance\LMK%20Files%202-25-05\2005%20Budget\2005%20PES%20Budget%201-01-05%20FINAL%2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PHI_Shared_Services\G038\MDDETAIL\PROPTAX.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CLIENTS\Clients\STR\Indirect%20Cost\Conectiv\Contractors\2000%20Orders%20with%20vendo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ervices\Finance\0848_corptaxnorth\tax\accrual\2006\ACE\December\Worksheet%20in%20Basis%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ervices\Finance\0848_tax_dept\Regulatory\Pepco\Operating%20&amp;%20Nonoperating%20Reclass%20Entries\RPT50MON%2008%20Qrtly%20FERC%20Budge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ervices\Finance\0848_tax_dept\TOTIT\Close\Entity%20Sub-Group\PEPCO\Monthly%20Recon\2010\Sept%20236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EPCO\FERC%20Form%201\Form%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ervices\Finance\0848_tax_dept\Regulatory\Pepco\FERC%20Workpapers\Fas109%203rd%20Qtr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BalSheet"/>
      <sheetName val="Results"/>
      <sheetName val="Expense"/>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10-25-01 NUG Update"/>
      <sheetName val="ACE Unit 10-25-01 Update"/>
      <sheetName val="Congestion"/>
      <sheetName val="Congestion-DA"/>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SAP Upload Support"/>
      <sheetName val="Deepwater 2002 Income Statement"/>
      <sheetName val="2002 TUB Income Statement w DW"/>
      <sheetName val="TUB Income Statement 2002-2006"/>
      <sheetName val="TUB Inc State 2002-2006 w DW"/>
      <sheetName val="Sheet1"/>
      <sheetName val="OTRA Discounts"/>
      <sheetName val="Data Sheet"/>
      <sheetName val="JFJ-4 CEP Rate"/>
      <sheetName val="JFJ-1 Deferral Recovery Rate"/>
      <sheetName val="JFJ-3 MTC Rate"/>
      <sheetName val="Keystone Swap Amort Sched"/>
    </sheetNames>
    <sheetDataSet>
      <sheetData sheetId="0">
        <row r="14">
          <cell r="H14">
            <v>6.2848648648648656E-2</v>
          </cell>
        </row>
      </sheetData>
      <sheetData sheetId="1"/>
      <sheetData sheetId="2"/>
      <sheetData sheetId="3"/>
      <sheetData sheetId="4">
        <row r="14">
          <cell r="H14">
            <v>6.2848648648648656E-2</v>
          </cell>
        </row>
        <row r="15">
          <cell r="H15">
            <v>0</v>
          </cell>
        </row>
        <row r="21">
          <cell r="E21">
            <v>37438</v>
          </cell>
        </row>
        <row r="22">
          <cell r="E22">
            <v>37681</v>
          </cell>
        </row>
        <row r="33">
          <cell r="E33" t="str">
            <v>Broker</v>
          </cell>
        </row>
        <row r="36">
          <cell r="E36">
            <v>1</v>
          </cell>
        </row>
        <row r="38">
          <cell r="E38">
            <v>0</v>
          </cell>
        </row>
        <row r="52">
          <cell r="E52" t="str">
            <v>Actual</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sheetName val="MC"/>
      <sheetName val="DC"/>
      <sheetName val="ALL"/>
      <sheetName val="Percent Read YTD "/>
      <sheetName val="Performance"/>
      <sheetName val="YTD ALL"/>
      <sheetName val="PR G"/>
      <sheetName val="MT C"/>
      <sheetName val="D.C."/>
      <sheetName val="MRD"/>
      <sheetName val="July-Aug"/>
      <sheetName val="YTD Totals"/>
      <sheetName val="ADJUSTMENTS"/>
      <sheetName val="COST OF SERVICE"/>
      <sheetName val="FUNCTIONS"/>
      <sheetName val="Chart6-8 data"/>
      <sheetName val="Rates"/>
      <sheetName val="Assumptions"/>
      <sheetName val="February2008kWh"/>
      <sheetName val="November2007kWh"/>
      <sheetName val="December2007kWh"/>
      <sheetName val="January2008kWh"/>
    </sheetNames>
    <sheetDataSet>
      <sheetData sheetId="0" refreshError="1"/>
      <sheetData sheetId="1" refreshError="1"/>
      <sheetData sheetId="2" refreshError="1"/>
      <sheetData sheetId="3" refreshError="1">
        <row r="25">
          <cell r="B25">
            <v>787229</v>
          </cell>
          <cell r="C25">
            <v>712747</v>
          </cell>
          <cell r="D25">
            <v>43772</v>
          </cell>
          <cell r="E25">
            <v>30710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Deepwater 2002 Income Statement"/>
      <sheetName val="2002 TUB Income Statement w DW"/>
      <sheetName val="TUB Income Statement 2002-2006"/>
      <sheetName val="TUB Inc State 2002-2006 w DW"/>
      <sheetName val="Sheet1"/>
      <sheetName val="OTRA Discounts"/>
      <sheetName val="TBC Rate Summary"/>
      <sheetName val="Restructuring Amort."/>
      <sheetName val="JFJ-4 CEP Rate"/>
      <sheetName val="JFJ-1 Deferral Recovery Rate"/>
      <sheetName val="Keystone Swap Amort Sched"/>
      <sheetName val="ADJUSTMENTS"/>
      <sheetName val="COST OF SERV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JFJ-1 Deferral Recovery Rate"/>
      <sheetName val="JFJ-3 MTC Rate"/>
      <sheetName val="JFJ-2 NNC Rates"/>
      <sheetName val="JFJ-4 CEP Rate"/>
      <sheetName val="JFJ-5 USF Rate"/>
      <sheetName val="JFJ-6 CRA Rate"/>
      <sheetName val="JFJ-7 2003 Rate Impact Summary"/>
      <sheetName val="Deferral Forecast"/>
      <sheetName val="BGS Deferral"/>
      <sheetName val="NNC Deferral"/>
      <sheetName val="MTC Deferral"/>
      <sheetName val="SBC Deferral"/>
      <sheetName val="DSM August 1999 - July 2003"/>
      <sheetName val="Deferral Balances"/>
      <sheetName val="Interest Calc"/>
      <sheetName val="Income Statement"/>
      <sheetName val="TUB Rate Summary"/>
      <sheetName val="NNC Rates 2002-2003"/>
      <sheetName val="Reg Asset Rates"/>
      <sheetName val="2002 Reg Asset Rate"/>
      <sheetName val="TBC Rate"/>
      <sheetName val="2002 - 2007 BGS FP Costs"/>
      <sheetName val="Shopping Credit Table"/>
      <sheetName val="BGS Rates"/>
      <sheetName val="BGS NUG Rates"/>
      <sheetName val="Generation Results 7-2-01"/>
      <sheetName val="GRFT Amortization"/>
      <sheetName val="Keystone Swap Amort Sched"/>
      <sheetName val="Updated Stranded Cost Principal"/>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BLE 2002 Budget"/>
      <sheetName val="Keystone Rev Req"/>
      <sheetName val="Conemaugh Rev Req"/>
      <sheetName val="MTC Return"/>
      <sheetName val="taxes"/>
      <sheetName val="SAP Upload Support"/>
      <sheetName val="OTRA Discounts"/>
      <sheetName val="5 YearUpdated4-24-02"/>
      <sheetName val="2002 Budget Revenues"/>
      <sheetName val="2001 Budget Revenues"/>
      <sheetName val="Rate Component Matrix"/>
      <sheetName val="SBC Over Recovery Amort"/>
      <sheetName val="Pepco_Billed"/>
      <sheetName val="Pepco_Net UnBilled"/>
      <sheetName val="Monthly Bill Data"/>
      <sheetName val="Input"/>
      <sheetName val="ListsOfValues"/>
    </sheetNames>
    <sheetDataSet>
      <sheetData sheetId="0">
        <row r="28">
          <cell r="E28">
            <v>38718</v>
          </cell>
        </row>
        <row r="29">
          <cell r="E29">
            <v>38718</v>
          </cell>
        </row>
        <row r="52">
          <cell r="E52">
            <v>1.6906170752324599</v>
          </cell>
        </row>
        <row r="58">
          <cell r="E58" t="str">
            <v>Yes</v>
          </cell>
        </row>
        <row r="59">
          <cell r="E59">
            <v>1</v>
          </cell>
        </row>
      </sheetData>
      <sheetData sheetId="1">
        <row r="14">
          <cell r="B14" t="str">
            <v>STARTING</v>
          </cell>
          <cell r="E14" t="str">
            <v>PRINCIPAL</v>
          </cell>
          <cell r="F14" t="str">
            <v>ENDING</v>
          </cell>
        </row>
        <row r="15">
          <cell r="A15" t="str">
            <v>PERIOD</v>
          </cell>
          <cell r="B15" t="str">
            <v>BALANCE</v>
          </cell>
          <cell r="C15" t="str">
            <v>TOTAL</v>
          </cell>
          <cell r="D15" t="str">
            <v>RETURN</v>
          </cell>
          <cell r="E15" t="str">
            <v>AMORTIZATION</v>
          </cell>
          <cell r="F15" t="str">
            <v>BALANCE</v>
          </cell>
        </row>
        <row r="16">
          <cell r="A16">
            <v>37803</v>
          </cell>
          <cell r="B16">
            <v>169931640.97767127</v>
          </cell>
          <cell r="F16">
            <v>169931640.97767127</v>
          </cell>
        </row>
        <row r="17">
          <cell r="A17">
            <v>37834</v>
          </cell>
          <cell r="B17">
            <v>169931640.97767127</v>
          </cell>
          <cell r="C17">
            <v>3955157.4647271265</v>
          </cell>
          <cell r="D17">
            <v>770356.77243210969</v>
          </cell>
          <cell r="E17">
            <v>3184800.6922950167</v>
          </cell>
          <cell r="F17">
            <v>166746840.28537625</v>
          </cell>
        </row>
        <row r="18">
          <cell r="A18">
            <v>37865</v>
          </cell>
          <cell r="B18">
            <v>166746840.28537625</v>
          </cell>
          <cell r="C18">
            <v>3955157.4647271265</v>
          </cell>
          <cell r="D18">
            <v>763137.89086290763</v>
          </cell>
          <cell r="E18">
            <v>3192019.5738642188</v>
          </cell>
          <cell r="F18">
            <v>163554820.71151203</v>
          </cell>
        </row>
        <row r="19">
          <cell r="A19">
            <v>37895</v>
          </cell>
          <cell r="B19">
            <v>163554820.71151203</v>
          </cell>
          <cell r="C19">
            <v>3955157.4647271265</v>
          </cell>
          <cell r="D19">
            <v>748683.76492628001</v>
          </cell>
          <cell r="E19">
            <v>3206473.6998008466</v>
          </cell>
          <cell r="F19">
            <v>160348347.01171118</v>
          </cell>
        </row>
        <row r="20">
          <cell r="A20">
            <v>37926</v>
          </cell>
          <cell r="B20">
            <v>160348347.01171118</v>
          </cell>
          <cell r="C20">
            <v>3955157.4647271265</v>
          </cell>
          <cell r="D20">
            <v>734180.51350597257</v>
          </cell>
          <cell r="E20">
            <v>3220976.9512211541</v>
          </cell>
          <cell r="F20">
            <v>157127370.06049001</v>
          </cell>
        </row>
        <row r="21">
          <cell r="A21">
            <v>37956</v>
          </cell>
          <cell r="B21">
            <v>157127370.06049001</v>
          </cell>
          <cell r="C21">
            <v>3955157.4647271265</v>
          </cell>
          <cell r="D21">
            <v>719611.62536365597</v>
          </cell>
          <cell r="E21">
            <v>3235545.8393634707</v>
          </cell>
          <cell r="F21">
            <v>153891824.22112656</v>
          </cell>
        </row>
        <row r="22">
          <cell r="A22">
            <v>37987</v>
          </cell>
          <cell r="B22">
            <v>153891824.22112656</v>
          </cell>
          <cell r="C22">
            <v>3955157.4647271265</v>
          </cell>
          <cell r="D22">
            <v>704976.84037166415</v>
          </cell>
          <cell r="E22">
            <v>3250180.6243554624</v>
          </cell>
          <cell r="F22">
            <v>150641643.59677109</v>
          </cell>
        </row>
        <row r="23">
          <cell r="A23">
            <v>38018</v>
          </cell>
          <cell r="B23">
            <v>150641643.59677109</v>
          </cell>
          <cell r="C23">
            <v>3955157.4647271265</v>
          </cell>
          <cell r="D23">
            <v>690275.8603872346</v>
          </cell>
          <cell r="E23">
            <v>3264881.604339892</v>
          </cell>
          <cell r="F23">
            <v>147376761.99243119</v>
          </cell>
        </row>
        <row r="24">
          <cell r="A24">
            <v>38047</v>
          </cell>
          <cell r="B24">
            <v>147376761.99243119</v>
          </cell>
          <cell r="C24">
            <v>3955157.4647271265</v>
          </cell>
          <cell r="D24">
            <v>675508.38600219181</v>
          </cell>
          <cell r="E24">
            <v>3279649.0787249347</v>
          </cell>
          <cell r="F24">
            <v>144097112.91370627</v>
          </cell>
        </row>
        <row r="25">
          <cell r="A25">
            <v>38078</v>
          </cell>
          <cell r="B25">
            <v>144097112.91370627</v>
          </cell>
          <cell r="C25">
            <v>3955157.4647271265</v>
          </cell>
          <cell r="D25">
            <v>660674.11645391153</v>
          </cell>
          <cell r="E25">
            <v>3294483.3482732149</v>
          </cell>
          <cell r="F25">
            <v>140802629.56543306</v>
          </cell>
        </row>
        <row r="26">
          <cell r="A26">
            <v>38108</v>
          </cell>
          <cell r="B26">
            <v>140802629.56543306</v>
          </cell>
          <cell r="C26">
            <v>3955157.4647271265</v>
          </cell>
          <cell r="D26">
            <v>645772.74961938243</v>
          </cell>
          <cell r="E26">
            <v>3309384.7151077441</v>
          </cell>
          <cell r="F26">
            <v>137493244.85032532</v>
          </cell>
        </row>
        <row r="27">
          <cell r="A27">
            <v>38139</v>
          </cell>
          <cell r="B27">
            <v>137493244.85032532</v>
          </cell>
          <cell r="C27">
            <v>3955157.4647271265</v>
          </cell>
          <cell r="D27">
            <v>630803.98200905218</v>
          </cell>
          <cell r="E27">
            <v>3324353.4827180742</v>
          </cell>
          <cell r="F27">
            <v>134168891.36760724</v>
          </cell>
        </row>
        <row r="28">
          <cell r="A28">
            <v>38169</v>
          </cell>
          <cell r="B28">
            <v>134168891.36760724</v>
          </cell>
          <cell r="C28">
            <v>3955157.4647271265</v>
          </cell>
          <cell r="D28">
            <v>615767.50876064715</v>
          </cell>
          <cell r="E28">
            <v>3339389.9559664791</v>
          </cell>
          <cell r="F28">
            <v>130829501.41164076</v>
          </cell>
        </row>
        <row r="29">
          <cell r="A29">
            <v>38200</v>
          </cell>
          <cell r="B29">
            <v>130829501.41164076</v>
          </cell>
          <cell r="C29">
            <v>3955157.4647271265</v>
          </cell>
          <cell r="D29">
            <v>600663.02363296202</v>
          </cell>
          <cell r="E29">
            <v>3354494.4410941647</v>
          </cell>
          <cell r="F29">
            <v>127475006.9705466</v>
          </cell>
        </row>
        <row r="30">
          <cell r="A30">
            <v>38231</v>
          </cell>
          <cell r="B30">
            <v>127475006.9705466</v>
          </cell>
          <cell r="C30">
            <v>3955157.4647271265</v>
          </cell>
          <cell r="D30">
            <v>585490.2189996246</v>
          </cell>
          <cell r="E30">
            <v>3369667.2457275018</v>
          </cell>
          <cell r="F30">
            <v>124105339.72481909</v>
          </cell>
        </row>
        <row r="31">
          <cell r="A31">
            <v>38261</v>
          </cell>
          <cell r="B31">
            <v>124105339.72481909</v>
          </cell>
          <cell r="C31">
            <v>3955157.4647271265</v>
          </cell>
          <cell r="D31">
            <v>570248.7858428288</v>
          </cell>
          <cell r="E31">
            <v>3384908.6788842976</v>
          </cell>
          <cell r="F31">
            <v>120720431.0459348</v>
          </cell>
        </row>
        <row r="32">
          <cell r="A32">
            <v>38292</v>
          </cell>
          <cell r="B32">
            <v>120720431.0459348</v>
          </cell>
          <cell r="C32">
            <v>3955157.4647271265</v>
          </cell>
          <cell r="D32">
            <v>554938.41374704207</v>
          </cell>
          <cell r="E32">
            <v>3400219.0509800846</v>
          </cell>
          <cell r="F32">
            <v>117320211.99495471</v>
          </cell>
        </row>
        <row r="33">
          <cell r="A33">
            <v>38322</v>
          </cell>
          <cell r="B33">
            <v>117320211.99495471</v>
          </cell>
          <cell r="C33">
            <v>3955157.4647271265</v>
          </cell>
          <cell r="D33">
            <v>539558.79089268285</v>
          </cell>
          <cell r="E33">
            <v>3415598.6738344436</v>
          </cell>
          <cell r="F33">
            <v>113904613.32112026</v>
          </cell>
        </row>
        <row r="34">
          <cell r="A34">
            <v>38353</v>
          </cell>
          <cell r="B34">
            <v>113904613.32112026</v>
          </cell>
          <cell r="C34">
            <v>3955157.4647271265</v>
          </cell>
          <cell r="D34">
            <v>524109.60404976987</v>
          </cell>
          <cell r="E34">
            <v>3431047.8606773568</v>
          </cell>
          <cell r="F34">
            <v>110473565.4604429</v>
          </cell>
        </row>
        <row r="35">
          <cell r="A35">
            <v>38384</v>
          </cell>
          <cell r="B35">
            <v>110473565.4604429</v>
          </cell>
          <cell r="C35">
            <v>3955157.4647271265</v>
          </cell>
          <cell r="D35">
            <v>508590.53857154312</v>
          </cell>
          <cell r="E35">
            <v>3446566.9261555835</v>
          </cell>
          <cell r="F35">
            <v>107026998.53428732</v>
          </cell>
        </row>
        <row r="36">
          <cell r="A36">
            <v>38412</v>
          </cell>
          <cell r="B36">
            <v>107026998.53428732</v>
          </cell>
          <cell r="C36">
            <v>3955157.4647271265</v>
          </cell>
          <cell r="D36">
            <v>493001.27838805516</v>
          </cell>
          <cell r="E36">
            <v>3462156.1863390715</v>
          </cell>
          <cell r="F36">
            <v>103564842.34794825</v>
          </cell>
        </row>
        <row r="37">
          <cell r="A37">
            <v>38443</v>
          </cell>
          <cell r="B37">
            <v>103564842.34794825</v>
          </cell>
          <cell r="C37">
            <v>3955157.4647271265</v>
          </cell>
          <cell r="D37">
            <v>477341.50599973393</v>
          </cell>
          <cell r="E37">
            <v>3477815.9587273924</v>
          </cell>
          <cell r="F37">
            <v>100087026.38922086</v>
          </cell>
        </row>
        <row r="38">
          <cell r="A38">
            <v>38473</v>
          </cell>
          <cell r="B38">
            <v>100087026.38922086</v>
          </cell>
          <cell r="C38">
            <v>3955157.4647271265</v>
          </cell>
          <cell r="D38">
            <v>461610.90247091663</v>
          </cell>
          <cell r="E38">
            <v>3493546.56225621</v>
          </cell>
          <cell r="F38">
            <v>96593479.826964647</v>
          </cell>
        </row>
        <row r="39">
          <cell r="A39">
            <v>38504</v>
          </cell>
          <cell r="B39">
            <v>96593479.826964647</v>
          </cell>
          <cell r="C39">
            <v>3955157.4647271265</v>
          </cell>
          <cell r="D39">
            <v>445809.14742335374</v>
          </cell>
          <cell r="E39">
            <v>3509348.317303773</v>
          </cell>
          <cell r="F39">
            <v>93084131.50966087</v>
          </cell>
        </row>
        <row r="40">
          <cell r="A40">
            <v>38534</v>
          </cell>
          <cell r="B40">
            <v>93084131.50966087</v>
          </cell>
          <cell r="C40">
            <v>3955157.4647271265</v>
          </cell>
          <cell r="D40">
            <v>429935.91902968445</v>
          </cell>
          <cell r="E40">
            <v>3525221.5456974423</v>
          </cell>
          <cell r="F40">
            <v>89558909.963963434</v>
          </cell>
        </row>
        <row r="41">
          <cell r="A41">
            <v>38565</v>
          </cell>
          <cell r="B41">
            <v>89558909.963963434</v>
          </cell>
          <cell r="C41">
            <v>3955157.4647271265</v>
          </cell>
          <cell r="D41">
            <v>413990.89400688169</v>
          </cell>
          <cell r="E41">
            <v>3541166.5707202447</v>
          </cell>
          <cell r="F41">
            <v>86017743.393243194</v>
          </cell>
        </row>
        <row r="42">
          <cell r="A42">
            <v>38596</v>
          </cell>
          <cell r="B42">
            <v>86017743.393243194</v>
          </cell>
          <cell r="C42">
            <v>3955157.4647271265</v>
          </cell>
          <cell r="D42">
            <v>397973.74760966835</v>
          </cell>
          <cell r="E42">
            <v>3557183.7171174581</v>
          </cell>
          <cell r="F42">
            <v>82460559.676125735</v>
          </cell>
        </row>
        <row r="43">
          <cell r="A43">
            <v>38626</v>
          </cell>
          <cell r="B43">
            <v>82460559.676125735</v>
          </cell>
          <cell r="C43">
            <v>3955157.4647271265</v>
          </cell>
          <cell r="D43">
            <v>381884.15362390288</v>
          </cell>
          <cell r="E43">
            <v>3573273.3111032238</v>
          </cell>
          <cell r="F43">
            <v>78887286.36502251</v>
          </cell>
        </row>
        <row r="44">
          <cell r="A44">
            <v>38657</v>
          </cell>
          <cell r="B44">
            <v>78887286.36502251</v>
          </cell>
          <cell r="C44">
            <v>3955157.4647271265</v>
          </cell>
          <cell r="D44">
            <v>365721.78435993596</v>
          </cell>
          <cell r="E44">
            <v>3589435.6803671904</v>
          </cell>
          <cell r="F44">
            <v>75297850.684655324</v>
          </cell>
        </row>
        <row r="45">
          <cell r="A45">
            <v>38687</v>
          </cell>
          <cell r="B45">
            <v>75297850.684655324</v>
          </cell>
          <cell r="C45">
            <v>3955157.4647271265</v>
          </cell>
          <cell r="D45">
            <v>349486.31064593641</v>
          </cell>
          <cell r="E45">
            <v>3605671.15408119</v>
          </cell>
          <cell r="F45">
            <v>71692179.530574128</v>
          </cell>
        </row>
        <row r="46">
          <cell r="A46">
            <v>38718</v>
          </cell>
          <cell r="B46">
            <v>71692179.530574128</v>
          </cell>
          <cell r="C46">
            <v>3955157.4647271265</v>
          </cell>
          <cell r="D46">
            <v>333177.40182118671</v>
          </cell>
          <cell r="E46">
            <v>3621980.0629059398</v>
          </cell>
          <cell r="F46">
            <v>68070199.467668191</v>
          </cell>
        </row>
        <row r="47">
          <cell r="A47">
            <v>38749</v>
          </cell>
          <cell r="B47">
            <v>68070199.467668191</v>
          </cell>
          <cell r="C47">
            <v>3955157.4647271265</v>
          </cell>
          <cell r="D47">
            <v>316794.72572934924</v>
          </cell>
          <cell r="E47">
            <v>3638362.7389977775</v>
          </cell>
          <cell r="F47">
            <v>64431836.728670411</v>
          </cell>
        </row>
        <row r="48">
          <cell r="A48">
            <v>38777</v>
          </cell>
          <cell r="B48">
            <v>64431836.728670411</v>
          </cell>
          <cell r="C48">
            <v>3955157.4647271265</v>
          </cell>
          <cell r="D48">
            <v>300337.9487117008</v>
          </cell>
          <cell r="E48">
            <v>3654819.5160154258</v>
          </cell>
          <cell r="F48">
            <v>60777017.212654985</v>
          </cell>
        </row>
        <row r="49">
          <cell r="A49">
            <v>38808</v>
          </cell>
          <cell r="B49">
            <v>60777017.212654985</v>
          </cell>
          <cell r="C49">
            <v>3955157.4647271265</v>
          </cell>
          <cell r="D49">
            <v>283806.7356003375</v>
          </cell>
          <cell r="E49">
            <v>3671350.7291267891</v>
          </cell>
          <cell r="F49">
            <v>57105666.483528197</v>
          </cell>
        </row>
        <row r="50">
          <cell r="A50">
            <v>38838</v>
          </cell>
          <cell r="B50">
            <v>57105666.483528197</v>
          </cell>
          <cell r="C50">
            <v>3955157.4647271265</v>
          </cell>
          <cell r="D50">
            <v>267200.7497113485</v>
          </cell>
          <cell r="E50">
            <v>3687956.7150157779</v>
          </cell>
          <cell r="F50">
            <v>53417709.76851242</v>
          </cell>
        </row>
        <row r="51">
          <cell r="A51">
            <v>38869</v>
          </cell>
          <cell r="B51">
            <v>53417709.76851242</v>
          </cell>
          <cell r="C51">
            <v>3955157.4647271265</v>
          </cell>
          <cell r="D51">
            <v>250519.65283795871</v>
          </cell>
          <cell r="E51">
            <v>3704637.8118891679</v>
          </cell>
          <cell r="F51">
            <v>49713071.956623256</v>
          </cell>
        </row>
        <row r="52">
          <cell r="A52">
            <v>38899</v>
          </cell>
          <cell r="B52">
            <v>49713071.956623256</v>
          </cell>
          <cell r="C52">
            <v>3955157.4647271265</v>
          </cell>
          <cell r="D52">
            <v>233763.10524364086</v>
          </cell>
          <cell r="E52">
            <v>3721394.3594834856</v>
          </cell>
          <cell r="F52">
            <v>45991677.597139768</v>
          </cell>
        </row>
        <row r="53">
          <cell r="A53">
            <v>38930</v>
          </cell>
          <cell r="B53">
            <v>45991677.597139768</v>
          </cell>
          <cell r="C53">
            <v>3955157.4647271265</v>
          </cell>
          <cell r="D53">
            <v>216930.76565519618</v>
          </cell>
          <cell r="E53">
            <v>3738226.6990719303</v>
          </cell>
          <cell r="F53">
            <v>42253450.898067839</v>
          </cell>
        </row>
        <row r="54">
          <cell r="A54">
            <v>38961</v>
          </cell>
          <cell r="B54">
            <v>42253450.898067839</v>
          </cell>
          <cell r="C54">
            <v>3955157.4647271265</v>
          </cell>
          <cell r="D54">
            <v>200022.2912558039</v>
          </cell>
          <cell r="E54">
            <v>3755135.1734713227</v>
          </cell>
          <cell r="F54">
            <v>38498315.724596515</v>
          </cell>
        </row>
        <row r="55">
          <cell r="A55">
            <v>38991</v>
          </cell>
          <cell r="B55">
            <v>38498315.724596515</v>
          </cell>
          <cell r="C55">
            <v>3955157.4647271265</v>
          </cell>
          <cell r="D55">
            <v>183037.33767803921</v>
          </cell>
          <cell r="E55">
            <v>3772120.1270490875</v>
          </cell>
          <cell r="F55">
            <v>34726195.597547427</v>
          </cell>
        </row>
        <row r="56">
          <cell r="A56">
            <v>39022</v>
          </cell>
          <cell r="B56">
            <v>34726195.597547427</v>
          </cell>
          <cell r="C56">
            <v>3955157.4647271265</v>
          </cell>
          <cell r="D56">
            <v>165975.55899685959</v>
          </cell>
          <cell r="E56">
            <v>3789181.9057302671</v>
          </cell>
          <cell r="F56">
            <v>30937013.691817161</v>
          </cell>
        </row>
        <row r="57">
          <cell r="A57">
            <v>39052</v>
          </cell>
          <cell r="B57">
            <v>30937013.691817161</v>
          </cell>
          <cell r="C57">
            <v>3955157.4647271265</v>
          </cell>
          <cell r="D57">
            <v>148836.60772255971</v>
          </cell>
          <cell r="E57">
            <v>3806320.857004567</v>
          </cell>
          <cell r="F57">
            <v>27130692.834812593</v>
          </cell>
        </row>
        <row r="58">
          <cell r="A58">
            <v>39083</v>
          </cell>
          <cell r="B58">
            <v>27130692.834812593</v>
          </cell>
          <cell r="C58">
            <v>3955157.4647271265</v>
          </cell>
          <cell r="D58">
            <v>131620.1347936941</v>
          </cell>
          <cell r="E58">
            <v>3823537.3299334324</v>
          </cell>
          <cell r="F58">
            <v>23307155.504879162</v>
          </cell>
        </row>
        <row r="59">
          <cell r="A59">
            <v>39114</v>
          </cell>
          <cell r="B59">
            <v>23307155.504879162</v>
          </cell>
          <cell r="C59">
            <v>3955157.4647271265</v>
          </cell>
          <cell r="D59">
            <v>114325.78956996796</v>
          </cell>
          <cell r="E59">
            <v>3840831.6751571586</v>
          </cell>
          <cell r="F59">
            <v>19466323.829722002</v>
          </cell>
        </row>
        <row r="60">
          <cell r="A60">
            <v>39142</v>
          </cell>
          <cell r="B60">
            <v>19466323.829722002</v>
          </cell>
          <cell r="C60">
            <v>3955157.4647271265</v>
          </cell>
          <cell r="D60">
            <v>96953.219825095963</v>
          </cell>
          <cell r="E60">
            <v>3858204.2449020306</v>
          </cell>
          <cell r="F60">
            <v>15608119.584819973</v>
          </cell>
        </row>
        <row r="61">
          <cell r="A61">
            <v>39173</v>
          </cell>
          <cell r="B61">
            <v>15608119.584819973</v>
          </cell>
          <cell r="C61">
            <v>3955157.4647271265</v>
          </cell>
          <cell r="D61">
            <v>79502.07173962846</v>
          </cell>
          <cell r="E61">
            <v>3875655.3929874981</v>
          </cell>
          <cell r="F61">
            <v>11732464.191832475</v>
          </cell>
        </row>
        <row r="62">
          <cell r="A62">
            <v>39203</v>
          </cell>
          <cell r="B62">
            <v>11732464.191832475</v>
          </cell>
          <cell r="C62">
            <v>3955157.4647271265</v>
          </cell>
          <cell r="D62">
            <v>61971.989893745544</v>
          </cell>
          <cell r="E62">
            <v>3893185.4748333809</v>
          </cell>
          <cell r="F62">
            <v>7839278.7169990949</v>
          </cell>
        </row>
        <row r="63">
          <cell r="A63">
            <v>39234</v>
          </cell>
          <cell r="B63">
            <v>7839278.7169990949</v>
          </cell>
          <cell r="C63">
            <v>3955157.4647271265</v>
          </cell>
          <cell r="D63">
            <v>44362.617260018218</v>
          </cell>
          <cell r="E63">
            <v>3910794.8474671082</v>
          </cell>
          <cell r="F63">
            <v>3928483.8695319868</v>
          </cell>
        </row>
        <row r="64">
          <cell r="A64">
            <v>39264</v>
          </cell>
          <cell r="B64">
            <v>3928483.8695319868</v>
          </cell>
          <cell r="C64">
            <v>3955157.4647271265</v>
          </cell>
          <cell r="D64">
            <v>26673.595196137117</v>
          </cell>
          <cell r="E64">
            <v>3928483.8695309893</v>
          </cell>
          <cell r="F64">
            <v>9.9744647741317749E-7</v>
          </cell>
        </row>
      </sheetData>
      <sheetData sheetId="2">
        <row r="32">
          <cell r="B32" t="str">
            <v>STARTING</v>
          </cell>
          <cell r="E32" t="str">
            <v>PRINCIPAL</v>
          </cell>
          <cell r="F32" t="str">
            <v>ENDING</v>
          </cell>
        </row>
        <row r="33">
          <cell r="A33" t="str">
            <v>PERIOD</v>
          </cell>
          <cell r="B33" t="str">
            <v>BALANCE</v>
          </cell>
          <cell r="C33" t="str">
            <v>TOTAL</v>
          </cell>
          <cell r="D33" t="str">
            <v>RETURN</v>
          </cell>
          <cell r="E33" t="str">
            <v>AMORTIZATION</v>
          </cell>
          <cell r="F33" t="str">
            <v>BALANCE</v>
          </cell>
        </row>
        <row r="34">
          <cell r="A34">
            <v>37803</v>
          </cell>
          <cell r="B34">
            <v>14756374.188158778</v>
          </cell>
          <cell r="F34">
            <v>14756374.188158778</v>
          </cell>
        </row>
        <row r="35">
          <cell r="A35">
            <v>37834</v>
          </cell>
          <cell r="B35">
            <v>14756374.188158778</v>
          </cell>
          <cell r="C35">
            <v>343454.48079486995</v>
          </cell>
          <cell r="D35">
            <v>66895.562986319783</v>
          </cell>
          <cell r="E35">
            <v>276558.91780855018</v>
          </cell>
          <cell r="F35">
            <v>14479815.270350229</v>
          </cell>
        </row>
        <row r="36">
          <cell r="A36">
            <v>37865</v>
          </cell>
          <cell r="B36">
            <v>14479815.270350229</v>
          </cell>
          <cell r="C36">
            <v>343454.48079486995</v>
          </cell>
          <cell r="D36">
            <v>66268.696105953743</v>
          </cell>
          <cell r="E36">
            <v>277185.78468891617</v>
          </cell>
          <cell r="F36">
            <v>14202629.485661313</v>
          </cell>
        </row>
        <row r="37">
          <cell r="A37">
            <v>37895</v>
          </cell>
          <cell r="B37">
            <v>14202629.485661313</v>
          </cell>
          <cell r="C37">
            <v>343454.48079486995</v>
          </cell>
          <cell r="D37">
            <v>65013.541446959491</v>
          </cell>
          <cell r="E37">
            <v>278440.93934791046</v>
          </cell>
          <cell r="F37">
            <v>13924188.546313403</v>
          </cell>
        </row>
        <row r="38">
          <cell r="A38">
            <v>37926</v>
          </cell>
          <cell r="B38">
            <v>13924188.546313403</v>
          </cell>
          <cell r="C38">
            <v>343454.48079486995</v>
          </cell>
          <cell r="D38">
            <v>63754.120872476022</v>
          </cell>
          <cell r="E38">
            <v>279700.35992239392</v>
          </cell>
          <cell r="F38">
            <v>13644488.186391009</v>
          </cell>
        </row>
        <row r="39">
          <cell r="A39">
            <v>37956</v>
          </cell>
          <cell r="B39">
            <v>13644488.186391009</v>
          </cell>
          <cell r="C39">
            <v>343454.48079486995</v>
          </cell>
          <cell r="D39">
            <v>62489.000594129997</v>
          </cell>
          <cell r="E39">
            <v>280965.48020073993</v>
          </cell>
          <cell r="F39">
            <v>13363522.706190269</v>
          </cell>
        </row>
        <row r="40">
          <cell r="A40">
            <v>37987</v>
          </cell>
          <cell r="B40">
            <v>13363522.706190269</v>
          </cell>
          <cell r="C40">
            <v>343454.48079486995</v>
          </cell>
          <cell r="D40">
            <v>61218.158023184216</v>
          </cell>
          <cell r="E40">
            <v>282236.32277168572</v>
          </cell>
          <cell r="F40">
            <v>13081286.383418584</v>
          </cell>
        </row>
        <row r="41">
          <cell r="A41">
            <v>38018</v>
          </cell>
          <cell r="B41">
            <v>13081286.383418584</v>
          </cell>
          <cell r="C41">
            <v>343454.48079486995</v>
          </cell>
          <cell r="D41">
            <v>59941.567269780062</v>
          </cell>
          <cell r="E41">
            <v>283512.91352508985</v>
          </cell>
          <cell r="F41">
            <v>12797773.469893495</v>
          </cell>
        </row>
        <row r="42">
          <cell r="A42">
            <v>38047</v>
          </cell>
          <cell r="B42">
            <v>12797773.469893495</v>
          </cell>
          <cell r="C42">
            <v>343454.48079486995</v>
          </cell>
          <cell r="D42">
            <v>58659.202334174035</v>
          </cell>
          <cell r="E42">
            <v>284795.27846069593</v>
          </cell>
          <cell r="F42">
            <v>12512978.191432798</v>
          </cell>
        </row>
        <row r="43">
          <cell r="A43">
            <v>38078</v>
          </cell>
          <cell r="B43">
            <v>12512978.191432798</v>
          </cell>
          <cell r="C43">
            <v>343454.48079486995</v>
          </cell>
          <cell r="D43">
            <v>57371.037099006258</v>
          </cell>
          <cell r="E43">
            <v>286083.44369586371</v>
          </cell>
          <cell r="F43">
            <v>12226894.747736935</v>
          </cell>
        </row>
        <row r="44">
          <cell r="A44">
            <v>38108</v>
          </cell>
          <cell r="B44">
            <v>12226894.747736935</v>
          </cell>
          <cell r="C44">
            <v>343454.48079486995</v>
          </cell>
          <cell r="D44">
            <v>56077.045328784727</v>
          </cell>
          <cell r="E44">
            <v>287377.43546608521</v>
          </cell>
          <cell r="F44">
            <v>11939517.31227085</v>
          </cell>
        </row>
        <row r="45">
          <cell r="A45">
            <v>38139</v>
          </cell>
          <cell r="B45">
            <v>11939517.31227085</v>
          </cell>
          <cell r="C45">
            <v>343454.48079486995</v>
          </cell>
          <cell r="D45">
            <v>54777.200669350968</v>
          </cell>
          <cell r="E45">
            <v>288677.28012551897</v>
          </cell>
          <cell r="F45">
            <v>11650840.032145331</v>
          </cell>
        </row>
        <row r="46">
          <cell r="A46">
            <v>38169</v>
          </cell>
          <cell r="B46">
            <v>11650840.032145331</v>
          </cell>
          <cell r="C46">
            <v>343454.48079486995</v>
          </cell>
          <cell r="D46">
            <v>53471.476647343334</v>
          </cell>
          <cell r="E46">
            <v>289983.00414752663</v>
          </cell>
          <cell r="F46">
            <v>11360857.027997805</v>
          </cell>
        </row>
        <row r="47">
          <cell r="A47">
            <v>38200</v>
          </cell>
          <cell r="B47">
            <v>11360857.027997805</v>
          </cell>
          <cell r="C47">
            <v>343454.48079486995</v>
          </cell>
          <cell r="D47">
            <v>52159.846669657767</v>
          </cell>
          <cell r="E47">
            <v>291294.63412521221</v>
          </cell>
          <cell r="F47">
            <v>11069562.393872593</v>
          </cell>
        </row>
        <row r="48">
          <cell r="A48">
            <v>38231</v>
          </cell>
          <cell r="B48">
            <v>11069562.393872593</v>
          </cell>
          <cell r="C48">
            <v>343454.48079486995</v>
          </cell>
          <cell r="D48">
            <v>50842.28402290622</v>
          </cell>
          <cell r="E48">
            <v>292612.19677196373</v>
          </cell>
          <cell r="F48">
            <v>10776950.197100628</v>
          </cell>
        </row>
        <row r="49">
          <cell r="A49">
            <v>38261</v>
          </cell>
          <cell r="B49">
            <v>10776950.197100628</v>
          </cell>
          <cell r="C49">
            <v>343454.48079486995</v>
          </cell>
          <cell r="D49">
            <v>49518.76187287263</v>
          </cell>
          <cell r="E49">
            <v>293935.71892199729</v>
          </cell>
          <cell r="F49">
            <v>10483014.478178632</v>
          </cell>
        </row>
        <row r="50">
          <cell r="A50">
            <v>38292</v>
          </cell>
          <cell r="B50">
            <v>10483014.478178632</v>
          </cell>
          <cell r="C50">
            <v>343454.48079486995</v>
          </cell>
          <cell r="D50">
            <v>48189.253263966319</v>
          </cell>
          <cell r="E50">
            <v>295265.22753090365</v>
          </cell>
          <cell r="F50">
            <v>10187749.250647727</v>
          </cell>
        </row>
        <row r="51">
          <cell r="A51">
            <v>38322</v>
          </cell>
          <cell r="B51">
            <v>10187749.250647727</v>
          </cell>
          <cell r="C51">
            <v>343454.48079486995</v>
          </cell>
          <cell r="D51">
            <v>46853.731118673073</v>
          </cell>
          <cell r="E51">
            <v>296600.74967619689</v>
          </cell>
          <cell r="F51">
            <v>9891148.5009715296</v>
          </cell>
        </row>
        <row r="52">
          <cell r="A52">
            <v>38353</v>
          </cell>
          <cell r="B52">
            <v>9891148.5009715296</v>
          </cell>
          <cell r="C52">
            <v>343454.48079486995</v>
          </cell>
          <cell r="D52">
            <v>45512.168237003643</v>
          </cell>
          <cell r="E52">
            <v>297942.31255786633</v>
          </cell>
          <cell r="F52">
            <v>9593206.1884136628</v>
          </cell>
        </row>
        <row r="53">
          <cell r="A53">
            <v>38384</v>
          </cell>
          <cell r="B53">
            <v>9593206.1884136628</v>
          </cell>
          <cell r="C53">
            <v>343454.48079486995</v>
          </cell>
          <cell r="D53">
            <v>44164.537295939757</v>
          </cell>
          <cell r="E53">
            <v>299289.9434989302</v>
          </cell>
          <cell r="F53">
            <v>9293916.2449147329</v>
          </cell>
        </row>
        <row r="54">
          <cell r="A54">
            <v>38412</v>
          </cell>
          <cell r="B54">
            <v>9293916.2449147329</v>
          </cell>
          <cell r="C54">
            <v>343454.48079486995</v>
          </cell>
          <cell r="D54">
            <v>42810.810848877692</v>
          </cell>
          <cell r="E54">
            <v>300643.66994599224</v>
          </cell>
          <cell r="F54">
            <v>8993272.5749687403</v>
          </cell>
        </row>
        <row r="55">
          <cell r="A55">
            <v>38443</v>
          </cell>
          <cell r="B55">
            <v>8993272.5749687403</v>
          </cell>
          <cell r="C55">
            <v>343454.48079486995</v>
          </cell>
          <cell r="D55">
            <v>41450.961325069198</v>
          </cell>
          <cell r="E55">
            <v>302003.51946980075</v>
          </cell>
          <cell r="F55">
            <v>8691269.055498939</v>
          </cell>
        </row>
        <row r="56">
          <cell r="A56">
            <v>38473</v>
          </cell>
          <cell r="B56">
            <v>8691269.055498939</v>
          </cell>
          <cell r="C56">
            <v>343454.48079486995</v>
          </cell>
          <cell r="D56">
            <v>40084.961029060069</v>
          </cell>
          <cell r="E56">
            <v>303369.51976580988</v>
          </cell>
          <cell r="F56">
            <v>8387899.5357331289</v>
          </cell>
        </row>
        <row r="57">
          <cell r="A57">
            <v>38504</v>
          </cell>
          <cell r="B57">
            <v>8387899.5357331289</v>
          </cell>
          <cell r="C57">
            <v>343454.48079486995</v>
          </cell>
          <cell r="D57">
            <v>38712.782140126015</v>
          </cell>
          <cell r="E57">
            <v>304741.69865474396</v>
          </cell>
          <cell r="F57">
            <v>8083157.8370783851</v>
          </cell>
        </row>
        <row r="58">
          <cell r="A58">
            <v>38534</v>
          </cell>
          <cell r="B58">
            <v>8083157.8370783851</v>
          </cell>
          <cell r="C58">
            <v>343454.48079486995</v>
          </cell>
          <cell r="D58">
            <v>37334.396711706097</v>
          </cell>
          <cell r="E58">
            <v>306120.08408316388</v>
          </cell>
          <cell r="F58">
            <v>7777037.7529952209</v>
          </cell>
        </row>
        <row r="59">
          <cell r="A59">
            <v>38565</v>
          </cell>
          <cell r="B59">
            <v>7777037.7529952209</v>
          </cell>
          <cell r="C59">
            <v>343454.48079486995</v>
          </cell>
          <cell r="D59">
            <v>35949.776670833504</v>
          </cell>
          <cell r="E59">
            <v>307504.70412403642</v>
          </cell>
          <cell r="F59">
            <v>7469533.0488711847</v>
          </cell>
        </row>
        <row r="60">
          <cell r="A60">
            <v>38596</v>
          </cell>
          <cell r="B60">
            <v>7469533.0488711847</v>
          </cell>
          <cell r="C60">
            <v>343454.48079486995</v>
          </cell>
          <cell r="D60">
            <v>34558.893817563847</v>
          </cell>
          <cell r="E60">
            <v>308895.58697730611</v>
          </cell>
          <cell r="F60">
            <v>7160637.4618938789</v>
          </cell>
        </row>
        <row r="61">
          <cell r="A61">
            <v>38626</v>
          </cell>
          <cell r="B61">
            <v>7160637.4618938789</v>
          </cell>
          <cell r="C61">
            <v>343454.48079486995</v>
          </cell>
          <cell r="D61">
            <v>33161.71982440081</v>
          </cell>
          <cell r="E61">
            <v>310292.76097046916</v>
          </cell>
          <cell r="F61">
            <v>6850344.7009234093</v>
          </cell>
        </row>
        <row r="62">
          <cell r="A62">
            <v>38657</v>
          </cell>
          <cell r="B62">
            <v>6850344.7009234093</v>
          </cell>
          <cell r="C62">
            <v>343454.48079486995</v>
          </cell>
          <cell r="D62">
            <v>31758.226235719183</v>
          </cell>
          <cell r="E62">
            <v>311696.25455915078</v>
          </cell>
          <cell r="F62">
            <v>6538648.4463642584</v>
          </cell>
        </row>
        <row r="63">
          <cell r="A63">
            <v>38687</v>
          </cell>
          <cell r="B63">
            <v>6538648.4463642584</v>
          </cell>
          <cell r="C63">
            <v>343454.48079486995</v>
          </cell>
          <cell r="D63">
            <v>30348.384467185373</v>
          </cell>
          <cell r="E63">
            <v>313106.09632768459</v>
          </cell>
          <cell r="F63">
            <v>6225542.3500365736</v>
          </cell>
        </row>
        <row r="64">
          <cell r="A64">
            <v>38718</v>
          </cell>
          <cell r="B64">
            <v>6225542.3500365736</v>
          </cell>
          <cell r="C64">
            <v>343454.48079486995</v>
          </cell>
          <cell r="D64">
            <v>28932.165805175217</v>
          </cell>
          <cell r="E64">
            <v>314522.31498969474</v>
          </cell>
          <cell r="F64">
            <v>5911020.0350468792</v>
          </cell>
        </row>
        <row r="65">
          <cell r="A65">
            <v>38749</v>
          </cell>
          <cell r="B65">
            <v>5911020.0350468792</v>
          </cell>
          <cell r="C65">
            <v>343454.48079486995</v>
          </cell>
          <cell r="D65">
            <v>27509.541406189153</v>
          </cell>
          <cell r="E65">
            <v>315944.9393886808</v>
          </cell>
          <cell r="F65">
            <v>5595075.095658198</v>
          </cell>
        </row>
        <row r="66">
          <cell r="A66">
            <v>38777</v>
          </cell>
          <cell r="B66">
            <v>5595075.095658198</v>
          </cell>
          <cell r="C66">
            <v>343454.48079486995</v>
          </cell>
          <cell r="D66">
            <v>26080.48229626484</v>
          </cell>
          <cell r="E66">
            <v>317373.9984986051</v>
          </cell>
          <cell r="F66">
            <v>5277701.0971595924</v>
          </cell>
        </row>
        <row r="67">
          <cell r="A67">
            <v>38808</v>
          </cell>
          <cell r="B67">
            <v>5277701.0971595924</v>
          </cell>
          <cell r="C67">
            <v>343454.48079486995</v>
          </cell>
          <cell r="D67">
            <v>24644.95937038699</v>
          </cell>
          <cell r="E67">
            <v>318809.52142448293</v>
          </cell>
          <cell r="F67">
            <v>4958891.5757351099</v>
          </cell>
        </row>
        <row r="68">
          <cell r="A68">
            <v>38838</v>
          </cell>
          <cell r="B68">
            <v>4958891.5757351099</v>
          </cell>
          <cell r="C68">
            <v>343454.48079486995</v>
          </cell>
          <cell r="D68">
            <v>23202.943391894652</v>
          </cell>
          <cell r="E68">
            <v>320251.53740297531</v>
          </cell>
          <cell r="F68">
            <v>4638640.0383321345</v>
          </cell>
        </row>
        <row r="69">
          <cell r="A69">
            <v>38869</v>
          </cell>
          <cell r="B69">
            <v>4638640.0383321345</v>
          </cell>
          <cell r="C69">
            <v>343454.48079486995</v>
          </cell>
          <cell r="D69">
            <v>21754.404991885753</v>
          </cell>
          <cell r="E69">
            <v>321700.07580298418</v>
          </cell>
          <cell r="F69">
            <v>4316939.9625291508</v>
          </cell>
        </row>
        <row r="70">
          <cell r="A70">
            <v>38899</v>
          </cell>
          <cell r="B70">
            <v>4316939.9625291508</v>
          </cell>
          <cell r="C70">
            <v>343454.48079486995</v>
          </cell>
          <cell r="D70">
            <v>20299.31466861891</v>
          </cell>
          <cell r="E70">
            <v>323155.16612625105</v>
          </cell>
          <cell r="F70">
            <v>3993784.7964028995</v>
          </cell>
        </row>
        <row r="71">
          <cell r="A71">
            <v>38930</v>
          </cell>
          <cell r="B71">
            <v>3993784.7964028995</v>
          </cell>
          <cell r="C71">
            <v>343454.48079486995</v>
          </cell>
          <cell r="D71">
            <v>18837.642786912646</v>
          </cell>
          <cell r="E71">
            <v>324616.83800795733</v>
          </cell>
          <cell r="F71">
            <v>3669167.9583949423</v>
          </cell>
        </row>
        <row r="72">
          <cell r="A72">
            <v>38961</v>
          </cell>
          <cell r="B72">
            <v>3669167.9583949423</v>
          </cell>
          <cell r="C72">
            <v>343454.48079486995</v>
          </cell>
          <cell r="D72">
            <v>17369.359577541774</v>
          </cell>
          <cell r="E72">
            <v>326085.12121732818</v>
          </cell>
          <cell r="F72">
            <v>3343082.8371776142</v>
          </cell>
        </row>
        <row r="73">
          <cell r="A73">
            <v>38991</v>
          </cell>
          <cell r="B73">
            <v>3343082.8371776142</v>
          </cell>
          <cell r="C73">
            <v>343454.48079486995</v>
          </cell>
          <cell r="D73">
            <v>15894.435136631126</v>
          </cell>
          <cell r="E73">
            <v>327560.04565823881</v>
          </cell>
          <cell r="F73">
            <v>3015522.7915193755</v>
          </cell>
        </row>
        <row r="74">
          <cell r="A74">
            <v>39022</v>
          </cell>
          <cell r="B74">
            <v>3015522.7915193755</v>
          </cell>
          <cell r="C74">
            <v>343454.48079486995</v>
          </cell>
          <cell r="D74">
            <v>14412.839425046508</v>
          </cell>
          <cell r="E74">
            <v>329041.64136982342</v>
          </cell>
          <cell r="F74">
            <v>2686481.1501495522</v>
          </cell>
        </row>
        <row r="75">
          <cell r="A75">
            <v>39052</v>
          </cell>
          <cell r="B75">
            <v>2686481.1501495522</v>
          </cell>
          <cell r="C75">
            <v>343454.48079486995</v>
          </cell>
          <cell r="D75">
            <v>12924.542267782901</v>
          </cell>
          <cell r="E75">
            <v>330529.93852708704</v>
          </cell>
          <cell r="F75">
            <v>2355951.2116224649</v>
          </cell>
        </row>
        <row r="76">
          <cell r="A76">
            <v>39083</v>
          </cell>
          <cell r="B76">
            <v>2355951.2116224649</v>
          </cell>
          <cell r="C76">
            <v>343454.48079486995</v>
          </cell>
          <cell r="D76">
            <v>11429.513353349905</v>
          </cell>
          <cell r="E76">
            <v>332024.96744152001</v>
          </cell>
          <cell r="F76">
            <v>2023926.244180945</v>
          </cell>
        </row>
        <row r="77">
          <cell r="A77">
            <v>39114</v>
          </cell>
          <cell r="B77">
            <v>2023926.244180945</v>
          </cell>
          <cell r="C77">
            <v>343454.48079486995</v>
          </cell>
          <cell r="D77">
            <v>9927.7222331543944</v>
          </cell>
          <cell r="E77">
            <v>333526.75856171554</v>
          </cell>
          <cell r="F77">
            <v>1690399.4856192295</v>
          </cell>
        </row>
        <row r="78">
          <cell r="A78">
            <v>39142</v>
          </cell>
          <cell r="B78">
            <v>1690399.4856192295</v>
          </cell>
          <cell r="C78">
            <v>343454.48079486995</v>
          </cell>
          <cell r="D78">
            <v>8419.1383208803945</v>
          </cell>
          <cell r="E78">
            <v>335035.34247398953</v>
          </cell>
          <cell r="F78">
            <v>1355364.1431452399</v>
          </cell>
        </row>
        <row r="79">
          <cell r="A79">
            <v>39173</v>
          </cell>
          <cell r="B79">
            <v>1355364.1431452399</v>
          </cell>
          <cell r="C79">
            <v>343454.48079486995</v>
          </cell>
          <cell r="D79">
            <v>6903.7308918661292</v>
          </cell>
          <cell r="E79">
            <v>336550.7499030038</v>
          </cell>
          <cell r="F79">
            <v>1018813.3932422361</v>
          </cell>
        </row>
        <row r="80">
          <cell r="A80">
            <v>39203</v>
          </cell>
          <cell r="B80">
            <v>1018813.3932422361</v>
          </cell>
          <cell r="C80">
            <v>343454.48079486995</v>
          </cell>
          <cell r="D80">
            <v>5381.4690824782783</v>
          </cell>
          <cell r="E80">
            <v>338073.01171239169</v>
          </cell>
          <cell r="F80">
            <v>680740.38152984437</v>
          </cell>
        </row>
        <row r="81">
          <cell r="A81">
            <v>39234</v>
          </cell>
          <cell r="B81">
            <v>680740.38152984437</v>
          </cell>
          <cell r="C81">
            <v>343454.48079486995</v>
          </cell>
          <cell r="D81">
            <v>3852.3218894833822</v>
          </cell>
          <cell r="E81">
            <v>339602.15890538658</v>
          </cell>
          <cell r="F81">
            <v>341138.22262445779</v>
          </cell>
        </row>
        <row r="82">
          <cell r="A82">
            <v>39264</v>
          </cell>
          <cell r="B82">
            <v>341138.22262445779</v>
          </cell>
          <cell r="C82">
            <v>343454.48079486995</v>
          </cell>
          <cell r="D82">
            <v>2316.2581694164178</v>
          </cell>
          <cell r="E82">
            <v>341138.22262545355</v>
          </cell>
          <cell r="F82">
            <v>-9.9575845524668694E-7</v>
          </cell>
        </row>
      </sheetData>
      <sheetData sheetId="3">
        <row r="28">
          <cell r="B28" t="str">
            <v>STARTING</v>
          </cell>
        </row>
      </sheetData>
      <sheetData sheetId="4">
        <row r="1">
          <cell r="A1" t="str">
            <v>Period</v>
          </cell>
        </row>
        <row r="28">
          <cell r="A28">
            <v>35278</v>
          </cell>
          <cell r="B28" t="str">
            <v>STARTING</v>
          </cell>
          <cell r="C28">
            <v>166462.75</v>
          </cell>
          <cell r="D28">
            <v>40158.707331162863</v>
          </cell>
          <cell r="E28" t="str">
            <v>PRINCIPAL</v>
          </cell>
          <cell r="F28" t="str">
            <v>ENDING</v>
          </cell>
        </row>
        <row r="29">
          <cell r="A29" t="str">
            <v>PERIOD</v>
          </cell>
          <cell r="B29" t="str">
            <v>BALANCE</v>
          </cell>
          <cell r="C29" t="str">
            <v>TOTAL</v>
          </cell>
          <cell r="D29" t="str">
            <v>RETURN</v>
          </cell>
          <cell r="E29" t="str">
            <v>AMORTIZATION</v>
          </cell>
          <cell r="F29" t="str">
            <v>BALANCE</v>
          </cell>
        </row>
        <row r="30">
          <cell r="A30">
            <v>37803</v>
          </cell>
          <cell r="B30">
            <v>3914516.197952</v>
          </cell>
          <cell r="C30">
            <v>166462.75</v>
          </cell>
          <cell r="D30">
            <v>40695.941593681957</v>
          </cell>
          <cell r="E30">
            <v>125766.80840631804</v>
          </cell>
          <cell r="F30">
            <v>3914516.197952</v>
          </cell>
        </row>
        <row r="31">
          <cell r="A31">
            <v>37834</v>
          </cell>
          <cell r="B31">
            <v>3914516.197952</v>
          </cell>
          <cell r="C31">
            <v>91110.330436693403</v>
          </cell>
          <cell r="D31">
            <v>17745.806764049063</v>
          </cell>
          <cell r="E31">
            <v>73364.52367264434</v>
          </cell>
          <cell r="F31">
            <v>3841151.6742793554</v>
          </cell>
        </row>
        <row r="32">
          <cell r="A32">
            <v>37865</v>
          </cell>
          <cell r="B32">
            <v>3841151.6742793554</v>
          </cell>
          <cell r="C32">
            <v>91110.330436693403</v>
          </cell>
          <cell r="D32">
            <v>17579.513843724402</v>
          </cell>
          <cell r="E32">
            <v>73530.816592969</v>
          </cell>
          <cell r="F32">
            <v>3767620.8576863864</v>
          </cell>
        </row>
        <row r="33">
          <cell r="A33">
            <v>37895</v>
          </cell>
          <cell r="B33">
            <v>3767620.8576863864</v>
          </cell>
          <cell r="C33">
            <v>91110.330436693403</v>
          </cell>
          <cell r="D33">
            <v>17246.551072455681</v>
          </cell>
          <cell r="E33">
            <v>73863.779364237722</v>
          </cell>
          <cell r="F33">
            <v>3693757.0783221489</v>
          </cell>
        </row>
        <row r="34">
          <cell r="A34">
            <v>37926</v>
          </cell>
          <cell r="B34">
            <v>3693757.0783221489</v>
          </cell>
          <cell r="C34">
            <v>91110.330436693403</v>
          </cell>
          <cell r="D34">
            <v>16912.456654952679</v>
          </cell>
          <cell r="E34">
            <v>74197.873781740724</v>
          </cell>
          <cell r="F34">
            <v>3619559.2045404082</v>
          </cell>
        </row>
        <row r="35">
          <cell r="A35">
            <v>37956</v>
          </cell>
          <cell r="B35">
            <v>3619559.2045404082</v>
          </cell>
          <cell r="C35">
            <v>91110.330436693403</v>
          </cell>
          <cell r="D35">
            <v>16576.850241155127</v>
          </cell>
          <cell r="E35">
            <v>74533.480195538272</v>
          </cell>
          <cell r="F35">
            <v>3545025.7243448701</v>
          </cell>
        </row>
        <row r="36">
          <cell r="A36">
            <v>37987</v>
          </cell>
          <cell r="B36">
            <v>3545025.7243448701</v>
          </cell>
          <cell r="C36">
            <v>91110.330436693403</v>
          </cell>
          <cell r="D36">
            <v>16239.725838806629</v>
          </cell>
          <cell r="E36">
            <v>74870.604597886777</v>
          </cell>
          <cell r="F36">
            <v>3470155.1197469835</v>
          </cell>
        </row>
        <row r="37">
          <cell r="A37">
            <v>38018</v>
          </cell>
          <cell r="B37">
            <v>3470155.1197469835</v>
          </cell>
          <cell r="C37">
            <v>91110.330436693403</v>
          </cell>
          <cell r="D37">
            <v>15901.076579941531</v>
          </cell>
          <cell r="E37">
            <v>75209.253856751864</v>
          </cell>
          <cell r="F37">
            <v>3394945.8658902314</v>
          </cell>
        </row>
        <row r="38">
          <cell r="A38">
            <v>38047</v>
          </cell>
          <cell r="B38">
            <v>3394945.8658902314</v>
          </cell>
          <cell r="C38">
            <v>91110.330436693403</v>
          </cell>
          <cell r="D38">
            <v>15560.895567444351</v>
          </cell>
          <cell r="E38">
            <v>75549.434869249046</v>
          </cell>
          <cell r="F38">
            <v>3319396.4310209826</v>
          </cell>
        </row>
        <row r="39">
          <cell r="A39">
            <v>38078</v>
          </cell>
          <cell r="B39">
            <v>3319396.4310209826</v>
          </cell>
          <cell r="C39">
            <v>91110.330436693403</v>
          </cell>
          <cell r="D39">
            <v>15219.175872998749</v>
          </cell>
          <cell r="E39">
            <v>75891.154563694654</v>
          </cell>
          <cell r="F39">
            <v>3243505.2764572878</v>
          </cell>
        </row>
        <row r="40">
          <cell r="A40">
            <v>38108</v>
          </cell>
          <cell r="B40">
            <v>3243505.2764572878</v>
          </cell>
          <cell r="C40">
            <v>91110.330436693403</v>
          </cell>
          <cell r="D40">
            <v>14875.910536950743</v>
          </cell>
          <cell r="E40">
            <v>76234.419899742657</v>
          </cell>
          <cell r="F40">
            <v>3167270.8565575453</v>
          </cell>
        </row>
        <row r="41">
          <cell r="A41">
            <v>38139</v>
          </cell>
          <cell r="B41">
            <v>3167270.8565575453</v>
          </cell>
          <cell r="C41">
            <v>91110.330436693403</v>
          </cell>
          <cell r="D41">
            <v>14531.092568166954</v>
          </cell>
          <cell r="E41">
            <v>76579.237868526456</v>
          </cell>
          <cell r="F41">
            <v>3090691.6186890188</v>
          </cell>
        </row>
        <row r="42">
          <cell r="A42">
            <v>38169</v>
          </cell>
          <cell r="B42">
            <v>3090691.6186890188</v>
          </cell>
          <cell r="C42">
            <v>91110.330436693403</v>
          </cell>
          <cell r="D42">
            <v>14184.71494389221</v>
          </cell>
          <cell r="E42">
            <v>76925.615492801197</v>
          </cell>
          <cell r="F42">
            <v>3013766.0031962176</v>
          </cell>
        </row>
        <row r="43">
          <cell r="A43">
            <v>38200</v>
          </cell>
          <cell r="B43">
            <v>3013766.0031962176</v>
          </cell>
          <cell r="C43">
            <v>91110.330436693403</v>
          </cell>
          <cell r="D43">
            <v>13836.770609606534</v>
          </cell>
          <cell r="E43">
            <v>77273.559827086865</v>
          </cell>
          <cell r="F43">
            <v>2936492.4433691306</v>
          </cell>
        </row>
        <row r="44">
          <cell r="A44">
            <v>38231</v>
          </cell>
          <cell r="B44">
            <v>2936492.4433691306</v>
          </cell>
          <cell r="C44">
            <v>91110.330436693403</v>
          </cell>
          <cell r="D44">
            <v>13487.252478881455</v>
          </cell>
          <cell r="E44">
            <v>77623.07795781194</v>
          </cell>
          <cell r="F44">
            <v>2858869.3654113188</v>
          </cell>
        </row>
        <row r="45">
          <cell r="A45">
            <v>38261</v>
          </cell>
          <cell r="B45">
            <v>2858869.3654113188</v>
          </cell>
          <cell r="C45">
            <v>91110.330436693403</v>
          </cell>
          <cell r="D45">
            <v>13136.153433235684</v>
          </cell>
          <cell r="E45">
            <v>77974.17700345772</v>
          </cell>
          <cell r="F45">
            <v>2780895.1884078612</v>
          </cell>
        </row>
        <row r="46">
          <cell r="A46">
            <v>38292</v>
          </cell>
          <cell r="B46">
            <v>2780895.1884078612</v>
          </cell>
          <cell r="C46">
            <v>91110.330436693403</v>
          </cell>
          <cell r="D46">
            <v>12783.466321990139</v>
          </cell>
          <cell r="E46">
            <v>78326.864114703261</v>
          </cell>
          <cell r="F46">
            <v>2702568.324293158</v>
          </cell>
        </row>
        <row r="47">
          <cell r="A47">
            <v>38322</v>
          </cell>
          <cell r="B47">
            <v>2702568.324293158</v>
          </cell>
          <cell r="C47">
            <v>91110.330436693403</v>
          </cell>
          <cell r="D47">
            <v>12429.18396212231</v>
          </cell>
          <cell r="E47">
            <v>78681.146474571098</v>
          </cell>
          <cell r="F47">
            <v>2623887.177818587</v>
          </cell>
        </row>
        <row r="48">
          <cell r="A48">
            <v>38353</v>
          </cell>
          <cell r="B48">
            <v>2623887.177818587</v>
          </cell>
          <cell r="C48">
            <v>91110.330436693403</v>
          </cell>
          <cell r="D48">
            <v>12073.299138119954</v>
          </cell>
          <cell r="E48">
            <v>79037.031298573449</v>
          </cell>
          <cell r="F48">
            <v>2544850.1465200135</v>
          </cell>
        </row>
        <row r="49">
          <cell r="A49">
            <v>38384</v>
          </cell>
          <cell r="B49">
            <v>2544850.1465200135</v>
          </cell>
          <cell r="C49">
            <v>91110.330436693403</v>
          </cell>
          <cell r="D49">
            <v>11715.804601834159</v>
          </cell>
          <cell r="E49">
            <v>79394.525834859247</v>
          </cell>
          <cell r="F49">
            <v>2465455.6206851541</v>
          </cell>
        </row>
        <row r="50">
          <cell r="A50">
            <v>38412</v>
          </cell>
          <cell r="B50">
            <v>2465455.6206851541</v>
          </cell>
          <cell r="C50">
            <v>91110.330436693403</v>
          </cell>
          <cell r="D50">
            <v>11356.693072331711</v>
          </cell>
          <cell r="E50">
            <v>79753.637364361697</v>
          </cell>
          <cell r="F50">
            <v>2385701.9833207922</v>
          </cell>
        </row>
        <row r="51">
          <cell r="A51">
            <v>38443</v>
          </cell>
          <cell r="B51">
            <v>2385701.9833207922</v>
          </cell>
          <cell r="C51">
            <v>91110.330436693403</v>
          </cell>
          <cell r="D51">
            <v>10995.95723574681</v>
          </cell>
          <cell r="E51">
            <v>80114.373200946589</v>
          </cell>
          <cell r="F51">
            <v>2305587.6101198457</v>
          </cell>
        </row>
        <row r="52">
          <cell r="A52">
            <v>38473</v>
          </cell>
          <cell r="B52">
            <v>2305587.6101198457</v>
          </cell>
          <cell r="C52">
            <v>91110.330436693403</v>
          </cell>
          <cell r="D52">
            <v>10633.589745132111</v>
          </cell>
          <cell r="E52">
            <v>80476.740691561296</v>
          </cell>
          <cell r="F52">
            <v>2225110.8694282845</v>
          </cell>
        </row>
        <row r="53">
          <cell r="A53">
            <v>38504</v>
          </cell>
          <cell r="B53">
            <v>2225110.8694282845</v>
          </cell>
          <cell r="C53">
            <v>91110.330436693403</v>
          </cell>
          <cell r="D53">
            <v>10269.583220309094</v>
          </cell>
          <cell r="E53">
            <v>80840.747216384305</v>
          </cell>
          <cell r="F53">
            <v>2144270.1222119001</v>
          </cell>
        </row>
        <row r="54">
          <cell r="A54">
            <v>38534</v>
          </cell>
          <cell r="B54">
            <v>2144270.1222119001</v>
          </cell>
          <cell r="C54">
            <v>91110.330436693403</v>
          </cell>
          <cell r="D54">
            <v>9903.9302477177498</v>
          </cell>
          <cell r="E54">
            <v>81206.400188975647</v>
          </cell>
          <cell r="F54">
            <v>2063063.7220229243</v>
          </cell>
        </row>
        <row r="55">
          <cell r="A55">
            <v>38565</v>
          </cell>
          <cell r="B55">
            <v>2063063.7220229243</v>
          </cell>
          <cell r="C55">
            <v>91110.330436693403</v>
          </cell>
          <cell r="D55">
            <v>9536.6233802656006</v>
          </cell>
          <cell r="E55">
            <v>81573.707056427796</v>
          </cell>
          <cell r="F55">
            <v>1981490.0149664965</v>
          </cell>
        </row>
        <row r="56">
          <cell r="A56">
            <v>38596</v>
          </cell>
          <cell r="B56">
            <v>1981490.0149664965</v>
          </cell>
          <cell r="C56">
            <v>91110.330436693403</v>
          </cell>
          <cell r="D56">
            <v>9167.6551371760197</v>
          </cell>
          <cell r="E56">
            <v>81942.675299517388</v>
          </cell>
          <cell r="F56">
            <v>1899547.3396669792</v>
          </cell>
        </row>
        <row r="57">
          <cell r="A57">
            <v>38626</v>
          </cell>
          <cell r="B57">
            <v>1899547.3396669792</v>
          </cell>
          <cell r="C57">
            <v>91110.330436693403</v>
          </cell>
          <cell r="D57">
            <v>8797.0180038358776</v>
          </cell>
          <cell r="E57">
            <v>82313.312432857521</v>
          </cell>
          <cell r="F57">
            <v>1817234.0272341217</v>
          </cell>
        </row>
        <row r="58">
          <cell r="A58">
            <v>38657</v>
          </cell>
          <cell r="B58">
            <v>1817234.0272341217</v>
          </cell>
          <cell r="C58">
            <v>91110.330436693403</v>
          </cell>
          <cell r="D58">
            <v>8424.7044316424945</v>
          </cell>
          <cell r="E58">
            <v>82685.626005050901</v>
          </cell>
          <cell r="F58">
            <v>1734548.4012290707</v>
          </cell>
        </row>
        <row r="59">
          <cell r="A59">
            <v>38687</v>
          </cell>
          <cell r="B59">
            <v>1734548.4012290707</v>
          </cell>
          <cell r="C59">
            <v>91110.330436693403</v>
          </cell>
          <cell r="D59">
            <v>8050.7068378499025</v>
          </cell>
          <cell r="E59">
            <v>83059.623598843493</v>
          </cell>
          <cell r="F59">
            <v>1651488.7776302272</v>
          </cell>
        </row>
        <row r="60">
          <cell r="A60">
            <v>38718</v>
          </cell>
          <cell r="B60">
            <v>1651488.7776302272</v>
          </cell>
          <cell r="C60">
            <v>91110.330436693403</v>
          </cell>
          <cell r="D60">
            <v>7675.0176054144085</v>
          </cell>
          <cell r="E60">
            <v>83435.312831278992</v>
          </cell>
          <cell r="F60">
            <v>1568053.4647989483</v>
          </cell>
        </row>
        <row r="61">
          <cell r="A61">
            <v>38749</v>
          </cell>
          <cell r="B61">
            <v>1568053.4647989483</v>
          </cell>
          <cell r="C61">
            <v>91110.330436693403</v>
          </cell>
          <cell r="D61">
            <v>7297.6290828394631</v>
          </cell>
          <cell r="E61">
            <v>83812.701353853947</v>
          </cell>
          <cell r="F61">
            <v>1484240.7634450942</v>
          </cell>
        </row>
        <row r="62">
          <cell r="A62">
            <v>38777</v>
          </cell>
          <cell r="B62">
            <v>1484240.7634450942</v>
          </cell>
          <cell r="C62">
            <v>91110.330436693403</v>
          </cell>
          <cell r="D62">
            <v>6918.5335840198286</v>
          </cell>
          <cell r="E62">
            <v>84191.796852673579</v>
          </cell>
          <cell r="F62">
            <v>1400048.9665924206</v>
          </cell>
        </row>
        <row r="63">
          <cell r="A63">
            <v>38808</v>
          </cell>
          <cell r="B63">
            <v>1400048.9665924206</v>
          </cell>
          <cell r="C63">
            <v>91110.330436693403</v>
          </cell>
          <cell r="D63">
            <v>6537.7233880850335</v>
          </cell>
          <cell r="E63">
            <v>84572.607048608363</v>
          </cell>
          <cell r="F63">
            <v>1315476.3595438122</v>
          </cell>
        </row>
        <row r="64">
          <cell r="A64">
            <v>38838</v>
          </cell>
          <cell r="B64">
            <v>1315476.3595438122</v>
          </cell>
          <cell r="C64">
            <v>91110.330436693403</v>
          </cell>
          <cell r="D64">
            <v>6155.1907392421272</v>
          </cell>
          <cell r="E64">
            <v>84955.139697451275</v>
          </cell>
          <cell r="F64">
            <v>1230521.2198463609</v>
          </cell>
        </row>
        <row r="65">
          <cell r="A65">
            <v>38869</v>
          </cell>
          <cell r="B65">
            <v>1230521.2198463609</v>
          </cell>
          <cell r="C65">
            <v>91110.330436693403</v>
          </cell>
          <cell r="D65">
            <v>5770.9278466177248</v>
          </cell>
          <cell r="E65">
            <v>85339.402590075682</v>
          </cell>
          <cell r="F65">
            <v>1145181.8172562851</v>
          </cell>
        </row>
        <row r="66">
          <cell r="A66">
            <v>38899</v>
          </cell>
          <cell r="B66">
            <v>1145181.8172562851</v>
          </cell>
          <cell r="C66">
            <v>91110.330436693403</v>
          </cell>
          <cell r="D66">
            <v>5384.9268840993309</v>
          </cell>
          <cell r="E66">
            <v>85725.403552594071</v>
          </cell>
          <cell r="F66">
            <v>1059456.413703691</v>
          </cell>
        </row>
        <row r="67">
          <cell r="A67">
            <v>38930</v>
          </cell>
          <cell r="B67">
            <v>1059456.413703691</v>
          </cell>
          <cell r="C67">
            <v>91110.330436693403</v>
          </cell>
          <cell r="D67">
            <v>4997.179990175945</v>
          </cell>
          <cell r="E67">
            <v>86113.150446517451</v>
          </cell>
          <cell r="F67">
            <v>973343.26325717359</v>
          </cell>
        </row>
        <row r="68">
          <cell r="A68">
            <v>38961</v>
          </cell>
          <cell r="B68">
            <v>973343.26325717359</v>
          </cell>
          <cell r="C68">
            <v>91110.330436693403</v>
          </cell>
          <cell r="D68">
            <v>4607.6792677779595</v>
          </cell>
          <cell r="E68">
            <v>86502.651168915443</v>
          </cell>
          <cell r="F68">
            <v>886840.61208825815</v>
          </cell>
        </row>
        <row r="69">
          <cell r="A69">
            <v>38991</v>
          </cell>
          <cell r="B69">
            <v>886840.61208825815</v>
          </cell>
          <cell r="C69">
            <v>91110.330436693403</v>
          </cell>
          <cell r="D69">
            <v>4216.4167841163116</v>
          </cell>
          <cell r="E69">
            <v>86893.913652577088</v>
          </cell>
          <cell r="F69">
            <v>799946.69843568106</v>
          </cell>
        </row>
        <row r="70">
          <cell r="A70">
            <v>39022</v>
          </cell>
          <cell r="B70">
            <v>799946.69843568106</v>
          </cell>
          <cell r="C70">
            <v>91110.330436693403</v>
          </cell>
          <cell r="D70">
            <v>3823.3845705209287</v>
          </cell>
          <cell r="E70">
            <v>87286.945866172478</v>
          </cell>
          <cell r="F70">
            <v>712659.75256950862</v>
          </cell>
        </row>
        <row r="71">
          <cell r="A71">
            <v>39052</v>
          </cell>
          <cell r="B71">
            <v>712659.75256950862</v>
          </cell>
          <cell r="C71">
            <v>91110.330436693403</v>
          </cell>
          <cell r="D71">
            <v>3428.5746222784296</v>
          </cell>
          <cell r="E71">
            <v>87681.755814414966</v>
          </cell>
          <cell r="F71">
            <v>624977.99675509369</v>
          </cell>
        </row>
        <row r="72">
          <cell r="A72">
            <v>39083</v>
          </cell>
          <cell r="B72">
            <v>624977.99675509369</v>
          </cell>
          <cell r="C72">
            <v>91110.330436693403</v>
          </cell>
          <cell r="D72">
            <v>3031.9788984690981</v>
          </cell>
          <cell r="E72">
            <v>88078.351538224306</v>
          </cell>
          <cell r="F72">
            <v>536899.64521686942</v>
          </cell>
        </row>
        <row r="73">
          <cell r="A73">
            <v>39114</v>
          </cell>
          <cell r="B73">
            <v>536899.64521686942</v>
          </cell>
          <cell r="C73">
            <v>91110.330436693403</v>
          </cell>
          <cell r="D73">
            <v>2633.5893218031156</v>
          </cell>
          <cell r="E73">
            <v>88476.74111489029</v>
          </cell>
          <cell r="F73">
            <v>448422.9041019791</v>
          </cell>
        </row>
        <row r="74">
          <cell r="A74">
            <v>39142</v>
          </cell>
          <cell r="B74">
            <v>448422.9041019791</v>
          </cell>
          <cell r="C74">
            <v>91110.330436693403</v>
          </cell>
          <cell r="D74">
            <v>2233.3977784560566</v>
          </cell>
          <cell r="E74">
            <v>88876.932658237347</v>
          </cell>
          <cell r="F74">
            <v>359545.97144374176</v>
          </cell>
        </row>
        <row r="75">
          <cell r="A75">
            <v>39173</v>
          </cell>
          <cell r="B75">
            <v>359545.97144374176</v>
          </cell>
          <cell r="C75">
            <v>91110.330436693403</v>
          </cell>
          <cell r="D75">
            <v>1831.3961179036337</v>
          </cell>
          <cell r="E75">
            <v>89278.934318789776</v>
          </cell>
          <cell r="F75">
            <v>270267.03712495195</v>
          </cell>
        </row>
        <row r="76">
          <cell r="A76">
            <v>39203</v>
          </cell>
          <cell r="B76">
            <v>270267.03712495195</v>
          </cell>
          <cell r="C76">
            <v>91110.330436693403</v>
          </cell>
          <cell r="D76">
            <v>1427.5761527557054</v>
          </cell>
          <cell r="E76">
            <v>89682.754283937698</v>
          </cell>
          <cell r="F76">
            <v>180584.28284101427</v>
          </cell>
        </row>
        <row r="77">
          <cell r="A77">
            <v>39234</v>
          </cell>
          <cell r="B77">
            <v>180584.28284101427</v>
          </cell>
          <cell r="C77">
            <v>91110.330436693403</v>
          </cell>
          <cell r="D77">
            <v>1021.9296585895233</v>
          </cell>
          <cell r="E77">
            <v>90088.400778103882</v>
          </cell>
          <cell r="F77">
            <v>90495.882062910387</v>
          </cell>
        </row>
        <row r="78">
          <cell r="A78">
            <v>39264</v>
          </cell>
          <cell r="B78">
            <v>90495.882062910387</v>
          </cell>
          <cell r="C78">
            <v>91110.330436693403</v>
          </cell>
          <cell r="D78">
            <v>614.44837378222917</v>
          </cell>
          <cell r="E78">
            <v>90495.882062911172</v>
          </cell>
          <cell r="F78">
            <v>-7.8580342233181E-10</v>
          </cell>
        </row>
      </sheetData>
      <sheetData sheetId="5">
        <row r="18">
          <cell r="F18">
            <v>3.2199999999999999E-2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
          <cell r="A1" t="str">
            <v>Period</v>
          </cell>
          <cell r="B1" t="str">
            <v>Beginning Balance</v>
          </cell>
          <cell r="C1" t="str">
            <v>Levelized Payment</v>
          </cell>
          <cell r="D1" t="str">
            <v>Amortization</v>
          </cell>
          <cell r="E1" t="str">
            <v>Interest</v>
          </cell>
          <cell r="F1" t="str">
            <v>Ending Balance</v>
          </cell>
        </row>
        <row r="2">
          <cell r="A2">
            <v>34486</v>
          </cell>
          <cell r="B2">
            <v>20000000</v>
          </cell>
          <cell r="C2">
            <v>0</v>
          </cell>
          <cell r="D2">
            <v>0</v>
          </cell>
          <cell r="E2">
            <v>0</v>
          </cell>
          <cell r="F2">
            <v>20000000</v>
          </cell>
        </row>
        <row r="3">
          <cell r="A3">
            <v>34516</v>
          </cell>
          <cell r="B3">
            <v>20000000</v>
          </cell>
          <cell r="C3">
            <v>166462.75</v>
          </cell>
          <cell r="D3">
            <v>166462.75</v>
          </cell>
          <cell r="E3">
            <v>0</v>
          </cell>
          <cell r="F3">
            <v>19833537.25</v>
          </cell>
        </row>
        <row r="4">
          <cell r="A4">
            <v>34547</v>
          </cell>
          <cell r="B4">
            <v>19833537.25</v>
          </cell>
          <cell r="C4">
            <v>166462.75</v>
          </cell>
          <cell r="D4">
            <v>34239.168333333335</v>
          </cell>
          <cell r="E4">
            <v>132223.58166666667</v>
          </cell>
          <cell r="F4">
            <v>19799298.081666667</v>
          </cell>
        </row>
        <row r="5">
          <cell r="A5">
            <v>34578</v>
          </cell>
          <cell r="B5">
            <v>19799298.081666667</v>
          </cell>
          <cell r="C5">
            <v>166462.75</v>
          </cell>
          <cell r="D5">
            <v>34467.429455555539</v>
          </cell>
          <cell r="E5">
            <v>131995.32054444446</v>
          </cell>
          <cell r="F5">
            <v>19764830.652211111</v>
          </cell>
        </row>
        <row r="6">
          <cell r="A6">
            <v>34608</v>
          </cell>
          <cell r="B6">
            <v>19764830.652211111</v>
          </cell>
          <cell r="C6">
            <v>166462.75</v>
          </cell>
          <cell r="D6">
            <v>34697.212318592588</v>
          </cell>
          <cell r="E6">
            <v>131765.53768140741</v>
          </cell>
          <cell r="F6">
            <v>19730133.439892519</v>
          </cell>
        </row>
        <row r="7">
          <cell r="A7">
            <v>34639</v>
          </cell>
          <cell r="B7">
            <v>19730133.439892519</v>
          </cell>
          <cell r="C7">
            <v>166462.75</v>
          </cell>
          <cell r="D7">
            <v>34928.527067383198</v>
          </cell>
          <cell r="E7">
            <v>131534.2229326168</v>
          </cell>
          <cell r="F7">
            <v>19695204.912825137</v>
          </cell>
        </row>
        <row r="8">
          <cell r="A8">
            <v>34669</v>
          </cell>
          <cell r="B8">
            <v>19695204.912825137</v>
          </cell>
          <cell r="C8">
            <v>166462.75</v>
          </cell>
          <cell r="D8">
            <v>35161.383914499078</v>
          </cell>
          <cell r="E8">
            <v>131301.36608550092</v>
          </cell>
          <cell r="F8">
            <v>19660043.528910637</v>
          </cell>
        </row>
        <row r="9">
          <cell r="A9">
            <v>34700</v>
          </cell>
          <cell r="B9">
            <v>19660043.528910637</v>
          </cell>
          <cell r="C9">
            <v>166462.75</v>
          </cell>
          <cell r="D9">
            <v>35395.79314059575</v>
          </cell>
          <cell r="E9">
            <v>131066.95685940425</v>
          </cell>
          <cell r="F9">
            <v>19624647.735770043</v>
          </cell>
        </row>
        <row r="10">
          <cell r="A10">
            <v>34731</v>
          </cell>
          <cell r="B10">
            <v>19624647.735770043</v>
          </cell>
          <cell r="C10">
            <v>166462.75</v>
          </cell>
          <cell r="D10">
            <v>35631.765094866365</v>
          </cell>
          <cell r="E10">
            <v>130830.98490513364</v>
          </cell>
          <cell r="F10">
            <v>19589015.970675178</v>
          </cell>
        </row>
        <row r="11">
          <cell r="A11">
            <v>34759</v>
          </cell>
          <cell r="B11">
            <v>19589015.970675178</v>
          </cell>
          <cell r="C11">
            <v>166462.75</v>
          </cell>
          <cell r="D11">
            <v>35869.310195498809</v>
          </cell>
          <cell r="E11">
            <v>130593.43980450119</v>
          </cell>
          <cell r="F11">
            <v>19553146.66047968</v>
          </cell>
        </row>
        <row r="12">
          <cell r="A12">
            <v>34790</v>
          </cell>
          <cell r="B12">
            <v>19553146.66047968</v>
          </cell>
          <cell r="C12">
            <v>166462.75</v>
          </cell>
          <cell r="D12">
            <v>36108.438930135453</v>
          </cell>
          <cell r="E12">
            <v>130354.31106986455</v>
          </cell>
          <cell r="F12">
            <v>19517038.221549544</v>
          </cell>
        </row>
        <row r="13">
          <cell r="A13">
            <v>34820</v>
          </cell>
          <cell r="B13">
            <v>19517038.221549544</v>
          </cell>
          <cell r="C13">
            <v>166462.75</v>
          </cell>
          <cell r="D13">
            <v>36349.161856336359</v>
          </cell>
          <cell r="E13">
            <v>130113.58814366364</v>
          </cell>
          <cell r="F13">
            <v>19480689.05969321</v>
          </cell>
        </row>
        <row r="14">
          <cell r="A14">
            <v>34851</v>
          </cell>
          <cell r="B14">
            <v>19480689.05969321</v>
          </cell>
          <cell r="C14">
            <v>166462.75</v>
          </cell>
          <cell r="D14">
            <v>36591.489602045258</v>
          </cell>
          <cell r="E14">
            <v>129871.26039795474</v>
          </cell>
          <cell r="F14">
            <v>19444097.570091166</v>
          </cell>
        </row>
        <row r="15">
          <cell r="A15">
            <v>34881</v>
          </cell>
          <cell r="B15">
            <v>19444097.570091166</v>
          </cell>
          <cell r="C15">
            <v>166462.75</v>
          </cell>
          <cell r="D15">
            <v>36835.432866058894</v>
          </cell>
          <cell r="E15">
            <v>129627.31713394111</v>
          </cell>
          <cell r="F15">
            <v>19407262.137225106</v>
          </cell>
        </row>
        <row r="16">
          <cell r="A16">
            <v>34912</v>
          </cell>
          <cell r="B16">
            <v>19407262.137225106</v>
          </cell>
          <cell r="C16">
            <v>166462.75</v>
          </cell>
          <cell r="D16">
            <v>37081.00241849928</v>
          </cell>
          <cell r="E16">
            <v>129381.74758150072</v>
          </cell>
          <cell r="F16">
            <v>19370181.134806607</v>
          </cell>
        </row>
        <row r="17">
          <cell r="A17">
            <v>34943</v>
          </cell>
          <cell r="B17">
            <v>19370181.134806607</v>
          </cell>
          <cell r="C17">
            <v>166462.75</v>
          </cell>
          <cell r="D17">
            <v>37328.209101289278</v>
          </cell>
          <cell r="E17">
            <v>129134.54089871072</v>
          </cell>
          <cell r="F17">
            <v>19332852.925705317</v>
          </cell>
        </row>
        <row r="18">
          <cell r="A18">
            <v>34973</v>
          </cell>
          <cell r="B18">
            <v>19332852.925705317</v>
          </cell>
          <cell r="C18">
            <v>166462.75</v>
          </cell>
          <cell r="D18">
            <v>37577.063828631202</v>
          </cell>
          <cell r="E18">
            <v>128885.6861713688</v>
          </cell>
          <cell r="F18">
            <v>19295275.861876685</v>
          </cell>
        </row>
        <row r="19">
          <cell r="A19">
            <v>35004</v>
          </cell>
          <cell r="B19">
            <v>19295275.861876685</v>
          </cell>
          <cell r="C19">
            <v>166462.75</v>
          </cell>
          <cell r="D19">
            <v>37827.577587488762</v>
          </cell>
          <cell r="E19">
            <v>128635.17241251124</v>
          </cell>
          <cell r="F19">
            <v>19257448.284289196</v>
          </cell>
        </row>
        <row r="20">
          <cell r="A20">
            <v>35034</v>
          </cell>
          <cell r="B20">
            <v>19257448.284289196</v>
          </cell>
          <cell r="C20">
            <v>166462.75</v>
          </cell>
          <cell r="D20">
            <v>38079.761438072019</v>
          </cell>
          <cell r="E20">
            <v>128382.98856192798</v>
          </cell>
          <cell r="F20">
            <v>19219368.522851124</v>
          </cell>
        </row>
        <row r="21">
          <cell r="A21">
            <v>35065</v>
          </cell>
          <cell r="B21">
            <v>19219368.522851124</v>
          </cell>
          <cell r="C21">
            <v>166462.75</v>
          </cell>
          <cell r="D21">
            <v>38333.626514325835</v>
          </cell>
          <cell r="E21">
            <v>128129.12348567416</v>
          </cell>
          <cell r="F21">
            <v>19181034.896336798</v>
          </cell>
        </row>
        <row r="22">
          <cell r="A22">
            <v>35096</v>
          </cell>
          <cell r="B22">
            <v>19181034.896336798</v>
          </cell>
          <cell r="C22">
            <v>166462.75</v>
          </cell>
          <cell r="D22">
            <v>38589.184024421338</v>
          </cell>
          <cell r="E22">
            <v>127873.56597557866</v>
          </cell>
          <cell r="F22">
            <v>19142445.712312378</v>
          </cell>
        </row>
        <row r="23">
          <cell r="A23">
            <v>35125</v>
          </cell>
          <cell r="B23">
            <v>19142445.712312378</v>
          </cell>
          <cell r="C23">
            <v>166462.75</v>
          </cell>
          <cell r="D23">
            <v>38846.4452512508</v>
          </cell>
          <cell r="E23">
            <v>127616.3047487492</v>
          </cell>
          <cell r="F23">
            <v>19103599.267061125</v>
          </cell>
        </row>
        <row r="24">
          <cell r="A24">
            <v>35156</v>
          </cell>
          <cell r="B24">
            <v>19103599.267061125</v>
          </cell>
          <cell r="C24">
            <v>166462.75</v>
          </cell>
          <cell r="D24">
            <v>39105.421552925822</v>
          </cell>
          <cell r="E24">
            <v>127357.32844707418</v>
          </cell>
          <cell r="F24">
            <v>19064493.845508199</v>
          </cell>
        </row>
        <row r="25">
          <cell r="A25">
            <v>35186</v>
          </cell>
          <cell r="B25">
            <v>19064493.845508199</v>
          </cell>
          <cell r="C25">
            <v>166462.75</v>
          </cell>
          <cell r="D25">
            <v>39366.124363278665</v>
          </cell>
          <cell r="E25">
            <v>127096.62563672134</v>
          </cell>
          <cell r="F25">
            <v>19025127.721144922</v>
          </cell>
        </row>
        <row r="26">
          <cell r="A26">
            <v>35217</v>
          </cell>
          <cell r="B26">
            <v>19025127.721144922</v>
          </cell>
          <cell r="C26">
            <v>166462.75</v>
          </cell>
          <cell r="D26">
            <v>39628.565192367183</v>
          </cell>
          <cell r="E26">
            <v>126834.18480763282</v>
          </cell>
          <cell r="F26">
            <v>18985499.155952554</v>
          </cell>
        </row>
        <row r="27">
          <cell r="A27">
            <v>35247</v>
          </cell>
          <cell r="B27">
            <v>18985499.155952554</v>
          </cell>
          <cell r="C27">
            <v>166462.75</v>
          </cell>
          <cell r="D27">
            <v>39892.755626982966</v>
          </cell>
          <cell r="E27">
            <v>126569.99437301703</v>
          </cell>
          <cell r="F27">
            <v>18945606.40032557</v>
          </cell>
        </row>
        <row r="28">
          <cell r="A28">
            <v>35278</v>
          </cell>
          <cell r="B28">
            <v>18945606.40032557</v>
          </cell>
          <cell r="C28">
            <v>166462.75</v>
          </cell>
          <cell r="D28">
            <v>40158.707331162863</v>
          </cell>
          <cell r="E28">
            <v>126304.04266883714</v>
          </cell>
          <cell r="F28">
            <v>18905447.692994408</v>
          </cell>
        </row>
        <row r="29">
          <cell r="A29">
            <v>35309</v>
          </cell>
          <cell r="B29">
            <v>18905447.692994408</v>
          </cell>
          <cell r="C29">
            <v>166462.75</v>
          </cell>
          <cell r="D29">
            <v>40426.432046703936</v>
          </cell>
          <cell r="E29">
            <v>126036.31795329606</v>
          </cell>
          <cell r="F29">
            <v>18865021.260947704</v>
          </cell>
        </row>
        <row r="30">
          <cell r="A30">
            <v>35339</v>
          </cell>
          <cell r="B30">
            <v>18865021.260947704</v>
          </cell>
          <cell r="C30">
            <v>166462.75</v>
          </cell>
          <cell r="D30">
            <v>40695.941593681957</v>
          </cell>
          <cell r="E30">
            <v>125766.80840631804</v>
          </cell>
          <cell r="F30">
            <v>18824325.319354024</v>
          </cell>
        </row>
        <row r="31">
          <cell r="A31">
            <v>35370</v>
          </cell>
          <cell r="B31">
            <v>18824325.319354024</v>
          </cell>
          <cell r="C31">
            <v>166462.75</v>
          </cell>
          <cell r="D31">
            <v>40967.247870973166</v>
          </cell>
          <cell r="E31">
            <v>125495.50212902683</v>
          </cell>
          <cell r="F31">
            <v>18783358.07148305</v>
          </cell>
        </row>
        <row r="32">
          <cell r="A32">
            <v>35400</v>
          </cell>
          <cell r="B32">
            <v>18783358.07148305</v>
          </cell>
          <cell r="C32">
            <v>166462.75</v>
          </cell>
          <cell r="D32">
            <v>41240.362856779655</v>
          </cell>
          <cell r="E32">
            <v>125222.38714322035</v>
          </cell>
          <cell r="F32">
            <v>18742117.70862627</v>
          </cell>
        </row>
        <row r="33">
          <cell r="A33">
            <v>35431</v>
          </cell>
          <cell r="B33">
            <v>18742117.70862627</v>
          </cell>
          <cell r="C33">
            <v>166462.75</v>
          </cell>
          <cell r="D33">
            <v>41515.298609158184</v>
          </cell>
          <cell r="E33">
            <v>124947.45139084182</v>
          </cell>
          <cell r="F33">
            <v>18700602.41001711</v>
          </cell>
        </row>
        <row r="34">
          <cell r="A34">
            <v>35462</v>
          </cell>
          <cell r="B34">
            <v>18700602.41001711</v>
          </cell>
          <cell r="C34">
            <v>166462.75</v>
          </cell>
          <cell r="D34">
            <v>41792.067266552593</v>
          </cell>
          <cell r="E34">
            <v>124670.68273344741</v>
          </cell>
          <cell r="F34">
            <v>18658810.342750557</v>
          </cell>
        </row>
        <row r="35">
          <cell r="A35">
            <v>35490</v>
          </cell>
          <cell r="B35">
            <v>18658810.342750557</v>
          </cell>
          <cell r="C35">
            <v>166462.75</v>
          </cell>
          <cell r="D35">
            <v>42070.681048329614</v>
          </cell>
          <cell r="E35">
            <v>124392.06895167039</v>
          </cell>
          <cell r="F35">
            <v>18616739.661702227</v>
          </cell>
        </row>
        <row r="36">
          <cell r="A36">
            <v>35521</v>
          </cell>
          <cell r="B36">
            <v>18616739.661702227</v>
          </cell>
          <cell r="C36">
            <v>166462.75</v>
          </cell>
          <cell r="D36">
            <v>42351.152255318477</v>
          </cell>
          <cell r="E36">
            <v>124111.59774468152</v>
          </cell>
          <cell r="F36">
            <v>18574388.509446908</v>
          </cell>
        </row>
        <row r="37">
          <cell r="A37">
            <v>35551</v>
          </cell>
          <cell r="B37">
            <v>18574388.509446908</v>
          </cell>
          <cell r="C37">
            <v>166462.75</v>
          </cell>
          <cell r="D37">
            <v>42633.493270353938</v>
          </cell>
          <cell r="E37">
            <v>123829.25672964606</v>
          </cell>
          <cell r="F37">
            <v>18531755.016176555</v>
          </cell>
        </row>
        <row r="38">
          <cell r="A38">
            <v>35582</v>
          </cell>
          <cell r="B38">
            <v>18531755.016176555</v>
          </cell>
          <cell r="C38">
            <v>166462.75</v>
          </cell>
          <cell r="D38">
            <v>42917.716558822955</v>
          </cell>
          <cell r="E38">
            <v>123545.03344117705</v>
          </cell>
          <cell r="F38">
            <v>18488837.299617734</v>
          </cell>
        </row>
        <row r="39">
          <cell r="A39">
            <v>35612</v>
          </cell>
          <cell r="B39">
            <v>18488837.299617734</v>
          </cell>
          <cell r="C39">
            <v>166462.75</v>
          </cell>
          <cell r="D39">
            <v>43203.834669215095</v>
          </cell>
          <cell r="E39">
            <v>123258.9153307849</v>
          </cell>
          <cell r="F39">
            <v>18445633.46494852</v>
          </cell>
        </row>
        <row r="40">
          <cell r="A40">
            <v>35643</v>
          </cell>
          <cell r="B40">
            <v>18445633.46494852</v>
          </cell>
          <cell r="C40">
            <v>166462.75</v>
          </cell>
          <cell r="D40">
            <v>43491.860233676518</v>
          </cell>
          <cell r="E40">
            <v>122970.88976632348</v>
          </cell>
          <cell r="F40">
            <v>18402141.604714844</v>
          </cell>
        </row>
        <row r="41">
          <cell r="A41">
            <v>35674</v>
          </cell>
          <cell r="B41">
            <v>18402141.604714844</v>
          </cell>
          <cell r="C41">
            <v>166462.75</v>
          </cell>
          <cell r="D41">
            <v>43781.8059685677</v>
          </cell>
          <cell r="E41">
            <v>122680.9440314323</v>
          </cell>
          <cell r="F41">
            <v>18358359.798746277</v>
          </cell>
        </row>
        <row r="42">
          <cell r="A42">
            <v>35704</v>
          </cell>
          <cell r="B42">
            <v>18358359.798746277</v>
          </cell>
          <cell r="C42">
            <v>166462.75</v>
          </cell>
          <cell r="D42">
            <v>44073.684675024808</v>
          </cell>
          <cell r="E42">
            <v>122389.06532497519</v>
          </cell>
          <cell r="F42">
            <v>18314286.114071254</v>
          </cell>
        </row>
        <row r="43">
          <cell r="A43">
            <v>35735</v>
          </cell>
          <cell r="B43">
            <v>18314286.114071254</v>
          </cell>
          <cell r="C43">
            <v>166462.75</v>
          </cell>
          <cell r="D43">
            <v>44367.509239524967</v>
          </cell>
          <cell r="E43">
            <v>122095.24076047503</v>
          </cell>
          <cell r="F43">
            <v>18269918.604831729</v>
          </cell>
        </row>
        <row r="44">
          <cell r="A44">
            <v>35765</v>
          </cell>
          <cell r="B44">
            <v>18269918.604831729</v>
          </cell>
          <cell r="C44">
            <v>166462.75</v>
          </cell>
          <cell r="D44">
            <v>44663.292634455138</v>
          </cell>
          <cell r="E44">
            <v>121799.45736554486</v>
          </cell>
          <cell r="F44">
            <v>18225255.312197275</v>
          </cell>
        </row>
        <row r="45">
          <cell r="A45">
            <v>35796</v>
          </cell>
          <cell r="B45">
            <v>18225255.312197275</v>
          </cell>
          <cell r="C45">
            <v>166462.75</v>
          </cell>
          <cell r="D45">
            <v>44961.047918684824</v>
          </cell>
          <cell r="E45">
            <v>121501.70208131518</v>
          </cell>
          <cell r="F45">
            <v>18180294.264278591</v>
          </cell>
        </row>
        <row r="46">
          <cell r="A46">
            <v>35827</v>
          </cell>
          <cell r="B46">
            <v>18180294.264278591</v>
          </cell>
          <cell r="C46">
            <v>166462.75</v>
          </cell>
          <cell r="D46">
            <v>45260.788238142719</v>
          </cell>
          <cell r="E46">
            <v>121201.96176185728</v>
          </cell>
          <cell r="F46">
            <v>18135033.476040449</v>
          </cell>
        </row>
        <row r="47">
          <cell r="A47">
            <v>35855</v>
          </cell>
          <cell r="B47">
            <v>18135033.476040449</v>
          </cell>
          <cell r="C47">
            <v>166462.75</v>
          </cell>
          <cell r="D47">
            <v>45562.526826396992</v>
          </cell>
          <cell r="E47">
            <v>120900.22317360301</v>
          </cell>
          <cell r="F47">
            <v>18089470.949214052</v>
          </cell>
        </row>
        <row r="48">
          <cell r="A48">
            <v>35886</v>
          </cell>
          <cell r="B48">
            <v>18089470.949214052</v>
          </cell>
          <cell r="C48">
            <v>166462.75</v>
          </cell>
          <cell r="D48">
            <v>45866.277005239637</v>
          </cell>
          <cell r="E48">
            <v>120596.47299476036</v>
          </cell>
          <cell r="F48">
            <v>18043604.672208812</v>
          </cell>
        </row>
        <row r="49">
          <cell r="A49">
            <v>35916</v>
          </cell>
          <cell r="B49">
            <v>18043604.672208812</v>
          </cell>
          <cell r="C49">
            <v>166462.75</v>
          </cell>
          <cell r="D49">
            <v>46172.052185274573</v>
          </cell>
          <cell r="E49">
            <v>120290.69781472543</v>
          </cell>
          <cell r="F49">
            <v>17997432.620023537</v>
          </cell>
        </row>
        <row r="50">
          <cell r="A50">
            <v>35947</v>
          </cell>
          <cell r="B50">
            <v>17997432.620023537</v>
          </cell>
          <cell r="C50">
            <v>166462.75</v>
          </cell>
          <cell r="D50">
            <v>46479.865866509746</v>
          </cell>
          <cell r="E50">
            <v>119982.88413349025</v>
          </cell>
          <cell r="F50">
            <v>17950952.754157029</v>
          </cell>
        </row>
        <row r="51">
          <cell r="A51">
            <v>35977</v>
          </cell>
          <cell r="B51">
            <v>17950952.754157029</v>
          </cell>
          <cell r="C51">
            <v>166462.75</v>
          </cell>
          <cell r="D51">
            <v>46789.731638953133</v>
          </cell>
          <cell r="E51">
            <v>119673.01836104687</v>
          </cell>
          <cell r="F51">
            <v>17904163.022518076</v>
          </cell>
        </row>
        <row r="52">
          <cell r="A52">
            <v>36008</v>
          </cell>
          <cell r="B52">
            <v>17904163.022518076</v>
          </cell>
          <cell r="C52">
            <v>166462.75</v>
          </cell>
          <cell r="D52">
            <v>47101.663183212819</v>
          </cell>
          <cell r="E52">
            <v>119361.08681678718</v>
          </cell>
          <cell r="F52">
            <v>17857061.359334864</v>
          </cell>
        </row>
        <row r="53">
          <cell r="A53">
            <v>36039</v>
          </cell>
          <cell r="B53">
            <v>17857061.359334864</v>
          </cell>
          <cell r="C53">
            <v>166462.75</v>
          </cell>
          <cell r="D53">
            <v>47415.674271100899</v>
          </cell>
          <cell r="E53">
            <v>119047.0757288991</v>
          </cell>
          <cell r="F53">
            <v>17809645.685063764</v>
          </cell>
        </row>
        <row r="54">
          <cell r="A54">
            <v>36069</v>
          </cell>
          <cell r="B54">
            <v>17809645.685063764</v>
          </cell>
          <cell r="C54">
            <v>166462.75</v>
          </cell>
          <cell r="D54">
            <v>47731.778766241565</v>
          </cell>
          <cell r="E54">
            <v>118730.97123375844</v>
          </cell>
          <cell r="F54">
            <v>17761913.906297524</v>
          </cell>
        </row>
        <row r="55">
          <cell r="A55">
            <v>36100</v>
          </cell>
          <cell r="B55">
            <v>17761913.906297524</v>
          </cell>
          <cell r="C55">
            <v>166462.75</v>
          </cell>
          <cell r="D55">
            <v>48049.990624683167</v>
          </cell>
          <cell r="E55">
            <v>118412.75937531683</v>
          </cell>
          <cell r="F55">
            <v>17713863.915672839</v>
          </cell>
        </row>
        <row r="56">
          <cell r="A56">
            <v>36130</v>
          </cell>
          <cell r="B56">
            <v>17713863.915672839</v>
          </cell>
          <cell r="C56">
            <v>166462.75</v>
          </cell>
          <cell r="D56">
            <v>48370.323895514404</v>
          </cell>
          <cell r="E56">
            <v>118092.4261044856</v>
          </cell>
          <cell r="F56">
            <v>17665493.591777325</v>
          </cell>
        </row>
        <row r="57">
          <cell r="A57">
            <v>36161</v>
          </cell>
          <cell r="B57">
            <v>17665493.591777325</v>
          </cell>
          <cell r="C57">
            <v>166462.75</v>
          </cell>
          <cell r="D57">
            <v>48692.792721484497</v>
          </cell>
          <cell r="E57">
            <v>117769.9572785155</v>
          </cell>
          <cell r="F57">
            <v>17616800.799055841</v>
          </cell>
        </row>
        <row r="58">
          <cell r="A58">
            <v>36192</v>
          </cell>
          <cell r="B58">
            <v>17616800.799055841</v>
          </cell>
          <cell r="C58">
            <v>166462.75</v>
          </cell>
          <cell r="D58">
            <v>49017.411339627724</v>
          </cell>
          <cell r="E58">
            <v>117445.33866037228</v>
          </cell>
          <cell r="F58">
            <v>17567783.387716211</v>
          </cell>
        </row>
        <row r="59">
          <cell r="A59">
            <v>36220</v>
          </cell>
          <cell r="B59">
            <v>17567783.387716211</v>
          </cell>
          <cell r="C59">
            <v>166462.75</v>
          </cell>
          <cell r="D59">
            <v>49344.19408189191</v>
          </cell>
          <cell r="E59">
            <v>117118.55591810809</v>
          </cell>
          <cell r="F59">
            <v>17518439.19363432</v>
          </cell>
        </row>
        <row r="60">
          <cell r="A60">
            <v>36251</v>
          </cell>
          <cell r="B60">
            <v>17518439.19363432</v>
          </cell>
          <cell r="C60">
            <v>166462.75</v>
          </cell>
          <cell r="D60">
            <v>49673.155375771195</v>
          </cell>
          <cell r="E60">
            <v>116789.5946242288</v>
          </cell>
          <cell r="F60">
            <v>17468766.038258549</v>
          </cell>
        </row>
        <row r="61">
          <cell r="A61">
            <v>36281</v>
          </cell>
          <cell r="B61">
            <v>17468766.038258549</v>
          </cell>
          <cell r="C61">
            <v>166462.75</v>
          </cell>
          <cell r="D61">
            <v>50004.309744943006</v>
          </cell>
          <cell r="E61">
            <v>116458.44025505699</v>
          </cell>
          <cell r="F61">
            <v>17418761.728513606</v>
          </cell>
        </row>
        <row r="62">
          <cell r="A62">
            <v>36312</v>
          </cell>
          <cell r="B62">
            <v>17418761.728513606</v>
          </cell>
          <cell r="C62">
            <v>166462.75</v>
          </cell>
          <cell r="D62">
            <v>50337.671809909283</v>
          </cell>
          <cell r="E62">
            <v>116125.07819009072</v>
          </cell>
          <cell r="F62">
            <v>17368424.056703698</v>
          </cell>
        </row>
        <row r="63">
          <cell r="A63">
            <v>36342</v>
          </cell>
          <cell r="B63">
            <v>17368424.056703698</v>
          </cell>
          <cell r="C63">
            <v>166462.75</v>
          </cell>
          <cell r="D63">
            <v>50673.256288642006</v>
          </cell>
          <cell r="E63">
            <v>115789.49371135799</v>
          </cell>
          <cell r="F63">
            <v>17317750.800415058</v>
          </cell>
        </row>
        <row r="64">
          <cell r="A64">
            <v>36373</v>
          </cell>
          <cell r="B64">
            <v>17317750.800415058</v>
          </cell>
          <cell r="C64">
            <v>166462.75</v>
          </cell>
          <cell r="D64">
            <v>51011.077997232947</v>
          </cell>
          <cell r="E64">
            <v>115451.67200276705</v>
          </cell>
          <cell r="F64">
            <v>17266739.722417824</v>
          </cell>
        </row>
        <row r="65">
          <cell r="A65">
            <v>36404</v>
          </cell>
          <cell r="B65">
            <v>17266739.722417824</v>
          </cell>
          <cell r="C65">
            <v>166462.75</v>
          </cell>
          <cell r="D65">
            <v>51351.151850547831</v>
          </cell>
          <cell r="E65">
            <v>115111.59814945217</v>
          </cell>
          <cell r="F65">
            <v>17215388.570567276</v>
          </cell>
        </row>
        <row r="66">
          <cell r="A66">
            <v>36434</v>
          </cell>
          <cell r="B66">
            <v>17215388.570567276</v>
          </cell>
          <cell r="C66">
            <v>166462.75</v>
          </cell>
          <cell r="D66">
            <v>51693.492862884814</v>
          </cell>
          <cell r="E66">
            <v>114769.25713711519</v>
          </cell>
          <cell r="F66">
            <v>17163695.077704392</v>
          </cell>
        </row>
        <row r="67">
          <cell r="A67">
            <v>36465</v>
          </cell>
          <cell r="B67">
            <v>17163695.077704392</v>
          </cell>
          <cell r="C67">
            <v>166462.75</v>
          </cell>
          <cell r="D67">
            <v>52038.116148637375</v>
          </cell>
          <cell r="E67">
            <v>114424.63385136263</v>
          </cell>
          <cell r="F67">
            <v>17111656.961555757</v>
          </cell>
        </row>
        <row r="68">
          <cell r="A68">
            <v>36495</v>
          </cell>
          <cell r="B68">
            <v>17111656.961555757</v>
          </cell>
          <cell r="C68">
            <v>166462.75</v>
          </cell>
          <cell r="D68">
            <v>52385.036922961619</v>
          </cell>
          <cell r="E68">
            <v>114077.71307703838</v>
          </cell>
          <cell r="F68">
            <v>17059271.924632795</v>
          </cell>
        </row>
        <row r="69">
          <cell r="A69">
            <v>36526</v>
          </cell>
          <cell r="B69">
            <v>17059271.924632795</v>
          </cell>
          <cell r="C69">
            <v>166462.75</v>
          </cell>
          <cell r="D69">
            <v>52734.270502448024</v>
          </cell>
          <cell r="E69">
            <v>113728.47949755198</v>
          </cell>
          <cell r="F69">
            <v>17006537.654130347</v>
          </cell>
        </row>
        <row r="70">
          <cell r="A70">
            <v>36557</v>
          </cell>
          <cell r="B70">
            <v>17006537.654130347</v>
          </cell>
          <cell r="C70">
            <v>166462.75</v>
          </cell>
          <cell r="D70">
            <v>53085.832305797681</v>
          </cell>
          <cell r="E70">
            <v>113376.91769420232</v>
          </cell>
          <cell r="F70">
            <v>16953451.821824551</v>
          </cell>
        </row>
        <row r="71">
          <cell r="A71">
            <v>36586</v>
          </cell>
          <cell r="B71">
            <v>16953451.821824551</v>
          </cell>
          <cell r="C71">
            <v>166462.75</v>
          </cell>
          <cell r="D71">
            <v>53439.737854502993</v>
          </cell>
          <cell r="E71">
            <v>113023.01214549701</v>
          </cell>
          <cell r="F71">
            <v>16900012.083970048</v>
          </cell>
        </row>
        <row r="72">
          <cell r="A72">
            <v>36617</v>
          </cell>
          <cell r="B72">
            <v>16900012.083970048</v>
          </cell>
          <cell r="C72">
            <v>166462.75</v>
          </cell>
          <cell r="D72">
            <v>53796.002773533008</v>
          </cell>
          <cell r="E72">
            <v>112666.74722646699</v>
          </cell>
          <cell r="F72">
            <v>16846216.081196513</v>
          </cell>
        </row>
        <row r="73">
          <cell r="A73">
            <v>36647</v>
          </cell>
          <cell r="B73">
            <v>16846216.081196513</v>
          </cell>
          <cell r="C73">
            <v>166462.75</v>
          </cell>
          <cell r="D73">
            <v>54154.642792023238</v>
          </cell>
          <cell r="E73">
            <v>112308.10720797676</v>
          </cell>
          <cell r="F73">
            <v>16792061.438404489</v>
          </cell>
        </row>
        <row r="74">
          <cell r="A74">
            <v>36678</v>
          </cell>
          <cell r="B74">
            <v>16792061.438404489</v>
          </cell>
          <cell r="C74">
            <v>166462.75</v>
          </cell>
          <cell r="D74">
            <v>54515.673743970066</v>
          </cell>
          <cell r="E74">
            <v>111947.07625602993</v>
          </cell>
          <cell r="F74">
            <v>16737545.764660519</v>
          </cell>
        </row>
        <row r="75">
          <cell r="A75">
            <v>36708</v>
          </cell>
          <cell r="B75">
            <v>16737545.764660519</v>
          </cell>
          <cell r="C75">
            <v>166462.75</v>
          </cell>
          <cell r="D75">
            <v>54879.111568929875</v>
          </cell>
          <cell r="E75">
            <v>111583.63843107013</v>
          </cell>
          <cell r="F75">
            <v>16682666.653091589</v>
          </cell>
        </row>
        <row r="76">
          <cell r="A76">
            <v>36739</v>
          </cell>
          <cell r="B76">
            <v>16682666.653091589</v>
          </cell>
          <cell r="C76">
            <v>166462.75</v>
          </cell>
          <cell r="D76">
            <v>55244.972312722733</v>
          </cell>
          <cell r="E76">
            <v>111217.77768727727</v>
          </cell>
          <cell r="F76">
            <v>16627421.680778867</v>
          </cell>
        </row>
        <row r="77">
          <cell r="A77">
            <v>36770</v>
          </cell>
          <cell r="B77">
            <v>16627421.680778867</v>
          </cell>
          <cell r="C77">
            <v>166462.75</v>
          </cell>
          <cell r="D77">
            <v>55613.272128140889</v>
          </cell>
          <cell r="E77">
            <v>110849.47787185911</v>
          </cell>
          <cell r="F77">
            <v>16571808.408650726</v>
          </cell>
        </row>
        <row r="78">
          <cell r="A78">
            <v>36800</v>
          </cell>
          <cell r="B78">
            <v>16571808.408650726</v>
          </cell>
          <cell r="C78">
            <v>166462.75</v>
          </cell>
          <cell r="D78">
            <v>55984.027275661821</v>
          </cell>
          <cell r="E78">
            <v>110478.72272433818</v>
          </cell>
          <cell r="F78">
            <v>16515824.381375065</v>
          </cell>
        </row>
        <row r="79">
          <cell r="A79">
            <v>36831</v>
          </cell>
          <cell r="B79">
            <v>16515824.381375065</v>
          </cell>
          <cell r="C79">
            <v>166462.75</v>
          </cell>
          <cell r="D79">
            <v>56357.254124166226</v>
          </cell>
          <cell r="E79">
            <v>110105.49587583377</v>
          </cell>
          <cell r="F79">
            <v>16459467.127250899</v>
          </cell>
        </row>
        <row r="80">
          <cell r="A80">
            <v>36861</v>
          </cell>
          <cell r="B80">
            <v>16459467.127250899</v>
          </cell>
          <cell r="C80">
            <v>166462.75</v>
          </cell>
          <cell r="D80">
            <v>56732.969151660669</v>
          </cell>
          <cell r="E80">
            <v>109729.78084833933</v>
          </cell>
          <cell r="F80">
            <v>16402734.158099238</v>
          </cell>
        </row>
        <row r="81">
          <cell r="A81">
            <v>36892</v>
          </cell>
          <cell r="B81">
            <v>16402734.158099238</v>
          </cell>
          <cell r="C81">
            <v>166462.75</v>
          </cell>
          <cell r="D81">
            <v>57111.188946005073</v>
          </cell>
          <cell r="E81">
            <v>109351.56105399493</v>
          </cell>
          <cell r="F81">
            <v>16345622.969153233</v>
          </cell>
        </row>
        <row r="82">
          <cell r="A82">
            <v>36923</v>
          </cell>
          <cell r="B82">
            <v>16345622.969153233</v>
          </cell>
          <cell r="C82">
            <v>166462.75</v>
          </cell>
          <cell r="D82">
            <v>57491.930205645112</v>
          </cell>
          <cell r="E82">
            <v>108970.81979435489</v>
          </cell>
          <cell r="F82">
            <v>16288131.038947588</v>
          </cell>
        </row>
        <row r="83">
          <cell r="A83">
            <v>36951</v>
          </cell>
          <cell r="B83">
            <v>16288131.038947588</v>
          </cell>
          <cell r="C83">
            <v>166462.75</v>
          </cell>
          <cell r="D83">
            <v>57875.209740349412</v>
          </cell>
          <cell r="E83">
            <v>108587.54025965059</v>
          </cell>
          <cell r="F83">
            <v>16230255.829207238</v>
          </cell>
        </row>
        <row r="84">
          <cell r="A84">
            <v>36982</v>
          </cell>
          <cell r="B84">
            <v>16230255.829207238</v>
          </cell>
          <cell r="C84">
            <v>166462.75</v>
          </cell>
          <cell r="D84">
            <v>58261.04447195174</v>
          </cell>
          <cell r="E84">
            <v>108201.70552804826</v>
          </cell>
          <cell r="F84">
            <v>16171994.784735287</v>
          </cell>
        </row>
        <row r="85">
          <cell r="A85">
            <v>37012</v>
          </cell>
          <cell r="B85">
            <v>16171994.784735287</v>
          </cell>
          <cell r="C85">
            <v>166462.75</v>
          </cell>
          <cell r="D85">
            <v>58649.451435098075</v>
          </cell>
          <cell r="E85">
            <v>107813.29856490192</v>
          </cell>
          <cell r="F85">
            <v>16113345.333300188</v>
          </cell>
        </row>
        <row r="86">
          <cell r="A86">
            <v>37043</v>
          </cell>
          <cell r="B86">
            <v>16113345.333300188</v>
          </cell>
          <cell r="C86">
            <v>166462.75</v>
          </cell>
          <cell r="D86">
            <v>59040.447777998736</v>
          </cell>
          <cell r="E86">
            <v>107422.30222200126</v>
          </cell>
          <cell r="F86">
            <v>16054304.885522189</v>
          </cell>
        </row>
        <row r="87">
          <cell r="A87">
            <v>37073</v>
          </cell>
          <cell r="B87">
            <v>16054304.885522189</v>
          </cell>
          <cell r="C87">
            <v>166462.75</v>
          </cell>
          <cell r="D87">
            <v>59434.050763185398</v>
          </cell>
          <cell r="E87">
            <v>107028.6992368146</v>
          </cell>
          <cell r="F87">
            <v>15994870.834759003</v>
          </cell>
        </row>
        <row r="88">
          <cell r="A88">
            <v>37104</v>
          </cell>
          <cell r="B88">
            <v>15994870.834759003</v>
          </cell>
          <cell r="C88">
            <v>166462.75</v>
          </cell>
          <cell r="D88">
            <v>59830.277768273314</v>
          </cell>
          <cell r="E88">
            <v>106632.47223172669</v>
          </cell>
          <cell r="F88">
            <v>15935040.55699073</v>
          </cell>
        </row>
        <row r="89">
          <cell r="A89">
            <v>37135</v>
          </cell>
          <cell r="B89">
            <v>15935040.55699073</v>
          </cell>
          <cell r="C89">
            <v>166462.75</v>
          </cell>
          <cell r="D89">
            <v>60229.146286728457</v>
          </cell>
          <cell r="E89">
            <v>106233.60371327154</v>
          </cell>
          <cell r="F89">
            <v>15874811.410704002</v>
          </cell>
        </row>
        <row r="90">
          <cell r="A90">
            <v>37165</v>
          </cell>
          <cell r="B90">
            <v>15874811.410704002</v>
          </cell>
          <cell r="C90">
            <v>166462.75</v>
          </cell>
          <cell r="D90">
            <v>60630.673928639982</v>
          </cell>
          <cell r="E90">
            <v>105832.07607136002</v>
          </cell>
          <cell r="F90">
            <v>15814180.736775361</v>
          </cell>
        </row>
        <row r="91">
          <cell r="A91">
            <v>37196</v>
          </cell>
          <cell r="B91">
            <v>15814180.736775361</v>
          </cell>
          <cell r="C91">
            <v>166462.75</v>
          </cell>
          <cell r="D91">
            <v>61034.878421497589</v>
          </cell>
          <cell r="E91">
            <v>105427.87157850241</v>
          </cell>
          <cell r="F91">
            <v>15753145.858353863</v>
          </cell>
        </row>
        <row r="92">
          <cell r="A92">
            <v>37226</v>
          </cell>
          <cell r="B92">
            <v>15753145.858353863</v>
          </cell>
          <cell r="C92">
            <v>166462.75</v>
          </cell>
          <cell r="D92">
            <v>61441.777610974241</v>
          </cell>
          <cell r="E92">
            <v>105020.97238902576</v>
          </cell>
          <cell r="F92">
            <v>15691704.080742888</v>
          </cell>
        </row>
        <row r="93">
          <cell r="A93">
            <v>37257</v>
          </cell>
          <cell r="B93">
            <v>15691704.080742888</v>
          </cell>
          <cell r="C93">
            <v>166462.75</v>
          </cell>
          <cell r="D93">
            <v>61851.389461714076</v>
          </cell>
          <cell r="E93">
            <v>104611.36053828592</v>
          </cell>
          <cell r="F93">
            <v>15629852.691281173</v>
          </cell>
        </row>
        <row r="94">
          <cell r="A94">
            <v>37288</v>
          </cell>
          <cell r="B94">
            <v>15629852.691281173</v>
          </cell>
          <cell r="C94">
            <v>166462.75</v>
          </cell>
          <cell r="D94">
            <v>62263.732058125504</v>
          </cell>
          <cell r="E94">
            <v>104199.0179418745</v>
          </cell>
          <cell r="F94">
            <v>15567588.959223049</v>
          </cell>
        </row>
        <row r="95">
          <cell r="A95">
            <v>37316</v>
          </cell>
          <cell r="B95">
            <v>15567588.959223049</v>
          </cell>
          <cell r="C95">
            <v>166462.75</v>
          </cell>
          <cell r="D95">
            <v>62678.82360517967</v>
          </cell>
          <cell r="E95">
            <v>103783.92639482033</v>
          </cell>
          <cell r="F95">
            <v>15504910.135617869</v>
          </cell>
        </row>
        <row r="96">
          <cell r="A96">
            <v>37347</v>
          </cell>
          <cell r="B96">
            <v>15504910.135617869</v>
          </cell>
          <cell r="C96">
            <v>166462.75</v>
          </cell>
          <cell r="D96">
            <v>63096.682429214197</v>
          </cell>
          <cell r="E96">
            <v>103366.0675707858</v>
          </cell>
          <cell r="F96">
            <v>15441813.453188654</v>
          </cell>
        </row>
        <row r="97">
          <cell r="A97">
            <v>37377</v>
          </cell>
          <cell r="B97">
            <v>15441813.453188654</v>
          </cell>
          <cell r="C97">
            <v>166462.75</v>
          </cell>
          <cell r="D97">
            <v>63517.326978742305</v>
          </cell>
          <cell r="E97">
            <v>102945.42302125769</v>
          </cell>
          <cell r="F97">
            <v>15378296.126209911</v>
          </cell>
        </row>
        <row r="98">
          <cell r="A98">
            <v>37408</v>
          </cell>
          <cell r="B98">
            <v>15378296.126209911</v>
          </cell>
          <cell r="C98">
            <v>166462.75</v>
          </cell>
          <cell r="D98">
            <v>63940.77582526725</v>
          </cell>
          <cell r="E98">
            <v>102521.97417473275</v>
          </cell>
          <cell r="F98">
            <v>15314355.350384643</v>
          </cell>
        </row>
        <row r="99">
          <cell r="A99">
            <v>37438</v>
          </cell>
          <cell r="B99">
            <v>15314355.350384643</v>
          </cell>
          <cell r="C99">
            <v>166462.75</v>
          </cell>
          <cell r="D99">
            <v>64367.047664102371</v>
          </cell>
          <cell r="E99">
            <v>102095.70233589763</v>
          </cell>
          <cell r="F99">
            <v>15249988.302720541</v>
          </cell>
        </row>
        <row r="100">
          <cell r="A100">
            <v>37469</v>
          </cell>
          <cell r="B100">
            <v>15249988.302720541</v>
          </cell>
          <cell r="C100">
            <v>166462.75</v>
          </cell>
          <cell r="D100">
            <v>64796.161315196383</v>
          </cell>
          <cell r="E100">
            <v>101666.58868480362</v>
          </cell>
          <cell r="F100">
            <v>15185192.141405344</v>
          </cell>
        </row>
        <row r="101">
          <cell r="A101">
            <v>37500</v>
          </cell>
          <cell r="B101">
            <v>15185192.141405344</v>
          </cell>
          <cell r="C101">
            <v>166462.75</v>
          </cell>
          <cell r="D101">
            <v>65228.135723964369</v>
          </cell>
          <cell r="E101">
            <v>101234.61427603563</v>
          </cell>
          <cell r="F101">
            <v>15119964.005681379</v>
          </cell>
        </row>
        <row r="102">
          <cell r="A102">
            <v>37530</v>
          </cell>
          <cell r="B102">
            <v>15119964.005681379</v>
          </cell>
          <cell r="C102">
            <v>166462.75</v>
          </cell>
          <cell r="D102">
            <v>65662.989962124135</v>
          </cell>
          <cell r="E102">
            <v>100799.76003787587</v>
          </cell>
          <cell r="F102">
            <v>15054301.015719255</v>
          </cell>
        </row>
        <row r="103">
          <cell r="A103">
            <v>37561</v>
          </cell>
          <cell r="B103">
            <v>15054301.015719255</v>
          </cell>
          <cell r="C103">
            <v>166462.75</v>
          </cell>
          <cell r="D103">
            <v>66100.743228538297</v>
          </cell>
          <cell r="E103">
            <v>100362.0067714617</v>
          </cell>
          <cell r="F103">
            <v>14988200.272490717</v>
          </cell>
        </row>
        <row r="104">
          <cell r="A104">
            <v>37591</v>
          </cell>
          <cell r="B104">
            <v>14988200.272490717</v>
          </cell>
          <cell r="C104">
            <v>166462.75</v>
          </cell>
          <cell r="D104">
            <v>66541.414850061876</v>
          </cell>
          <cell r="E104">
            <v>99921.335149938124</v>
          </cell>
          <cell r="F104">
            <v>14921658.857640656</v>
          </cell>
        </row>
        <row r="105">
          <cell r="A105">
            <v>37622</v>
          </cell>
          <cell r="B105">
            <v>14921658.857640656</v>
          </cell>
          <cell r="C105">
            <v>166462.75</v>
          </cell>
          <cell r="D105">
            <v>66985.024282395621</v>
          </cell>
          <cell r="E105">
            <v>99477.725717604379</v>
          </cell>
          <cell r="F105">
            <v>14854673.83335826</v>
          </cell>
        </row>
        <row r="106">
          <cell r="A106">
            <v>37653</v>
          </cell>
          <cell r="B106">
            <v>14854673.83335826</v>
          </cell>
          <cell r="C106">
            <v>166462.75</v>
          </cell>
          <cell r="D106">
            <v>67431.591110944923</v>
          </cell>
          <cell r="E106">
            <v>99031.158889055077</v>
          </cell>
          <cell r="F106">
            <v>14787242.242247315</v>
          </cell>
        </row>
        <row r="107">
          <cell r="A107">
            <v>37681</v>
          </cell>
          <cell r="B107">
            <v>14787242.242247315</v>
          </cell>
          <cell r="C107">
            <v>166462.75</v>
          </cell>
          <cell r="D107">
            <v>67881.135051684556</v>
          </cell>
          <cell r="E107">
            <v>98581.614948315444</v>
          </cell>
          <cell r="F107">
            <v>14719361.107195631</v>
          </cell>
        </row>
        <row r="108">
          <cell r="A108">
            <v>37712</v>
          </cell>
          <cell r="B108">
            <v>14719361.107195631</v>
          </cell>
          <cell r="C108">
            <v>166462.75</v>
          </cell>
          <cell r="D108">
            <v>68333.675952029123</v>
          </cell>
          <cell r="E108">
            <v>98129.074047970877</v>
          </cell>
          <cell r="F108">
            <v>14651027.431243602</v>
          </cell>
        </row>
        <row r="109">
          <cell r="A109">
            <v>37742</v>
          </cell>
          <cell r="B109">
            <v>14651027.431243602</v>
          </cell>
          <cell r="C109">
            <v>166462.75</v>
          </cell>
          <cell r="D109">
            <v>68789.23379170931</v>
          </cell>
          <cell r="E109">
            <v>97673.51620829069</v>
          </cell>
          <cell r="F109">
            <v>14582238.197451893</v>
          </cell>
        </row>
        <row r="110">
          <cell r="A110">
            <v>37773</v>
          </cell>
          <cell r="B110">
            <v>14582238.197451893</v>
          </cell>
          <cell r="C110">
            <v>166462.75</v>
          </cell>
          <cell r="D110">
            <v>69247.828683654036</v>
          </cell>
          <cell r="E110">
            <v>97214.921316345964</v>
          </cell>
          <cell r="F110">
            <v>14512990.368768239</v>
          </cell>
        </row>
        <row r="111">
          <cell r="A111">
            <v>37803</v>
          </cell>
          <cell r="B111">
            <v>14512990.368768239</v>
          </cell>
          <cell r="C111">
            <v>166462.75</v>
          </cell>
          <cell r="D111">
            <v>69709.480874878398</v>
          </cell>
          <cell r="E111">
            <v>96753.269125121602</v>
          </cell>
          <cell r="F111">
            <v>14443280.88789336</v>
          </cell>
        </row>
        <row r="112">
          <cell r="A112">
            <v>37834</v>
          </cell>
          <cell r="B112">
            <v>14443280.88789336</v>
          </cell>
          <cell r="C112">
            <v>166462.75</v>
          </cell>
          <cell r="D112">
            <v>70174.210747377598</v>
          </cell>
          <cell r="E112">
            <v>96288.539252622402</v>
          </cell>
          <cell r="F112">
            <v>14373106.677145982</v>
          </cell>
        </row>
        <row r="113">
          <cell r="A113">
            <v>37865</v>
          </cell>
          <cell r="B113">
            <v>14373106.677145982</v>
          </cell>
          <cell r="C113">
            <v>166462.75</v>
          </cell>
          <cell r="D113">
            <v>70642.038819026784</v>
          </cell>
          <cell r="E113">
            <v>95820.711180973216</v>
          </cell>
          <cell r="F113">
            <v>14302464.638326956</v>
          </cell>
        </row>
        <row r="114">
          <cell r="A114">
            <v>37895</v>
          </cell>
          <cell r="B114">
            <v>14302464.638326956</v>
          </cell>
          <cell r="C114">
            <v>166462.75</v>
          </cell>
          <cell r="D114">
            <v>71112.985744486956</v>
          </cell>
          <cell r="E114">
            <v>95349.764255513044</v>
          </cell>
          <cell r="F114">
            <v>14231351.652582468</v>
          </cell>
        </row>
        <row r="115">
          <cell r="A115">
            <v>37926</v>
          </cell>
          <cell r="B115">
            <v>14231351.652582468</v>
          </cell>
          <cell r="C115">
            <v>166462.75</v>
          </cell>
          <cell r="D115">
            <v>71587.072316116872</v>
          </cell>
          <cell r="E115">
            <v>94875.677683883128</v>
          </cell>
          <cell r="F115">
            <v>14159764.580266351</v>
          </cell>
        </row>
        <row r="116">
          <cell r="A116">
            <v>37956</v>
          </cell>
          <cell r="B116">
            <v>14159764.580266351</v>
          </cell>
          <cell r="C116">
            <v>166462.75</v>
          </cell>
          <cell r="D116">
            <v>72064.319464890985</v>
          </cell>
          <cell r="E116">
            <v>94398.430535109015</v>
          </cell>
          <cell r="F116">
            <v>14087700.260801461</v>
          </cell>
        </row>
        <row r="117">
          <cell r="A117">
            <v>37987</v>
          </cell>
          <cell r="B117">
            <v>14087700.260801461</v>
          </cell>
          <cell r="C117">
            <v>166462.75</v>
          </cell>
          <cell r="D117">
            <v>72544.748261323592</v>
          </cell>
          <cell r="E117">
            <v>93918.001738676408</v>
          </cell>
          <cell r="F117">
            <v>14015155.512540137</v>
          </cell>
        </row>
        <row r="118">
          <cell r="A118">
            <v>38018</v>
          </cell>
          <cell r="B118">
            <v>14015155.512540137</v>
          </cell>
          <cell r="C118">
            <v>166462.75</v>
          </cell>
          <cell r="D118">
            <v>73028.379916399077</v>
          </cell>
          <cell r="E118">
            <v>93434.370083600923</v>
          </cell>
          <cell r="F118">
            <v>13942127.132623738</v>
          </cell>
        </row>
        <row r="119">
          <cell r="A119">
            <v>38047</v>
          </cell>
          <cell r="B119">
            <v>13942127.132623738</v>
          </cell>
          <cell r="C119">
            <v>166462.75</v>
          </cell>
          <cell r="D119">
            <v>73515.235782508404</v>
          </cell>
          <cell r="E119">
            <v>92947.514217491596</v>
          </cell>
          <cell r="F119">
            <v>13868611.89684123</v>
          </cell>
        </row>
        <row r="120">
          <cell r="A120">
            <v>38078</v>
          </cell>
          <cell r="B120">
            <v>13868611.89684123</v>
          </cell>
          <cell r="C120">
            <v>166462.75</v>
          </cell>
          <cell r="D120">
            <v>74005.337354391799</v>
          </cell>
          <cell r="E120">
            <v>92457.412645608201</v>
          </cell>
          <cell r="F120">
            <v>13794606.559486838</v>
          </cell>
        </row>
        <row r="121">
          <cell r="A121">
            <v>38108</v>
          </cell>
          <cell r="B121">
            <v>13794606.559486838</v>
          </cell>
          <cell r="C121">
            <v>166462.75</v>
          </cell>
          <cell r="D121">
            <v>74498.706270087743</v>
          </cell>
          <cell r="E121">
            <v>91964.043729912257</v>
          </cell>
          <cell r="F121">
            <v>13720107.853216751</v>
          </cell>
        </row>
        <row r="122">
          <cell r="A122">
            <v>38139</v>
          </cell>
          <cell r="B122">
            <v>13720107.853216751</v>
          </cell>
          <cell r="C122">
            <v>166462.75</v>
          </cell>
          <cell r="D122">
            <v>74995.364311888319</v>
          </cell>
          <cell r="E122">
            <v>91467.385688111681</v>
          </cell>
          <cell r="F122">
            <v>13645112.488904862</v>
          </cell>
        </row>
        <row r="123">
          <cell r="A123">
            <v>38169</v>
          </cell>
          <cell r="B123">
            <v>13645112.488904862</v>
          </cell>
          <cell r="C123">
            <v>166462.75</v>
          </cell>
          <cell r="D123">
            <v>75495.333407300917</v>
          </cell>
          <cell r="E123">
            <v>90967.416592699083</v>
          </cell>
          <cell r="F123">
            <v>13569617.15549756</v>
          </cell>
        </row>
        <row r="124">
          <cell r="A124">
            <v>38200</v>
          </cell>
          <cell r="B124">
            <v>13569617.15549756</v>
          </cell>
          <cell r="C124">
            <v>166462.75</v>
          </cell>
          <cell r="D124">
            <v>75998.635630016259</v>
          </cell>
          <cell r="E124">
            <v>90464.114369983741</v>
          </cell>
          <cell r="F124">
            <v>13493618.519867543</v>
          </cell>
        </row>
        <row r="125">
          <cell r="A125">
            <v>38231</v>
          </cell>
          <cell r="B125">
            <v>13493618.519867543</v>
          </cell>
          <cell r="C125">
            <v>166462.75</v>
          </cell>
          <cell r="D125">
            <v>76505.293200883039</v>
          </cell>
          <cell r="E125">
            <v>89957.456799116961</v>
          </cell>
          <cell r="F125">
            <v>13417113.226666661</v>
          </cell>
        </row>
        <row r="126">
          <cell r="A126">
            <v>38261</v>
          </cell>
          <cell r="B126">
            <v>13417113.226666661</v>
          </cell>
          <cell r="C126">
            <v>166462.75</v>
          </cell>
          <cell r="D126">
            <v>77015.328488888917</v>
          </cell>
          <cell r="E126">
            <v>89447.421511111083</v>
          </cell>
          <cell r="F126">
            <v>13340097.898177773</v>
          </cell>
        </row>
        <row r="127">
          <cell r="A127">
            <v>38292</v>
          </cell>
          <cell r="B127">
            <v>13340097.898177773</v>
          </cell>
          <cell r="C127">
            <v>166462.75</v>
          </cell>
          <cell r="D127">
            <v>77528.764012148182</v>
          </cell>
          <cell r="E127">
            <v>88933.985987851818</v>
          </cell>
          <cell r="F127">
            <v>13262569.134165624</v>
          </cell>
        </row>
        <row r="128">
          <cell r="A128">
            <v>38322</v>
          </cell>
          <cell r="B128">
            <v>13262569.134165624</v>
          </cell>
          <cell r="C128">
            <v>166462.75</v>
          </cell>
          <cell r="D128">
            <v>78045.622438895836</v>
          </cell>
          <cell r="E128">
            <v>88417.127561104164</v>
          </cell>
          <cell r="F128">
            <v>13184523.511726728</v>
          </cell>
        </row>
        <row r="129">
          <cell r="A129">
            <v>38353</v>
          </cell>
          <cell r="B129">
            <v>13184523.511726728</v>
          </cell>
          <cell r="C129">
            <v>166462.75</v>
          </cell>
          <cell r="D129">
            <v>78565.926588488481</v>
          </cell>
          <cell r="E129">
            <v>87896.823411511519</v>
          </cell>
          <cell r="F129">
            <v>13105957.585138239</v>
          </cell>
        </row>
        <row r="130">
          <cell r="A130">
            <v>38384</v>
          </cell>
          <cell r="B130">
            <v>13105957.585138239</v>
          </cell>
          <cell r="C130">
            <v>166462.75</v>
          </cell>
          <cell r="D130">
            <v>79089.69943241174</v>
          </cell>
          <cell r="E130">
            <v>87373.05056758826</v>
          </cell>
          <cell r="F130">
            <v>13026867.885705827</v>
          </cell>
        </row>
        <row r="131">
          <cell r="A131">
            <v>38412</v>
          </cell>
          <cell r="B131">
            <v>13026867.885705827</v>
          </cell>
          <cell r="C131">
            <v>166462.75</v>
          </cell>
          <cell r="D131">
            <v>79616.964095294476</v>
          </cell>
          <cell r="E131">
            <v>86845.785904705524</v>
          </cell>
          <cell r="F131">
            <v>12947250.921610532</v>
          </cell>
        </row>
        <row r="132">
          <cell r="A132">
            <v>38443</v>
          </cell>
          <cell r="B132">
            <v>12947250.921610532</v>
          </cell>
          <cell r="C132">
            <v>166462.75</v>
          </cell>
          <cell r="D132">
            <v>80147.743855929773</v>
          </cell>
          <cell r="E132">
            <v>86315.006144070227</v>
          </cell>
          <cell r="F132">
            <v>12867103.177754603</v>
          </cell>
        </row>
        <row r="133">
          <cell r="A133">
            <v>38473</v>
          </cell>
          <cell r="B133">
            <v>12867103.177754603</v>
          </cell>
          <cell r="C133">
            <v>166462.75</v>
          </cell>
          <cell r="D133">
            <v>80682.062148302633</v>
          </cell>
          <cell r="E133">
            <v>85780.687851697367</v>
          </cell>
          <cell r="F133">
            <v>12786421.115606301</v>
          </cell>
        </row>
        <row r="134">
          <cell r="A134">
            <v>38504</v>
          </cell>
          <cell r="B134">
            <v>12786421.115606301</v>
          </cell>
          <cell r="C134">
            <v>166462.75</v>
          </cell>
          <cell r="D134">
            <v>81219.942562624652</v>
          </cell>
          <cell r="E134">
            <v>85242.807437375348</v>
          </cell>
          <cell r="F134">
            <v>12705201.173043676</v>
          </cell>
        </row>
        <row r="135">
          <cell r="A135">
            <v>38534</v>
          </cell>
          <cell r="B135">
            <v>12705201.173043676</v>
          </cell>
          <cell r="C135">
            <v>166462.75</v>
          </cell>
          <cell r="D135">
            <v>81761.408846375489</v>
          </cell>
          <cell r="E135">
            <v>84701.341153624511</v>
          </cell>
          <cell r="F135">
            <v>12623439.764197301</v>
          </cell>
        </row>
        <row r="136">
          <cell r="A136">
            <v>38565</v>
          </cell>
          <cell r="B136">
            <v>12623439.764197301</v>
          </cell>
          <cell r="C136">
            <v>166462.75</v>
          </cell>
          <cell r="D136">
            <v>82306.484905351317</v>
          </cell>
          <cell r="E136">
            <v>84156.265094648683</v>
          </cell>
          <cell r="F136">
            <v>12541133.27929195</v>
          </cell>
        </row>
        <row r="137">
          <cell r="A137">
            <v>38596</v>
          </cell>
          <cell r="B137">
            <v>12541133.27929195</v>
          </cell>
          <cell r="C137">
            <v>166462.75</v>
          </cell>
          <cell r="D137">
            <v>82855.194804720333</v>
          </cell>
          <cell r="E137">
            <v>83607.555195279667</v>
          </cell>
          <cell r="F137">
            <v>12458278.08448723</v>
          </cell>
        </row>
        <row r="138">
          <cell r="A138">
            <v>38626</v>
          </cell>
          <cell r="B138">
            <v>12458278.08448723</v>
          </cell>
          <cell r="C138">
            <v>166462.75</v>
          </cell>
          <cell r="D138">
            <v>83407.562770085133</v>
          </cell>
          <cell r="E138">
            <v>83055.187229914867</v>
          </cell>
          <cell r="F138">
            <v>12374870.521717144</v>
          </cell>
        </row>
        <row r="139">
          <cell r="A139">
            <v>38657</v>
          </cell>
          <cell r="B139">
            <v>12374870.521717144</v>
          </cell>
          <cell r="C139">
            <v>166462.75</v>
          </cell>
          <cell r="D139">
            <v>83963.613188552365</v>
          </cell>
          <cell r="E139">
            <v>82499.136811447635</v>
          </cell>
          <cell r="F139">
            <v>12290906.908528592</v>
          </cell>
        </row>
        <row r="140">
          <cell r="A140">
            <v>38687</v>
          </cell>
          <cell r="B140">
            <v>12290906.908528592</v>
          </cell>
          <cell r="C140">
            <v>166462.75</v>
          </cell>
          <cell r="D140">
            <v>84523.370609809383</v>
          </cell>
          <cell r="E140">
            <v>81939.379390190617</v>
          </cell>
          <cell r="F140">
            <v>12206383.537918784</v>
          </cell>
        </row>
        <row r="141">
          <cell r="A141">
            <v>38718</v>
          </cell>
          <cell r="B141">
            <v>12206383.537918784</v>
          </cell>
          <cell r="C141">
            <v>166462.75</v>
          </cell>
          <cell r="D141">
            <v>85086.859747208102</v>
          </cell>
          <cell r="E141">
            <v>81375.890252791898</v>
          </cell>
          <cell r="F141">
            <v>12121296.678171575</v>
          </cell>
        </row>
        <row r="142">
          <cell r="A142">
            <v>38749</v>
          </cell>
          <cell r="B142">
            <v>12121296.678171575</v>
          </cell>
          <cell r="C142">
            <v>166462.75</v>
          </cell>
          <cell r="D142">
            <v>85654.10547885616</v>
          </cell>
          <cell r="E142">
            <v>80808.64452114384</v>
          </cell>
          <cell r="F142">
            <v>12035642.572692718</v>
          </cell>
        </row>
        <row r="143">
          <cell r="A143">
            <v>38777</v>
          </cell>
          <cell r="B143">
            <v>12035642.572692718</v>
          </cell>
          <cell r="C143">
            <v>166462.75</v>
          </cell>
          <cell r="D143">
            <v>86225.132848715206</v>
          </cell>
          <cell r="E143">
            <v>80237.617151284794</v>
          </cell>
          <cell r="F143">
            <v>11949417.439844003</v>
          </cell>
        </row>
        <row r="144">
          <cell r="A144">
            <v>38808</v>
          </cell>
          <cell r="B144">
            <v>11949417.439844003</v>
          </cell>
          <cell r="C144">
            <v>166462.75</v>
          </cell>
          <cell r="D144">
            <v>86799.967067706646</v>
          </cell>
          <cell r="E144">
            <v>79662.782932293354</v>
          </cell>
          <cell r="F144">
            <v>11862617.472776296</v>
          </cell>
        </row>
        <row r="145">
          <cell r="A145">
            <v>38838</v>
          </cell>
          <cell r="B145">
            <v>11862617.472776296</v>
          </cell>
          <cell r="C145">
            <v>166462.75</v>
          </cell>
          <cell r="D145">
            <v>87378.633514824687</v>
          </cell>
          <cell r="E145">
            <v>79084.116485175313</v>
          </cell>
          <cell r="F145">
            <v>11775238.83926147</v>
          </cell>
        </row>
        <row r="146">
          <cell r="A146">
            <v>38869</v>
          </cell>
          <cell r="B146">
            <v>11775238.83926147</v>
          </cell>
          <cell r="C146">
            <v>166462.75</v>
          </cell>
          <cell r="D146">
            <v>87961.157738256865</v>
          </cell>
          <cell r="E146">
            <v>78501.592261743135</v>
          </cell>
          <cell r="F146">
            <v>11687277.681523213</v>
          </cell>
        </row>
        <row r="147">
          <cell r="A147">
            <v>38899</v>
          </cell>
          <cell r="B147">
            <v>11687277.681523213</v>
          </cell>
          <cell r="C147">
            <v>166462.75</v>
          </cell>
          <cell r="D147">
            <v>88547.565456511904</v>
          </cell>
          <cell r="E147">
            <v>77915.184543488096</v>
          </cell>
          <cell r="F147">
            <v>11598730.116066702</v>
          </cell>
        </row>
        <row r="148">
          <cell r="A148">
            <v>38930</v>
          </cell>
          <cell r="B148">
            <v>11598730.116066702</v>
          </cell>
          <cell r="C148">
            <v>166462.75</v>
          </cell>
          <cell r="D148">
            <v>89137.882559555321</v>
          </cell>
          <cell r="E148">
            <v>77324.867440444679</v>
          </cell>
          <cell r="F148">
            <v>11509592.233507147</v>
          </cell>
        </row>
        <row r="149">
          <cell r="A149">
            <v>38961</v>
          </cell>
          <cell r="B149">
            <v>11509592.233507147</v>
          </cell>
          <cell r="C149">
            <v>166462.75</v>
          </cell>
          <cell r="D149">
            <v>89732.135109952345</v>
          </cell>
          <cell r="E149">
            <v>76730.614890047655</v>
          </cell>
          <cell r="F149">
            <v>11419860.098397195</v>
          </cell>
        </row>
        <row r="150">
          <cell r="A150">
            <v>38991</v>
          </cell>
          <cell r="B150">
            <v>11419860.098397195</v>
          </cell>
          <cell r="C150">
            <v>166462.75</v>
          </cell>
          <cell r="D150">
            <v>90330.349344018687</v>
          </cell>
          <cell r="E150">
            <v>76132.400655981313</v>
          </cell>
          <cell r="F150">
            <v>11329529.749053176</v>
          </cell>
        </row>
        <row r="151">
          <cell r="A151">
            <v>39022</v>
          </cell>
          <cell r="B151">
            <v>11329529.749053176</v>
          </cell>
          <cell r="C151">
            <v>166462.75</v>
          </cell>
          <cell r="D151">
            <v>90932.551672978821</v>
          </cell>
          <cell r="E151">
            <v>75530.198327021179</v>
          </cell>
          <cell r="F151">
            <v>11238597.197380198</v>
          </cell>
        </row>
        <row r="152">
          <cell r="A152">
            <v>39052</v>
          </cell>
          <cell r="B152">
            <v>11238597.197380198</v>
          </cell>
          <cell r="C152">
            <v>166462.75</v>
          </cell>
          <cell r="D152">
            <v>91538.76868413201</v>
          </cell>
          <cell r="E152">
            <v>74923.98131586799</v>
          </cell>
          <cell r="F152">
            <v>11147058.428696066</v>
          </cell>
        </row>
        <row r="153">
          <cell r="A153">
            <v>39083</v>
          </cell>
          <cell r="B153">
            <v>11147058.428696066</v>
          </cell>
          <cell r="C153">
            <v>166462.75</v>
          </cell>
          <cell r="D153">
            <v>92149.027142026214</v>
          </cell>
          <cell r="E153">
            <v>74313.722857973786</v>
          </cell>
          <cell r="F153">
            <v>11054909.401554041</v>
          </cell>
        </row>
        <row r="154">
          <cell r="A154">
            <v>39114</v>
          </cell>
          <cell r="B154">
            <v>11054909.401554041</v>
          </cell>
          <cell r="C154">
            <v>166462.75</v>
          </cell>
          <cell r="D154">
            <v>92763.353989639727</v>
          </cell>
          <cell r="E154">
            <v>73699.396010360273</v>
          </cell>
          <cell r="F154">
            <v>10962146.0475644</v>
          </cell>
        </row>
        <row r="155">
          <cell r="A155">
            <v>39142</v>
          </cell>
          <cell r="B155">
            <v>10962146.0475644</v>
          </cell>
          <cell r="C155">
            <v>166462.75</v>
          </cell>
          <cell r="D155">
            <v>93381.77634957066</v>
          </cell>
          <cell r="E155">
            <v>73080.97365042934</v>
          </cell>
          <cell r="F155">
            <v>10868764.27121483</v>
          </cell>
        </row>
        <row r="156">
          <cell r="A156">
            <v>39173</v>
          </cell>
          <cell r="B156">
            <v>10868764.27121483</v>
          </cell>
          <cell r="C156">
            <v>166462.75</v>
          </cell>
          <cell r="D156">
            <v>94004.321525234467</v>
          </cell>
          <cell r="E156">
            <v>72458.428474765533</v>
          </cell>
          <cell r="F156">
            <v>10774759.949689595</v>
          </cell>
        </row>
        <row r="157">
          <cell r="A157">
            <v>39203</v>
          </cell>
          <cell r="B157">
            <v>10774759.949689595</v>
          </cell>
          <cell r="C157">
            <v>166462.75</v>
          </cell>
          <cell r="D157">
            <v>94631.017002069362</v>
          </cell>
          <cell r="E157">
            <v>71831.732997930638</v>
          </cell>
          <cell r="F157">
            <v>10680128.932687527</v>
          </cell>
        </row>
        <row r="158">
          <cell r="A158">
            <v>39234</v>
          </cell>
          <cell r="B158">
            <v>10680128.932687527</v>
          </cell>
          <cell r="C158">
            <v>166462.75</v>
          </cell>
          <cell r="D158">
            <v>95261.890448749822</v>
          </cell>
          <cell r="E158">
            <v>71200.859551250178</v>
          </cell>
          <cell r="F158">
            <v>10584867.042238778</v>
          </cell>
        </row>
        <row r="159">
          <cell r="A159">
            <v>39264</v>
          </cell>
          <cell r="B159">
            <v>10584867.042238778</v>
          </cell>
          <cell r="C159">
            <v>166462.75</v>
          </cell>
          <cell r="D159">
            <v>95896.969718408145</v>
          </cell>
          <cell r="E159">
            <v>70565.780281591855</v>
          </cell>
          <cell r="F159">
            <v>10488970.07252037</v>
          </cell>
        </row>
        <row r="160">
          <cell r="A160">
            <v>39295</v>
          </cell>
          <cell r="B160">
            <v>10488970.07252037</v>
          </cell>
          <cell r="C160">
            <v>166462.75</v>
          </cell>
          <cell r="D160">
            <v>96536.282849864205</v>
          </cell>
          <cell r="E160">
            <v>69926.467150135795</v>
          </cell>
          <cell r="F160">
            <v>10392433.789670505</v>
          </cell>
        </row>
        <row r="161">
          <cell r="A161">
            <v>39326</v>
          </cell>
          <cell r="B161">
            <v>10392433.789670505</v>
          </cell>
          <cell r="C161">
            <v>166462.75</v>
          </cell>
          <cell r="D161">
            <v>97179.858068863294</v>
          </cell>
          <cell r="E161">
            <v>69282.891931136706</v>
          </cell>
          <cell r="F161">
            <v>10295253.931601642</v>
          </cell>
        </row>
        <row r="162">
          <cell r="A162">
            <v>39356</v>
          </cell>
          <cell r="B162">
            <v>10295253.931601642</v>
          </cell>
          <cell r="C162">
            <v>166462.75</v>
          </cell>
          <cell r="D162">
            <v>97827.723789322379</v>
          </cell>
          <cell r="E162">
            <v>68635.026210677621</v>
          </cell>
          <cell r="F162">
            <v>10197426.207812319</v>
          </cell>
        </row>
        <row r="163">
          <cell r="A163">
            <v>39387</v>
          </cell>
          <cell r="B163">
            <v>10197426.207812319</v>
          </cell>
          <cell r="C163">
            <v>166462.75</v>
          </cell>
          <cell r="D163">
            <v>98479.908614584536</v>
          </cell>
          <cell r="E163">
            <v>67982.841385415464</v>
          </cell>
          <cell r="F163">
            <v>10098946.299197733</v>
          </cell>
        </row>
        <row r="164">
          <cell r="A164">
            <v>39417</v>
          </cell>
          <cell r="B164">
            <v>10098946.299197733</v>
          </cell>
          <cell r="C164">
            <v>166462.75</v>
          </cell>
          <cell r="D164">
            <v>99136.441338681776</v>
          </cell>
          <cell r="E164">
            <v>67326.308661318224</v>
          </cell>
          <cell r="F164">
            <v>9999809.8578590509</v>
          </cell>
        </row>
        <row r="165">
          <cell r="A165">
            <v>39448</v>
          </cell>
          <cell r="B165">
            <v>9999809.8578590509</v>
          </cell>
          <cell r="C165">
            <v>166462.75</v>
          </cell>
          <cell r="D165">
            <v>99797.350947606319</v>
          </cell>
          <cell r="E165">
            <v>66665.399052393681</v>
          </cell>
          <cell r="F165">
            <v>9900012.5069114454</v>
          </cell>
        </row>
        <row r="166">
          <cell r="A166">
            <v>39479</v>
          </cell>
          <cell r="B166">
            <v>9900012.5069114454</v>
          </cell>
          <cell r="C166">
            <v>166462.75</v>
          </cell>
          <cell r="D166">
            <v>100462.66662059036</v>
          </cell>
          <cell r="E166">
            <v>66000.08337940964</v>
          </cell>
          <cell r="F166">
            <v>9799549.8402908556</v>
          </cell>
        </row>
        <row r="167">
          <cell r="A167">
            <v>39508</v>
          </cell>
          <cell r="B167">
            <v>9799549.8402908556</v>
          </cell>
          <cell r="C167">
            <v>166462.75</v>
          </cell>
          <cell r="D167">
            <v>101132.41773139429</v>
          </cell>
          <cell r="E167">
            <v>65330.332268605707</v>
          </cell>
          <cell r="F167">
            <v>9698417.4225594606</v>
          </cell>
        </row>
        <row r="168">
          <cell r="A168">
            <v>39539</v>
          </cell>
          <cell r="B168">
            <v>9698417.4225594606</v>
          </cell>
          <cell r="C168">
            <v>166462.75</v>
          </cell>
          <cell r="D168">
            <v>101806.63384960359</v>
          </cell>
          <cell r="E168">
            <v>64656.11615039641</v>
          </cell>
          <cell r="F168">
            <v>9596610.7887098566</v>
          </cell>
        </row>
        <row r="169">
          <cell r="A169">
            <v>39569</v>
          </cell>
          <cell r="B169">
            <v>9596610.7887098566</v>
          </cell>
          <cell r="C169">
            <v>166462.75</v>
          </cell>
          <cell r="D169">
            <v>102485.34474193428</v>
          </cell>
          <cell r="E169">
            <v>63977.405258065715</v>
          </cell>
          <cell r="F169">
            <v>9494125.4439679217</v>
          </cell>
        </row>
        <row r="170">
          <cell r="A170">
            <v>39600</v>
          </cell>
          <cell r="B170">
            <v>9494125.4439679217</v>
          </cell>
          <cell r="C170">
            <v>166462.75</v>
          </cell>
          <cell r="D170">
            <v>103168.58037354719</v>
          </cell>
          <cell r="E170">
            <v>63294.169626452815</v>
          </cell>
          <cell r="F170">
            <v>9390956.8635943737</v>
          </cell>
        </row>
        <row r="171">
          <cell r="A171">
            <v>39630</v>
          </cell>
          <cell r="B171">
            <v>9390956.8635943737</v>
          </cell>
          <cell r="C171">
            <v>166462.75</v>
          </cell>
          <cell r="D171">
            <v>103856.37090937083</v>
          </cell>
          <cell r="E171">
            <v>62606.379090629162</v>
          </cell>
          <cell r="F171">
            <v>9287100.4926850032</v>
          </cell>
        </row>
        <row r="172">
          <cell r="A172">
            <v>39661</v>
          </cell>
          <cell r="B172">
            <v>9287100.4926850032</v>
          </cell>
          <cell r="C172">
            <v>166462.75</v>
          </cell>
          <cell r="D172">
            <v>104548.74671543331</v>
          </cell>
          <cell r="E172">
            <v>61914.003284566694</v>
          </cell>
          <cell r="F172">
            <v>9182551.7459695693</v>
          </cell>
        </row>
        <row r="173">
          <cell r="A173">
            <v>39692</v>
          </cell>
          <cell r="B173">
            <v>9182551.7459695693</v>
          </cell>
          <cell r="C173">
            <v>166462.75</v>
          </cell>
          <cell r="D173">
            <v>105245.73836020287</v>
          </cell>
          <cell r="E173">
            <v>61217.011639797136</v>
          </cell>
          <cell r="F173">
            <v>9077306.0076093674</v>
          </cell>
        </row>
        <row r="174">
          <cell r="A174">
            <v>39722</v>
          </cell>
          <cell r="B174">
            <v>9077306.0076093674</v>
          </cell>
          <cell r="C174">
            <v>166462.75</v>
          </cell>
          <cell r="D174">
            <v>105947.37661593754</v>
          </cell>
          <cell r="E174">
            <v>60515.373384062455</v>
          </cell>
          <cell r="F174">
            <v>8971358.6309934296</v>
          </cell>
        </row>
        <row r="175">
          <cell r="A175">
            <v>39753</v>
          </cell>
          <cell r="B175">
            <v>8971358.6309934296</v>
          </cell>
          <cell r="C175">
            <v>166462.75</v>
          </cell>
          <cell r="D175">
            <v>106653.69246004379</v>
          </cell>
          <cell r="E175">
            <v>59809.0575399562</v>
          </cell>
          <cell r="F175">
            <v>8864704.9385333862</v>
          </cell>
        </row>
        <row r="176">
          <cell r="A176">
            <v>39783</v>
          </cell>
          <cell r="B176">
            <v>8864704.9385333862</v>
          </cell>
          <cell r="C176">
            <v>166462.75</v>
          </cell>
          <cell r="D176">
            <v>107364.7170764441</v>
          </cell>
          <cell r="E176">
            <v>59098.032923555911</v>
          </cell>
          <cell r="F176">
            <v>8757340.2214569412</v>
          </cell>
        </row>
        <row r="177">
          <cell r="A177">
            <v>39814</v>
          </cell>
          <cell r="B177">
            <v>8757340.2214569412</v>
          </cell>
          <cell r="C177">
            <v>166462.75</v>
          </cell>
          <cell r="D177">
            <v>108080.48185695373</v>
          </cell>
          <cell r="E177">
            <v>58382.268143046276</v>
          </cell>
          <cell r="F177">
            <v>8649259.7395999879</v>
          </cell>
        </row>
        <row r="178">
          <cell r="A178">
            <v>39845</v>
          </cell>
          <cell r="B178">
            <v>8649259.7395999879</v>
          </cell>
          <cell r="C178">
            <v>166462.75</v>
          </cell>
          <cell r="D178">
            <v>108801.01840266674</v>
          </cell>
          <cell r="E178">
            <v>57661.731597333259</v>
          </cell>
          <cell r="F178">
            <v>8540458.721197322</v>
          </cell>
        </row>
        <row r="179">
          <cell r="A179">
            <v>39873</v>
          </cell>
          <cell r="B179">
            <v>8540458.721197322</v>
          </cell>
          <cell r="C179">
            <v>166462.75</v>
          </cell>
          <cell r="D179">
            <v>109526.35852535118</v>
          </cell>
          <cell r="E179">
            <v>56936.391474648815</v>
          </cell>
          <cell r="F179">
            <v>8430932.3626719713</v>
          </cell>
        </row>
        <row r="180">
          <cell r="A180">
            <v>39904</v>
          </cell>
          <cell r="B180">
            <v>8430932.3626719713</v>
          </cell>
          <cell r="C180">
            <v>166462.75</v>
          </cell>
          <cell r="D180">
            <v>110256.53424885352</v>
          </cell>
          <cell r="E180">
            <v>56206.215751146476</v>
          </cell>
          <cell r="F180">
            <v>8320675.8284231182</v>
          </cell>
        </row>
        <row r="181">
          <cell r="A181">
            <v>39934</v>
          </cell>
          <cell r="B181">
            <v>8320675.8284231182</v>
          </cell>
          <cell r="C181">
            <v>166462.75</v>
          </cell>
          <cell r="D181">
            <v>110991.57781051254</v>
          </cell>
          <cell r="E181">
            <v>55471.172189487457</v>
          </cell>
          <cell r="F181">
            <v>8209684.2506126054</v>
          </cell>
        </row>
        <row r="182">
          <cell r="A182">
            <v>39965</v>
          </cell>
          <cell r="B182">
            <v>8209684.2506126054</v>
          </cell>
          <cell r="C182">
            <v>166462.75</v>
          </cell>
          <cell r="D182">
            <v>111731.52166258263</v>
          </cell>
          <cell r="E182">
            <v>54731.228337417371</v>
          </cell>
          <cell r="F182">
            <v>8097952.7289500227</v>
          </cell>
        </row>
        <row r="183">
          <cell r="A183">
            <v>39995</v>
          </cell>
          <cell r="B183">
            <v>8097952.7289500227</v>
          </cell>
          <cell r="C183">
            <v>166462.75</v>
          </cell>
          <cell r="D183">
            <v>112476.39847366652</v>
          </cell>
          <cell r="E183">
            <v>53986.351526333485</v>
          </cell>
          <cell r="F183">
            <v>7985476.3304763567</v>
          </cell>
        </row>
        <row r="184">
          <cell r="A184">
            <v>40026</v>
          </cell>
          <cell r="B184">
            <v>7985476.3304763567</v>
          </cell>
          <cell r="C184">
            <v>166462.75</v>
          </cell>
          <cell r="D184">
            <v>113226.24113015762</v>
          </cell>
          <cell r="E184">
            <v>53236.508869842379</v>
          </cell>
          <cell r="F184">
            <v>7872250.0893461993</v>
          </cell>
        </row>
        <row r="185">
          <cell r="A185">
            <v>40057</v>
          </cell>
          <cell r="B185">
            <v>7872250.0893461993</v>
          </cell>
          <cell r="C185">
            <v>166462.75</v>
          </cell>
          <cell r="D185">
            <v>113981.08273769199</v>
          </cell>
          <cell r="E185">
            <v>52481.667262308001</v>
          </cell>
          <cell r="F185">
            <v>7758269.0066085076</v>
          </cell>
        </row>
        <row r="186">
          <cell r="A186">
            <v>40087</v>
          </cell>
          <cell r="B186">
            <v>7758269.0066085076</v>
          </cell>
          <cell r="C186">
            <v>166462.75</v>
          </cell>
          <cell r="D186">
            <v>114740.95662260996</v>
          </cell>
          <cell r="E186">
            <v>51721.793377390051</v>
          </cell>
          <cell r="F186">
            <v>7643528.0499858977</v>
          </cell>
        </row>
        <row r="187">
          <cell r="A187">
            <v>40118</v>
          </cell>
          <cell r="B187">
            <v>7643528.0499858977</v>
          </cell>
          <cell r="C187">
            <v>166462.75</v>
          </cell>
          <cell r="D187">
            <v>115505.89633342734</v>
          </cell>
          <cell r="E187">
            <v>50956.853666572657</v>
          </cell>
          <cell r="F187">
            <v>7528022.1536524706</v>
          </cell>
        </row>
        <row r="188">
          <cell r="A188">
            <v>40148</v>
          </cell>
          <cell r="B188">
            <v>7528022.1536524706</v>
          </cell>
          <cell r="C188">
            <v>166462.75</v>
          </cell>
          <cell r="D188">
            <v>116275.93564231685</v>
          </cell>
          <cell r="E188">
            <v>50186.814357683143</v>
          </cell>
          <cell r="F188">
            <v>7411746.2180101536</v>
          </cell>
        </row>
        <row r="189">
          <cell r="A189">
            <v>40179</v>
          </cell>
          <cell r="B189">
            <v>7411746.2180101536</v>
          </cell>
          <cell r="C189">
            <v>166462.75</v>
          </cell>
          <cell r="D189">
            <v>117051.10854659897</v>
          </cell>
          <cell r="E189">
            <v>49411.641453401026</v>
          </cell>
          <cell r="F189">
            <v>7294695.1094635548</v>
          </cell>
        </row>
        <row r="190">
          <cell r="A190">
            <v>40210</v>
          </cell>
          <cell r="B190">
            <v>7294695.1094635548</v>
          </cell>
          <cell r="C190">
            <v>166462.75</v>
          </cell>
          <cell r="D190">
            <v>117831.44927024297</v>
          </cell>
          <cell r="E190">
            <v>48631.300729757037</v>
          </cell>
          <cell r="F190">
            <v>7176863.660193312</v>
          </cell>
        </row>
        <row r="191">
          <cell r="A191">
            <v>40238</v>
          </cell>
          <cell r="B191">
            <v>7176863.660193312</v>
          </cell>
          <cell r="C191">
            <v>166462.75</v>
          </cell>
          <cell r="D191">
            <v>118616.99226537792</v>
          </cell>
          <cell r="E191">
            <v>47845.757734622086</v>
          </cell>
          <cell r="F191">
            <v>7058246.6679279339</v>
          </cell>
        </row>
        <row r="192">
          <cell r="A192">
            <v>40269</v>
          </cell>
          <cell r="B192">
            <v>7058246.6679279339</v>
          </cell>
          <cell r="C192">
            <v>166462.75</v>
          </cell>
          <cell r="D192">
            <v>119407.77221381376</v>
          </cell>
          <cell r="E192">
            <v>47054.977786186231</v>
          </cell>
          <cell r="F192">
            <v>6938838.89571412</v>
          </cell>
        </row>
        <row r="193">
          <cell r="A193">
            <v>40299</v>
          </cell>
          <cell r="B193">
            <v>6938838.89571412</v>
          </cell>
          <cell r="C193">
            <v>166462.75</v>
          </cell>
          <cell r="D193">
            <v>120203.82402857253</v>
          </cell>
          <cell r="E193">
            <v>46258.925971427467</v>
          </cell>
          <cell r="F193">
            <v>6818635.071685547</v>
          </cell>
        </row>
        <row r="194">
          <cell r="A194">
            <v>40330</v>
          </cell>
          <cell r="B194">
            <v>6818635.071685547</v>
          </cell>
          <cell r="C194">
            <v>166462.75</v>
          </cell>
          <cell r="D194">
            <v>121005.18285542968</v>
          </cell>
          <cell r="E194">
            <v>45457.567144570319</v>
          </cell>
          <cell r="F194">
            <v>6697629.8888301169</v>
          </cell>
        </row>
        <row r="195">
          <cell r="A195">
            <v>40360</v>
          </cell>
          <cell r="B195">
            <v>6697629.8888301169</v>
          </cell>
          <cell r="C195">
            <v>166462.75</v>
          </cell>
          <cell r="D195">
            <v>121811.88407446588</v>
          </cell>
          <cell r="E195">
            <v>44650.865925534119</v>
          </cell>
          <cell r="F195">
            <v>6575818.0047556506</v>
          </cell>
        </row>
        <row r="196">
          <cell r="A196">
            <v>40391</v>
          </cell>
          <cell r="B196">
            <v>6575818.0047556506</v>
          </cell>
          <cell r="C196">
            <v>166462.75</v>
          </cell>
          <cell r="D196">
            <v>122623.963301629</v>
          </cell>
          <cell r="E196">
            <v>43838.786698371005</v>
          </cell>
          <cell r="F196">
            <v>6453194.0414540218</v>
          </cell>
        </row>
        <row r="197">
          <cell r="A197">
            <v>40422</v>
          </cell>
          <cell r="B197">
            <v>6453194.0414540218</v>
          </cell>
          <cell r="C197">
            <v>166462.75</v>
          </cell>
          <cell r="D197">
            <v>123441.45639030653</v>
          </cell>
          <cell r="E197">
            <v>43021.293609693479</v>
          </cell>
          <cell r="F197">
            <v>6329752.5850637155</v>
          </cell>
        </row>
        <row r="198">
          <cell r="A198">
            <v>40452</v>
          </cell>
          <cell r="B198">
            <v>6329752.5850637155</v>
          </cell>
          <cell r="C198">
            <v>166462.75</v>
          </cell>
          <cell r="D198">
            <v>124264.39943290857</v>
          </cell>
          <cell r="E198">
            <v>42198.350567091438</v>
          </cell>
          <cell r="F198">
            <v>6205488.1856308067</v>
          </cell>
        </row>
        <row r="199">
          <cell r="A199">
            <v>40483</v>
          </cell>
          <cell r="B199">
            <v>6205488.1856308067</v>
          </cell>
          <cell r="C199">
            <v>166462.75</v>
          </cell>
          <cell r="D199">
            <v>125092.82876246129</v>
          </cell>
          <cell r="E199">
            <v>41369.921237538714</v>
          </cell>
          <cell r="F199">
            <v>6080395.3568683453</v>
          </cell>
        </row>
        <row r="200">
          <cell r="A200">
            <v>40513</v>
          </cell>
          <cell r="B200">
            <v>6080395.3568683453</v>
          </cell>
          <cell r="C200">
            <v>166462.75</v>
          </cell>
          <cell r="D200">
            <v>125926.78095421102</v>
          </cell>
          <cell r="E200">
            <v>40535.969045788974</v>
          </cell>
          <cell r="F200">
            <v>5954468.5759141343</v>
          </cell>
        </row>
        <row r="201">
          <cell r="A201">
            <v>40544</v>
          </cell>
          <cell r="B201">
            <v>5954468.5759141343</v>
          </cell>
          <cell r="C201">
            <v>166462.75</v>
          </cell>
          <cell r="D201">
            <v>126766.2928272391</v>
          </cell>
          <cell r="E201">
            <v>39696.4571727609</v>
          </cell>
          <cell r="F201">
            <v>5827702.283086895</v>
          </cell>
        </row>
        <row r="202">
          <cell r="A202">
            <v>40575</v>
          </cell>
          <cell r="B202">
            <v>5827702.283086895</v>
          </cell>
          <cell r="C202">
            <v>166462.75</v>
          </cell>
          <cell r="D202">
            <v>127611.40144608737</v>
          </cell>
          <cell r="E202">
            <v>38851.348553912634</v>
          </cell>
          <cell r="F202">
            <v>5700090.8816408077</v>
          </cell>
        </row>
        <row r="203">
          <cell r="A203">
            <v>40603</v>
          </cell>
          <cell r="B203">
            <v>5700090.8816408077</v>
          </cell>
          <cell r="C203">
            <v>166462.75</v>
          </cell>
          <cell r="D203">
            <v>128462.14412239462</v>
          </cell>
          <cell r="E203">
            <v>38000.605877605391</v>
          </cell>
          <cell r="F203">
            <v>5571628.737518413</v>
          </cell>
        </row>
        <row r="204">
          <cell r="A204">
            <v>40634</v>
          </cell>
          <cell r="B204">
            <v>5571628.737518413</v>
          </cell>
          <cell r="C204">
            <v>166462.75</v>
          </cell>
          <cell r="D204">
            <v>129318.55841654391</v>
          </cell>
          <cell r="E204">
            <v>37144.191583456086</v>
          </cell>
          <cell r="F204">
            <v>5442310.1791018695</v>
          </cell>
        </row>
        <row r="205">
          <cell r="A205">
            <v>40664</v>
          </cell>
          <cell r="B205">
            <v>5442310.1791018695</v>
          </cell>
          <cell r="C205">
            <v>166462.75</v>
          </cell>
          <cell r="D205">
            <v>130180.68213932087</v>
          </cell>
          <cell r="E205">
            <v>36282.067860679133</v>
          </cell>
          <cell r="F205">
            <v>5312129.4969625482</v>
          </cell>
        </row>
        <row r="206">
          <cell r="A206">
            <v>40695</v>
          </cell>
          <cell r="B206">
            <v>5312129.4969625482</v>
          </cell>
          <cell r="C206">
            <v>166462.75</v>
          </cell>
          <cell r="D206">
            <v>131048.553353583</v>
          </cell>
          <cell r="E206">
            <v>35414.196646416989</v>
          </cell>
          <cell r="F206">
            <v>5181080.9436089648</v>
          </cell>
        </row>
        <row r="207">
          <cell r="A207">
            <v>40725</v>
          </cell>
          <cell r="B207">
            <v>5181080.9436089648</v>
          </cell>
          <cell r="C207">
            <v>166462.75</v>
          </cell>
          <cell r="D207">
            <v>131922.21037594022</v>
          </cell>
          <cell r="E207">
            <v>34540.539624059769</v>
          </cell>
          <cell r="F207">
            <v>5049158.7332330244</v>
          </cell>
        </row>
        <row r="208">
          <cell r="A208">
            <v>40756</v>
          </cell>
          <cell r="B208">
            <v>5049158.7332330244</v>
          </cell>
          <cell r="C208">
            <v>166462.75</v>
          </cell>
          <cell r="D208">
            <v>132801.69177844649</v>
          </cell>
          <cell r="E208">
            <v>33661.058221553496</v>
          </cell>
          <cell r="F208">
            <v>4916357.0414545778</v>
          </cell>
        </row>
        <row r="209">
          <cell r="A209">
            <v>40787</v>
          </cell>
          <cell r="B209">
            <v>4916357.0414545778</v>
          </cell>
          <cell r="C209">
            <v>166462.75</v>
          </cell>
          <cell r="D209">
            <v>133687.03639030282</v>
          </cell>
          <cell r="E209">
            <v>32775.713609697188</v>
          </cell>
          <cell r="F209">
            <v>4782670.0050642751</v>
          </cell>
        </row>
        <row r="210">
          <cell r="A210">
            <v>40817</v>
          </cell>
          <cell r="B210">
            <v>4782670.0050642751</v>
          </cell>
          <cell r="C210">
            <v>166462.75</v>
          </cell>
          <cell r="D210">
            <v>134578.28329957149</v>
          </cell>
          <cell r="E210">
            <v>31884.466700428504</v>
          </cell>
          <cell r="F210">
            <v>4648091.7217647033</v>
          </cell>
        </row>
        <row r="211">
          <cell r="A211">
            <v>40848</v>
          </cell>
          <cell r="B211">
            <v>4648091.7217647033</v>
          </cell>
          <cell r="C211">
            <v>166462.75</v>
          </cell>
          <cell r="D211">
            <v>135475.47185490199</v>
          </cell>
          <cell r="E211">
            <v>30987.278145098026</v>
          </cell>
          <cell r="F211">
            <v>4512616.2499098014</v>
          </cell>
        </row>
        <row r="212">
          <cell r="A212">
            <v>40878</v>
          </cell>
          <cell r="B212">
            <v>4512616.2499098014</v>
          </cell>
          <cell r="C212">
            <v>166462.75</v>
          </cell>
          <cell r="D212">
            <v>136378.64166726798</v>
          </cell>
          <cell r="E212">
            <v>30084.108332732012</v>
          </cell>
          <cell r="F212">
            <v>4376237.6082425332</v>
          </cell>
        </row>
        <row r="213">
          <cell r="A213">
            <v>40909</v>
          </cell>
          <cell r="B213">
            <v>4376237.6082425332</v>
          </cell>
          <cell r="C213">
            <v>166462.75</v>
          </cell>
          <cell r="D213">
            <v>137287.83261171644</v>
          </cell>
          <cell r="E213">
            <v>29174.917388283557</v>
          </cell>
          <cell r="F213">
            <v>4238949.7756308168</v>
          </cell>
        </row>
        <row r="214">
          <cell r="A214">
            <v>40940</v>
          </cell>
          <cell r="B214">
            <v>4238949.7756308168</v>
          </cell>
          <cell r="C214">
            <v>166462.75</v>
          </cell>
          <cell r="D214">
            <v>138203.08482912788</v>
          </cell>
          <cell r="E214">
            <v>28259.665170872115</v>
          </cell>
          <cell r="F214">
            <v>4100746.6908016889</v>
          </cell>
        </row>
        <row r="215">
          <cell r="A215">
            <v>40969</v>
          </cell>
          <cell r="B215">
            <v>4100746.6908016889</v>
          </cell>
          <cell r="C215">
            <v>166462.75</v>
          </cell>
          <cell r="D215">
            <v>139124.43872798875</v>
          </cell>
          <cell r="E215">
            <v>27338.311272011262</v>
          </cell>
          <cell r="F215">
            <v>3961622.2520737001</v>
          </cell>
        </row>
        <row r="216">
          <cell r="A216">
            <v>41000</v>
          </cell>
          <cell r="B216">
            <v>3961622.2520737001</v>
          </cell>
          <cell r="C216">
            <v>166462.75</v>
          </cell>
          <cell r="D216">
            <v>140051.93498617533</v>
          </cell>
          <cell r="E216">
            <v>26410.815013824667</v>
          </cell>
          <cell r="F216">
            <v>3821570.3170875246</v>
          </cell>
        </row>
        <row r="217">
          <cell r="A217">
            <v>41030</v>
          </cell>
          <cell r="B217">
            <v>3821570.3170875246</v>
          </cell>
          <cell r="C217">
            <v>166462.75</v>
          </cell>
          <cell r="D217">
            <v>140985.61455274984</v>
          </cell>
          <cell r="E217">
            <v>25477.135447250166</v>
          </cell>
          <cell r="F217">
            <v>3680584.7025347748</v>
          </cell>
        </row>
        <row r="218">
          <cell r="A218">
            <v>41061</v>
          </cell>
          <cell r="B218">
            <v>3680584.7025347748</v>
          </cell>
          <cell r="C218">
            <v>166462.75</v>
          </cell>
          <cell r="D218">
            <v>141925.51864976817</v>
          </cell>
          <cell r="E218">
            <v>24537.231350231832</v>
          </cell>
          <cell r="F218">
            <v>3538659.1838850067</v>
          </cell>
        </row>
        <row r="219">
          <cell r="A219">
            <v>41091</v>
          </cell>
          <cell r="B219">
            <v>3538659.1838850067</v>
          </cell>
          <cell r="C219">
            <v>166462.75</v>
          </cell>
          <cell r="D219">
            <v>142871.68877409995</v>
          </cell>
          <cell r="E219">
            <v>23591.061225900045</v>
          </cell>
          <cell r="F219">
            <v>3395787.4951109067</v>
          </cell>
        </row>
        <row r="220">
          <cell r="A220">
            <v>41122</v>
          </cell>
          <cell r="B220">
            <v>3395787.4951109067</v>
          </cell>
          <cell r="C220">
            <v>166462.75</v>
          </cell>
          <cell r="D220">
            <v>143824.16669926062</v>
          </cell>
          <cell r="E220">
            <v>22638.583300739378</v>
          </cell>
          <cell r="F220">
            <v>3251963.3284116462</v>
          </cell>
        </row>
        <row r="221">
          <cell r="A221">
            <v>41153</v>
          </cell>
          <cell r="B221">
            <v>3251963.3284116462</v>
          </cell>
          <cell r="C221">
            <v>166462.75</v>
          </cell>
          <cell r="D221">
            <v>144782.99447725568</v>
          </cell>
          <cell r="E221">
            <v>21679.755522744308</v>
          </cell>
          <cell r="F221">
            <v>3107180.3339343905</v>
          </cell>
        </row>
        <row r="222">
          <cell r="A222">
            <v>41183</v>
          </cell>
          <cell r="B222">
            <v>3107180.3339343905</v>
          </cell>
          <cell r="C222">
            <v>166462.75</v>
          </cell>
          <cell r="D222">
            <v>145748.21444043738</v>
          </cell>
          <cell r="E222">
            <v>20714.535559562606</v>
          </cell>
          <cell r="F222">
            <v>2961432.119493953</v>
          </cell>
        </row>
        <row r="223">
          <cell r="A223">
            <v>41214</v>
          </cell>
          <cell r="B223">
            <v>2961432.119493953</v>
          </cell>
          <cell r="C223">
            <v>166462.75</v>
          </cell>
          <cell r="D223">
            <v>146719.86920337364</v>
          </cell>
          <cell r="E223">
            <v>19742.880796626356</v>
          </cell>
          <cell r="F223">
            <v>2814712.2502905792</v>
          </cell>
        </row>
        <row r="224">
          <cell r="A224">
            <v>41244</v>
          </cell>
          <cell r="B224">
            <v>2814712.2502905792</v>
          </cell>
          <cell r="C224">
            <v>166462.75</v>
          </cell>
          <cell r="D224">
            <v>147698.00166472947</v>
          </cell>
          <cell r="E224">
            <v>18764.748335270528</v>
          </cell>
          <cell r="F224">
            <v>2667014.2486258498</v>
          </cell>
        </row>
        <row r="225">
          <cell r="A225">
            <v>41275</v>
          </cell>
          <cell r="B225">
            <v>2667014.2486258498</v>
          </cell>
          <cell r="C225">
            <v>166462.75</v>
          </cell>
          <cell r="D225">
            <v>148682.65500916101</v>
          </cell>
          <cell r="E225">
            <v>17780.094990838999</v>
          </cell>
          <cell r="F225">
            <v>2518331.5936166886</v>
          </cell>
        </row>
        <row r="226">
          <cell r="A226">
            <v>41306</v>
          </cell>
          <cell r="B226">
            <v>2518331.5936166886</v>
          </cell>
          <cell r="C226">
            <v>166462.75</v>
          </cell>
          <cell r="D226">
            <v>149673.87270922208</v>
          </cell>
          <cell r="E226">
            <v>16788.877290777924</v>
          </cell>
          <cell r="F226">
            <v>2368657.7209074665</v>
          </cell>
        </row>
        <row r="227">
          <cell r="A227">
            <v>41334</v>
          </cell>
          <cell r="B227">
            <v>2368657.7209074665</v>
          </cell>
          <cell r="C227">
            <v>166462.75</v>
          </cell>
          <cell r="D227">
            <v>150671.69852728356</v>
          </cell>
          <cell r="E227">
            <v>15791.051472716445</v>
          </cell>
          <cell r="F227">
            <v>2217986.022380183</v>
          </cell>
        </row>
        <row r="228">
          <cell r="A228">
            <v>41365</v>
          </cell>
          <cell r="B228">
            <v>2217986.022380183</v>
          </cell>
          <cell r="C228">
            <v>166462.75</v>
          </cell>
          <cell r="D228">
            <v>151676.17651746544</v>
          </cell>
          <cell r="E228">
            <v>14786.573482534553</v>
          </cell>
          <cell r="F228">
            <v>2066309.8458627176</v>
          </cell>
        </row>
        <row r="229">
          <cell r="A229">
            <v>41395</v>
          </cell>
          <cell r="B229">
            <v>2066309.8458627176</v>
          </cell>
          <cell r="C229">
            <v>166462.75</v>
          </cell>
          <cell r="D229">
            <v>152687.35102758187</v>
          </cell>
          <cell r="E229">
            <v>13775.398972418117</v>
          </cell>
          <cell r="F229">
            <v>1913622.4948351358</v>
          </cell>
        </row>
        <row r="230">
          <cell r="A230">
            <v>41426</v>
          </cell>
          <cell r="B230">
            <v>1913622.4948351358</v>
          </cell>
          <cell r="C230">
            <v>166462.75</v>
          </cell>
          <cell r="D230">
            <v>153705.26670109908</v>
          </cell>
          <cell r="E230">
            <v>12757.483298900906</v>
          </cell>
          <cell r="F230">
            <v>1759917.2281340368</v>
          </cell>
        </row>
        <row r="231">
          <cell r="A231">
            <v>41456</v>
          </cell>
          <cell r="B231">
            <v>1759917.2281340368</v>
          </cell>
          <cell r="C231">
            <v>166462.75</v>
          </cell>
          <cell r="D231">
            <v>154729.96847910644</v>
          </cell>
          <cell r="E231">
            <v>11732.781520893579</v>
          </cell>
          <cell r="F231">
            <v>1605187.2596549303</v>
          </cell>
        </row>
        <row r="232">
          <cell r="A232">
            <v>41487</v>
          </cell>
          <cell r="B232">
            <v>1605187.2596549303</v>
          </cell>
          <cell r="C232">
            <v>166462.75</v>
          </cell>
          <cell r="D232">
            <v>155761.50160230047</v>
          </cell>
          <cell r="E232">
            <v>10701.248397699535</v>
          </cell>
          <cell r="F232">
            <v>1449425.7580526299</v>
          </cell>
        </row>
        <row r="233">
          <cell r="A233">
            <v>41518</v>
          </cell>
          <cell r="B233">
            <v>1449425.7580526299</v>
          </cell>
          <cell r="C233">
            <v>166462.75</v>
          </cell>
          <cell r="D233">
            <v>156799.91161298245</v>
          </cell>
          <cell r="E233">
            <v>9662.838387017533</v>
          </cell>
          <cell r="F233">
            <v>1292625.8464396475</v>
          </cell>
        </row>
        <row r="234">
          <cell r="A234">
            <v>41548</v>
          </cell>
          <cell r="B234">
            <v>1292625.8464396475</v>
          </cell>
          <cell r="C234">
            <v>166462.75</v>
          </cell>
          <cell r="D234">
            <v>157845.24435706902</v>
          </cell>
          <cell r="E234">
            <v>8617.5056429309843</v>
          </cell>
          <cell r="F234">
            <v>1134780.6020825785</v>
          </cell>
        </row>
        <row r="235">
          <cell r="A235">
            <v>41579</v>
          </cell>
          <cell r="B235">
            <v>1134780.6020825785</v>
          </cell>
          <cell r="C235">
            <v>166462.75</v>
          </cell>
          <cell r="D235">
            <v>158897.54598611614</v>
          </cell>
          <cell r="E235">
            <v>7565.2040138838565</v>
          </cell>
          <cell r="F235">
            <v>975883.0560964623</v>
          </cell>
        </row>
        <row r="236">
          <cell r="A236">
            <v>41609</v>
          </cell>
          <cell r="B236">
            <v>975883.0560964623</v>
          </cell>
          <cell r="C236">
            <v>166462.75</v>
          </cell>
          <cell r="D236">
            <v>159956.86295935692</v>
          </cell>
          <cell r="E236">
            <v>6505.8870406430824</v>
          </cell>
          <cell r="F236">
            <v>815926.19313710532</v>
          </cell>
        </row>
        <row r="237">
          <cell r="A237">
            <v>41640</v>
          </cell>
          <cell r="B237">
            <v>815926.19313710532</v>
          </cell>
          <cell r="C237">
            <v>166462.75</v>
          </cell>
          <cell r="D237">
            <v>161023.24204575262</v>
          </cell>
          <cell r="E237">
            <v>5439.5079542473695</v>
          </cell>
          <cell r="F237">
            <v>654902.95109135273</v>
          </cell>
        </row>
        <row r="238">
          <cell r="A238">
            <v>41671</v>
          </cell>
          <cell r="B238">
            <v>654902.95109135273</v>
          </cell>
          <cell r="C238">
            <v>166462.75</v>
          </cell>
          <cell r="D238">
            <v>162096.73032605764</v>
          </cell>
          <cell r="E238">
            <v>4366.0196739423518</v>
          </cell>
          <cell r="F238">
            <v>492806.22076529509</v>
          </cell>
        </row>
        <row r="239">
          <cell r="A239">
            <v>41699</v>
          </cell>
          <cell r="B239">
            <v>492806.22076529509</v>
          </cell>
          <cell r="C239">
            <v>166462.75</v>
          </cell>
          <cell r="D239">
            <v>163177.37519489802</v>
          </cell>
          <cell r="E239">
            <v>3285.3748051019675</v>
          </cell>
          <cell r="F239">
            <v>329628.8455703971</v>
          </cell>
        </row>
        <row r="240">
          <cell r="A240">
            <v>41730</v>
          </cell>
          <cell r="B240">
            <v>329628.8455703971</v>
          </cell>
          <cell r="C240">
            <v>166462.75</v>
          </cell>
          <cell r="D240">
            <v>164265.22436286401</v>
          </cell>
          <cell r="E240">
            <v>2197.525637135981</v>
          </cell>
          <cell r="F240">
            <v>165363.62120753308</v>
          </cell>
        </row>
        <row r="241">
          <cell r="A241">
            <v>41760</v>
          </cell>
          <cell r="B241">
            <v>165363.62120753308</v>
          </cell>
          <cell r="C241">
            <v>166462.75</v>
          </cell>
          <cell r="D241">
            <v>165360.32585861644</v>
          </cell>
          <cell r="E241">
            <v>1102.4241413835539</v>
          </cell>
          <cell r="F241">
            <v>3.295348916639341</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18">
          <cell r="F18">
            <v>3.2199999999999999E-2</v>
          </cell>
        </row>
      </sheetData>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ober Tariff kwh"/>
      <sheetName val="OctoberTariff(Old)"/>
      <sheetName val="#REF"/>
      <sheetName val="LT Debt - Cost Rates"/>
      <sheetName val="COSS Results UNBUNDLED"/>
      <sheetName val="Assumptions"/>
      <sheetName val="BGS Deferral"/>
    </sheetNames>
    <sheetDataSet>
      <sheetData sheetId="0" refreshError="1">
        <row r="1">
          <cell r="A1" t="str">
            <v>ATLANTIC ELECTRIC</v>
          </cell>
          <cell r="E1" t="str">
            <v>COLUMN</v>
          </cell>
        </row>
        <row r="2">
          <cell r="A2" t="str">
            <v>KWH'S BY TARIFF</v>
          </cell>
          <cell r="E2" t="str">
            <v>NOT</v>
          </cell>
        </row>
        <row r="3">
          <cell r="A3" t="str">
            <v>FOR THE MONTH OF OCTOBER 1999</v>
          </cell>
          <cell r="E3" t="str">
            <v>USED</v>
          </cell>
        </row>
        <row r="4">
          <cell r="B4" t="str">
            <v xml:space="preserve">Adj bcd224d </v>
          </cell>
          <cell r="C4">
            <v>1</v>
          </cell>
        </row>
        <row r="5">
          <cell r="B5" t="str">
            <v>otra</v>
          </cell>
          <cell r="C5" t="str">
            <v>2</v>
          </cell>
          <cell r="E5" t="str">
            <v>remove fuel</v>
          </cell>
          <cell r="G5" t="str">
            <v>RateBlock</v>
          </cell>
        </row>
        <row r="6">
          <cell r="A6" t="str">
            <v xml:space="preserve">RATE </v>
          </cell>
          <cell r="B6" t="str">
            <v>SCC</v>
          </cell>
          <cell r="C6">
            <v>3</v>
          </cell>
          <cell r="D6" t="str">
            <v>BCD204(01)</v>
          </cell>
          <cell r="E6" t="str">
            <v xml:space="preserve">related </v>
          </cell>
          <cell r="G6" t="str">
            <v>BCD224B</v>
          </cell>
        </row>
        <row r="7">
          <cell r="A7" t="str">
            <v>SCHEDULE</v>
          </cell>
          <cell r="D7" t="str">
            <v>10/1/99</v>
          </cell>
          <cell r="E7" t="str">
            <v>kwh</v>
          </cell>
          <cell r="G7" t="str">
            <v>10/1/1999</v>
          </cell>
        </row>
        <row r="9">
          <cell r="A9" t="str">
            <v>RS Secondary</v>
          </cell>
        </row>
        <row r="10">
          <cell r="A10" t="str">
            <v xml:space="preserve">  1st Block Summer</v>
          </cell>
          <cell r="G10">
            <v>100748649</v>
          </cell>
        </row>
        <row r="11">
          <cell r="A11" t="str">
            <v xml:space="preserve">  1st Block Winter</v>
          </cell>
          <cell r="G11">
            <v>80106026</v>
          </cell>
        </row>
        <row r="13">
          <cell r="A13" t="str">
            <v xml:space="preserve">  2nd Block Summer</v>
          </cell>
          <cell r="G13">
            <v>31838091</v>
          </cell>
        </row>
        <row r="14">
          <cell r="A14" t="str">
            <v xml:space="preserve">  2nd Block Winter</v>
          </cell>
          <cell r="G14">
            <v>53708043</v>
          </cell>
        </row>
        <row r="15">
          <cell r="A15" t="str">
            <v xml:space="preserve">  Total RS</v>
          </cell>
          <cell r="D15">
            <v>260670661</v>
          </cell>
          <cell r="E15">
            <v>0</v>
          </cell>
          <cell r="G15">
            <v>266400809</v>
          </cell>
        </row>
        <row r="17">
          <cell r="A17" t="str">
            <v>RS TOU-D Secondary</v>
          </cell>
        </row>
        <row r="18">
          <cell r="A18" t="str">
            <v xml:space="preserve">  On Peak Summer</v>
          </cell>
          <cell r="G18">
            <v>13805</v>
          </cell>
        </row>
        <row r="19">
          <cell r="A19" t="str">
            <v xml:space="preserve">  Off Peak Summer</v>
          </cell>
          <cell r="G19">
            <v>41389</v>
          </cell>
        </row>
        <row r="20">
          <cell r="A20" t="str">
            <v xml:space="preserve">  On Peak Winter</v>
          </cell>
          <cell r="G20">
            <v>14242</v>
          </cell>
        </row>
        <row r="21">
          <cell r="A21" t="str">
            <v xml:space="preserve">  Off Peak Winter</v>
          </cell>
          <cell r="G21">
            <v>51617</v>
          </cell>
        </row>
        <row r="22">
          <cell r="A22" t="str">
            <v xml:space="preserve">  Total RS TOU-D</v>
          </cell>
          <cell r="D22">
            <v>127294</v>
          </cell>
          <cell r="E22">
            <v>0</v>
          </cell>
          <cell r="G22">
            <v>121053</v>
          </cell>
        </row>
        <row r="24">
          <cell r="A24" t="str">
            <v>RS TOU-E (Secondary)</v>
          </cell>
        </row>
        <row r="25">
          <cell r="A25" t="str">
            <v xml:space="preserve">  On Peak Summer</v>
          </cell>
          <cell r="G25">
            <v>1595916</v>
          </cell>
        </row>
        <row r="26">
          <cell r="A26" t="str">
            <v xml:space="preserve">  Off Peak Summer</v>
          </cell>
          <cell r="G26">
            <v>2763024</v>
          </cell>
        </row>
        <row r="27">
          <cell r="A27" t="str">
            <v xml:space="preserve">  On Peak Winter</v>
          </cell>
          <cell r="G27">
            <v>820198</v>
          </cell>
        </row>
        <row r="28">
          <cell r="A28" t="str">
            <v xml:space="preserve">  Off Peak Winter</v>
          </cell>
          <cell r="G28">
            <v>2462947</v>
          </cell>
        </row>
        <row r="29">
          <cell r="A29" t="str">
            <v xml:space="preserve">  Total RS TOU-E</v>
          </cell>
          <cell r="D29">
            <v>7319335</v>
          </cell>
          <cell r="E29">
            <v>0</v>
          </cell>
          <cell r="G29">
            <v>7642085</v>
          </cell>
        </row>
        <row r="31">
          <cell r="A31" t="str">
            <v xml:space="preserve">MGS </v>
          </cell>
          <cell r="D31" t="str">
            <v>(b)</v>
          </cell>
        </row>
        <row r="32">
          <cell r="A32" t="str">
            <v xml:space="preserve">  1st Block Summer Secondary</v>
          </cell>
          <cell r="G32">
            <v>4889449</v>
          </cell>
        </row>
        <row r="33">
          <cell r="A33" t="str">
            <v xml:space="preserve">  2nd Block Summer Secondary</v>
          </cell>
          <cell r="G33">
            <v>9951054</v>
          </cell>
        </row>
        <row r="34">
          <cell r="A34" t="str">
            <v xml:space="preserve">  3rd Block Summer Secondary</v>
          </cell>
          <cell r="G34">
            <v>41768504</v>
          </cell>
        </row>
        <row r="35">
          <cell r="A35" t="str">
            <v xml:space="preserve">  1st Block Winter Secondary</v>
          </cell>
          <cell r="G35">
            <v>4489498</v>
          </cell>
        </row>
        <row r="36">
          <cell r="A36" t="str">
            <v xml:space="preserve">  2nd Block Winter Secondary</v>
          </cell>
          <cell r="G36">
            <v>8890644</v>
          </cell>
        </row>
        <row r="37">
          <cell r="A37" t="str">
            <v xml:space="preserve">  3rd Block Winter Secondary</v>
          </cell>
          <cell r="G37">
            <v>39028898</v>
          </cell>
        </row>
        <row r="38">
          <cell r="A38" t="str">
            <v>Ceiling Rate Secondary</v>
          </cell>
          <cell r="G38">
            <v>5092618</v>
          </cell>
        </row>
        <row r="39">
          <cell r="A39" t="str">
            <v xml:space="preserve">    Total Secondary</v>
          </cell>
          <cell r="E39">
            <v>0</v>
          </cell>
          <cell r="G39">
            <v>114110665</v>
          </cell>
        </row>
        <row r="41">
          <cell r="A41" t="str">
            <v xml:space="preserve">  1st Block Summer Primary</v>
          </cell>
          <cell r="G41">
            <v>0</v>
          </cell>
        </row>
        <row r="42">
          <cell r="A42" t="str">
            <v xml:space="preserve">  2nd Block Summer Primary</v>
          </cell>
          <cell r="G42">
            <v>0</v>
          </cell>
        </row>
        <row r="43">
          <cell r="A43" t="str">
            <v xml:space="preserve">  3rd Block Summer Primary</v>
          </cell>
          <cell r="G43">
            <v>0</v>
          </cell>
        </row>
        <row r="44">
          <cell r="A44" t="str">
            <v xml:space="preserve">  1st Block Winter Primary</v>
          </cell>
          <cell r="G44">
            <v>0</v>
          </cell>
        </row>
        <row r="45">
          <cell r="A45" t="str">
            <v xml:space="preserve">  2nd Block Winter Primary</v>
          </cell>
          <cell r="G45">
            <v>0</v>
          </cell>
        </row>
        <row r="46">
          <cell r="A46" t="str">
            <v xml:space="preserve">  3rd Block Winter Primary</v>
          </cell>
          <cell r="G46">
            <v>0</v>
          </cell>
        </row>
        <row r="47">
          <cell r="A47" t="str">
            <v xml:space="preserve">Ceiling Rate Primary </v>
          </cell>
          <cell r="G47">
            <v>0</v>
          </cell>
        </row>
        <row r="48">
          <cell r="A48" t="str">
            <v xml:space="preserve">     Total Primary</v>
          </cell>
          <cell r="E48">
            <v>0</v>
          </cell>
        </row>
        <row r="49">
          <cell r="A49" t="str">
            <v xml:space="preserve">  Total MGS</v>
          </cell>
          <cell r="D49">
            <v>91206267</v>
          </cell>
          <cell r="E49">
            <v>0</v>
          </cell>
          <cell r="G49">
            <v>114110665</v>
          </cell>
        </row>
        <row r="53">
          <cell r="A53" t="str">
            <v xml:space="preserve">AGS </v>
          </cell>
          <cell r="D53" t="str">
            <v>( c)</v>
          </cell>
        </row>
        <row r="54">
          <cell r="A54" t="str">
            <v xml:space="preserve">  1st Block  Secondary</v>
          </cell>
          <cell r="G54">
            <v>80402693</v>
          </cell>
        </row>
        <row r="55">
          <cell r="A55" t="str">
            <v xml:space="preserve">  2nd Block Secondary</v>
          </cell>
          <cell r="G55">
            <v>22944935</v>
          </cell>
        </row>
        <row r="56">
          <cell r="A56" t="str">
            <v xml:space="preserve">  3rd Block Secondary </v>
          </cell>
          <cell r="G56">
            <v>22361229</v>
          </cell>
        </row>
        <row r="57">
          <cell r="A57" t="str">
            <v xml:space="preserve">  Total AGS Secondary</v>
          </cell>
          <cell r="E57">
            <v>0</v>
          </cell>
          <cell r="G57">
            <v>125708857</v>
          </cell>
        </row>
        <row r="59">
          <cell r="A59" t="str">
            <v xml:space="preserve">  1st Block  Primary</v>
          </cell>
          <cell r="G59">
            <v>0</v>
          </cell>
        </row>
        <row r="60">
          <cell r="A60" t="str">
            <v xml:space="preserve">  2nd Block Primary</v>
          </cell>
          <cell r="G60">
            <v>0</v>
          </cell>
        </row>
        <row r="61">
          <cell r="A61" t="str">
            <v xml:space="preserve">  3rd Block Primary </v>
          </cell>
          <cell r="G61">
            <v>0</v>
          </cell>
        </row>
        <row r="62">
          <cell r="A62" t="str">
            <v xml:space="preserve">  Total AGS Primary</v>
          </cell>
          <cell r="B62">
            <v>1593680</v>
          </cell>
          <cell r="C62">
            <v>2</v>
          </cell>
          <cell r="E62">
            <v>0</v>
          </cell>
          <cell r="G62">
            <v>0</v>
          </cell>
        </row>
        <row r="63">
          <cell r="A63" t="str">
            <v xml:space="preserve">    Total AGS</v>
          </cell>
          <cell r="B63">
            <v>0</v>
          </cell>
          <cell r="C63">
            <v>1</v>
          </cell>
          <cell r="D63">
            <v>130517290</v>
          </cell>
          <cell r="E63">
            <v>0</v>
          </cell>
          <cell r="G63">
            <v>125708857</v>
          </cell>
        </row>
        <row r="64">
          <cell r="A64" t="str">
            <v>total ags+sct 2ndary ags</v>
          </cell>
          <cell r="D64">
            <v>132110970</v>
          </cell>
        </row>
        <row r="65">
          <cell r="A65" t="str">
            <v>AGS-TOU</v>
          </cell>
        </row>
        <row r="66">
          <cell r="A66" t="str">
            <v xml:space="preserve">  On Peak Summer Secondary</v>
          </cell>
          <cell r="G66">
            <v>7568319</v>
          </cell>
        </row>
        <row r="67">
          <cell r="A67" t="str">
            <v xml:space="preserve">  Off Peak Summer Secondary</v>
          </cell>
          <cell r="G67">
            <v>9780279</v>
          </cell>
        </row>
        <row r="68">
          <cell r="A68" t="str">
            <v xml:space="preserve">  On Peak Winter Secondary</v>
          </cell>
          <cell r="G68">
            <v>30984273</v>
          </cell>
        </row>
        <row r="69">
          <cell r="A69" t="str">
            <v xml:space="preserve">  Off Peak Winter Secondary</v>
          </cell>
          <cell r="G69">
            <v>56023827</v>
          </cell>
        </row>
        <row r="70">
          <cell r="A70" t="str">
            <v xml:space="preserve">  On Peak Summer Primary</v>
          </cell>
          <cell r="G70">
            <v>0</v>
          </cell>
        </row>
        <row r="71">
          <cell r="A71" t="str">
            <v xml:space="preserve">  Off Peak Summer Primary</v>
          </cell>
          <cell r="G71">
            <v>0</v>
          </cell>
        </row>
        <row r="72">
          <cell r="A72" t="str">
            <v xml:space="preserve">  On Peak Winter Primary</v>
          </cell>
        </row>
        <row r="73">
          <cell r="A73" t="str">
            <v xml:space="preserve">  Off Peak Winter Primary</v>
          </cell>
        </row>
        <row r="74">
          <cell r="A74" t="str">
            <v xml:space="preserve">  On Peak Summer Sub-Trans</v>
          </cell>
          <cell r="G74">
            <v>0</v>
          </cell>
        </row>
        <row r="75">
          <cell r="A75" t="str">
            <v xml:space="preserve">  Off Peak Summer Sub-Trans</v>
          </cell>
          <cell r="G75">
            <v>0</v>
          </cell>
        </row>
        <row r="76">
          <cell r="A76" t="str">
            <v xml:space="preserve">  On Peak Winter Sub-Trans</v>
          </cell>
        </row>
        <row r="77">
          <cell r="A77" t="str">
            <v xml:space="preserve">  Off Peak Winter Sub-Trans</v>
          </cell>
        </row>
        <row r="78">
          <cell r="A78" t="str">
            <v xml:space="preserve">  On Peak Summer Transmission</v>
          </cell>
          <cell r="B78">
            <v>0</v>
          </cell>
          <cell r="C78">
            <v>3</v>
          </cell>
          <cell r="G78">
            <v>0</v>
          </cell>
        </row>
        <row r="79">
          <cell r="A79" t="str">
            <v xml:space="preserve">  Off Peak Summer Transmission</v>
          </cell>
          <cell r="B79">
            <v>0</v>
          </cell>
          <cell r="C79">
            <v>2</v>
          </cell>
          <cell r="G79">
            <v>0</v>
          </cell>
        </row>
        <row r="80">
          <cell r="A80" t="str">
            <v xml:space="preserve">  On Peak Winter Transmission</v>
          </cell>
        </row>
        <row r="81">
          <cell r="A81" t="str">
            <v xml:space="preserve">  Off Peak Winter Transmission</v>
          </cell>
        </row>
        <row r="82">
          <cell r="A82" t="str">
            <v xml:space="preserve">  Total AGS-TOU</v>
          </cell>
          <cell r="B82">
            <v>53511353</v>
          </cell>
          <cell r="C82">
            <v>1</v>
          </cell>
          <cell r="D82">
            <v>103932653</v>
          </cell>
          <cell r="G82">
            <v>104356698</v>
          </cell>
        </row>
        <row r="83">
          <cell r="A83" t="str">
            <v xml:space="preserve">   ags-tou+scc+sct(agt segment)</v>
          </cell>
          <cell r="D83">
            <v>163938557</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PHI Ret_Inputs"/>
      <sheetName val="All SERP_Inputs"/>
      <sheetName val="Conectiv SERP_Inputs"/>
      <sheetName val="PHI 106_Inputs"/>
      <sheetName val="Pension Summary"/>
      <sheetName val="OPEB Summary"/>
      <sheetName val="OPEB Summary_NO Part D"/>
      <sheetName val="FAS 158_Disc Summ"/>
      <sheetName val="SERPs_Bal Sheet"/>
      <sheetName val="Ret Plan_Bal Sheet"/>
      <sheetName val="Ret Welf_Bal Sheet"/>
    </sheetNames>
    <sheetDataSet>
      <sheetData sheetId="0">
        <row r="1">
          <cell r="B1">
            <v>39083</v>
          </cell>
        </row>
        <row r="3">
          <cell r="B3">
            <v>8.2500000000000004E-2</v>
          </cell>
        </row>
        <row r="4">
          <cell r="B4">
            <v>4.4999999999999998E-2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TAX PROV"/>
      <sheetName val="SUMMARY DEF TAX"/>
      <sheetName val="ETR Unit 141"/>
      <sheetName val="Fed ETR Comparison"/>
      <sheetName val="Consol ETR"/>
      <sheetName val="TX01 Supporting details"/>
      <sheetName val="TX01 Report"/>
      <sheetName val="JE"/>
      <sheetName val="PTR SUMMARY "/>
    </sheetNames>
    <sheetDataSet>
      <sheetData sheetId="0">
        <row r="30">
          <cell r="V30">
            <v>0</v>
          </cell>
          <cell r="W30">
            <v>0</v>
          </cell>
        </row>
        <row r="31">
          <cell r="AQ31">
            <v>0</v>
          </cell>
          <cell r="AR31">
            <v>0</v>
          </cell>
        </row>
        <row r="34">
          <cell r="U34">
            <v>218613356</v>
          </cell>
          <cell r="X34">
            <v>218613356</v>
          </cell>
          <cell r="Y34">
            <v>-28147</v>
          </cell>
          <cell r="AD34">
            <v>218585209</v>
          </cell>
          <cell r="AG34">
            <v>-76514674.599999994</v>
          </cell>
          <cell r="AH34">
            <v>0</v>
          </cell>
          <cell r="AI34">
            <v>0</v>
          </cell>
          <cell r="AJ34">
            <v>-76514674.599999994</v>
          </cell>
          <cell r="AK34">
            <v>9851.4499999999989</v>
          </cell>
          <cell r="AL34">
            <v>0</v>
          </cell>
          <cell r="AM34">
            <v>0</v>
          </cell>
          <cell r="AN34">
            <v>0</v>
          </cell>
          <cell r="AO34">
            <v>-76504823.149999991</v>
          </cell>
          <cell r="AQ34">
            <v>0</v>
          </cell>
          <cell r="AR34">
            <v>-76504823.149999991</v>
          </cell>
        </row>
        <row r="35">
          <cell r="U35">
            <v>-57008813</v>
          </cell>
          <cell r="X35">
            <v>-57008813</v>
          </cell>
          <cell r="Y35">
            <v>359969</v>
          </cell>
          <cell r="AD35">
            <v>-56648844</v>
          </cell>
          <cell r="AG35">
            <v>19953084.549999997</v>
          </cell>
          <cell r="AH35">
            <v>0</v>
          </cell>
          <cell r="AI35">
            <v>0</v>
          </cell>
          <cell r="AJ35">
            <v>19953084.549999997</v>
          </cell>
          <cell r="AK35">
            <v>-125989.15</v>
          </cell>
          <cell r="AL35">
            <v>0</v>
          </cell>
          <cell r="AM35">
            <v>0</v>
          </cell>
          <cell r="AN35">
            <v>0</v>
          </cell>
          <cell r="AO35">
            <v>19827095.399999999</v>
          </cell>
          <cell r="AQ35">
            <v>0</v>
          </cell>
          <cell r="AR35">
            <v>19827095.399999999</v>
          </cell>
        </row>
        <row r="36">
          <cell r="U36">
            <v>-3391909</v>
          </cell>
          <cell r="X36">
            <v>-3391909</v>
          </cell>
          <cell r="Y36">
            <v>76997</v>
          </cell>
          <cell r="AD36">
            <v>-3314912</v>
          </cell>
          <cell r="AG36">
            <v>1187168.1499999999</v>
          </cell>
          <cell r="AH36">
            <v>0</v>
          </cell>
          <cell r="AI36">
            <v>0</v>
          </cell>
          <cell r="AJ36">
            <v>1187168.1499999999</v>
          </cell>
          <cell r="AK36">
            <v>-26948.949999999997</v>
          </cell>
          <cell r="AL36">
            <v>0</v>
          </cell>
          <cell r="AM36">
            <v>0</v>
          </cell>
          <cell r="AN36">
            <v>0</v>
          </cell>
          <cell r="AO36">
            <v>1160219.2</v>
          </cell>
          <cell r="AQ36">
            <v>0</v>
          </cell>
          <cell r="AR36">
            <v>1160219.2</v>
          </cell>
        </row>
        <row r="37">
          <cell r="U37">
            <v>48369821</v>
          </cell>
          <cell r="X37">
            <v>48369821</v>
          </cell>
          <cell r="Y37">
            <v>-457731</v>
          </cell>
          <cell r="AD37">
            <v>47912090</v>
          </cell>
          <cell r="AG37">
            <v>-16929437.350000001</v>
          </cell>
          <cell r="AH37">
            <v>0</v>
          </cell>
          <cell r="AI37">
            <v>0</v>
          </cell>
          <cell r="AJ37">
            <v>-16929437.350000001</v>
          </cell>
          <cell r="AK37">
            <v>160205.84999999998</v>
          </cell>
          <cell r="AL37">
            <v>0</v>
          </cell>
          <cell r="AM37">
            <v>0</v>
          </cell>
          <cell r="AN37">
            <v>0</v>
          </cell>
          <cell r="AO37">
            <v>-16769231.500000002</v>
          </cell>
          <cell r="AQ37">
            <v>0</v>
          </cell>
          <cell r="AR37">
            <v>-16769231.500000002</v>
          </cell>
        </row>
        <row r="38">
          <cell r="U38">
            <v>-8991695</v>
          </cell>
          <cell r="X38">
            <v>-8991695</v>
          </cell>
          <cell r="Y38">
            <v>0</v>
          </cell>
          <cell r="AD38">
            <v>-8991695</v>
          </cell>
          <cell r="AG38">
            <v>3147093.25</v>
          </cell>
          <cell r="AH38">
            <v>0</v>
          </cell>
          <cell r="AI38">
            <v>0</v>
          </cell>
          <cell r="AJ38">
            <v>3147093.25</v>
          </cell>
          <cell r="AK38">
            <v>0</v>
          </cell>
          <cell r="AL38">
            <v>0</v>
          </cell>
          <cell r="AM38">
            <v>0</v>
          </cell>
          <cell r="AN38">
            <v>0</v>
          </cell>
          <cell r="AO38">
            <v>3147093.25</v>
          </cell>
        </row>
        <row r="39">
          <cell r="U39">
            <v>-19063729</v>
          </cell>
          <cell r="X39">
            <v>-19063729</v>
          </cell>
          <cell r="Y39">
            <v>0</v>
          </cell>
          <cell r="AD39">
            <v>-19063729</v>
          </cell>
          <cell r="AG39">
            <v>6672305.1499999994</v>
          </cell>
          <cell r="AH39">
            <v>0</v>
          </cell>
          <cell r="AI39">
            <v>0</v>
          </cell>
          <cell r="AJ39">
            <v>6672305.1499999994</v>
          </cell>
          <cell r="AK39">
            <v>0</v>
          </cell>
          <cell r="AL39">
            <v>0</v>
          </cell>
          <cell r="AM39">
            <v>0</v>
          </cell>
          <cell r="AN39">
            <v>0</v>
          </cell>
          <cell r="AO39">
            <v>6672305.1499999994</v>
          </cell>
          <cell r="AQ39">
            <v>0</v>
          </cell>
          <cell r="AR39">
            <v>6672305.1499999994</v>
          </cell>
        </row>
        <row r="40">
          <cell r="U40">
            <v>-10458469</v>
          </cell>
          <cell r="X40">
            <v>-10458469</v>
          </cell>
          <cell r="Y40">
            <v>0</v>
          </cell>
          <cell r="AD40">
            <v>-10458469</v>
          </cell>
          <cell r="AG40">
            <v>3660464.15</v>
          </cell>
          <cell r="AH40">
            <v>0</v>
          </cell>
          <cell r="AI40">
            <v>0</v>
          </cell>
          <cell r="AJ40">
            <v>3660464.15</v>
          </cell>
          <cell r="AK40">
            <v>0</v>
          </cell>
          <cell r="AL40">
            <v>0</v>
          </cell>
          <cell r="AM40">
            <v>0</v>
          </cell>
          <cell r="AN40">
            <v>0</v>
          </cell>
          <cell r="AO40">
            <v>3660464.15</v>
          </cell>
          <cell r="AQ40">
            <v>0</v>
          </cell>
          <cell r="AR40">
            <v>3660464.15</v>
          </cell>
        </row>
        <row r="41">
          <cell r="U41">
            <v>-2147895</v>
          </cell>
          <cell r="X41">
            <v>-2147895</v>
          </cell>
          <cell r="Y41">
            <v>0</v>
          </cell>
          <cell r="AD41">
            <v>-2147895</v>
          </cell>
          <cell r="AG41">
            <v>751763.25</v>
          </cell>
          <cell r="AH41">
            <v>0</v>
          </cell>
          <cell r="AI41">
            <v>0</v>
          </cell>
          <cell r="AJ41">
            <v>751763.25</v>
          </cell>
          <cell r="AK41">
            <v>0</v>
          </cell>
          <cell r="AL41">
            <v>0</v>
          </cell>
          <cell r="AM41">
            <v>0</v>
          </cell>
          <cell r="AN41">
            <v>0</v>
          </cell>
          <cell r="AO41">
            <v>751763.25</v>
          </cell>
          <cell r="AQ41">
            <v>0</v>
          </cell>
          <cell r="AR41">
            <v>751763.25</v>
          </cell>
        </row>
        <row r="42">
          <cell r="U42">
            <v>-1299358</v>
          </cell>
          <cell r="X42">
            <v>-1299358</v>
          </cell>
          <cell r="Y42">
            <v>0</v>
          </cell>
          <cell r="AD42">
            <v>-1299358</v>
          </cell>
          <cell r="AG42">
            <v>454775.3</v>
          </cell>
          <cell r="AH42">
            <v>0</v>
          </cell>
          <cell r="AI42">
            <v>0</v>
          </cell>
          <cell r="AJ42">
            <v>454775.3</v>
          </cell>
          <cell r="AK42">
            <v>0</v>
          </cell>
          <cell r="AL42">
            <v>0</v>
          </cell>
          <cell r="AM42">
            <v>0</v>
          </cell>
          <cell r="AN42">
            <v>0</v>
          </cell>
          <cell r="AO42">
            <v>454775.3</v>
          </cell>
          <cell r="AQ42">
            <v>0</v>
          </cell>
          <cell r="AR42">
            <v>454775.3</v>
          </cell>
        </row>
        <row r="43">
          <cell r="U43">
            <v>-7013444</v>
          </cell>
          <cell r="X43">
            <v>-7013444</v>
          </cell>
          <cell r="Y43">
            <v>0</v>
          </cell>
          <cell r="AD43">
            <v>-7013444</v>
          </cell>
          <cell r="AG43">
            <v>2454705.4</v>
          </cell>
          <cell r="AH43">
            <v>0</v>
          </cell>
          <cell r="AI43">
            <v>0</v>
          </cell>
          <cell r="AJ43">
            <v>2454705.4</v>
          </cell>
          <cell r="AK43">
            <v>0</v>
          </cell>
          <cell r="AL43">
            <v>0</v>
          </cell>
          <cell r="AM43">
            <v>0</v>
          </cell>
          <cell r="AN43">
            <v>0</v>
          </cell>
          <cell r="AO43">
            <v>2454705.4</v>
          </cell>
          <cell r="AQ43">
            <v>0</v>
          </cell>
          <cell r="AR43">
            <v>2454705.4</v>
          </cell>
        </row>
        <row r="44">
          <cell r="U44">
            <v>-622118</v>
          </cell>
          <cell r="X44">
            <v>-622118</v>
          </cell>
          <cell r="Y44">
            <v>-2911530</v>
          </cell>
          <cell r="AD44">
            <v>-3533648</v>
          </cell>
          <cell r="AG44">
            <v>217741.3</v>
          </cell>
          <cell r="AH44">
            <v>0</v>
          </cell>
          <cell r="AI44">
            <v>0</v>
          </cell>
          <cell r="AJ44">
            <v>217741.3</v>
          </cell>
          <cell r="AK44">
            <v>1019035.4999999999</v>
          </cell>
          <cell r="AL44">
            <v>0</v>
          </cell>
          <cell r="AM44">
            <v>0</v>
          </cell>
          <cell r="AN44">
            <v>0</v>
          </cell>
          <cell r="AO44">
            <v>1236776.7999999998</v>
          </cell>
          <cell r="AQ44">
            <v>0</v>
          </cell>
          <cell r="AR44">
            <v>1236776.7999999998</v>
          </cell>
        </row>
        <row r="45">
          <cell r="U45">
            <v>-3780944</v>
          </cell>
          <cell r="X45">
            <v>-3780944</v>
          </cell>
          <cell r="Y45">
            <v>0</v>
          </cell>
          <cell r="AD45">
            <v>-3780944</v>
          </cell>
          <cell r="AG45">
            <v>1323330.3999999999</v>
          </cell>
          <cell r="AH45">
            <v>0</v>
          </cell>
          <cell r="AI45">
            <v>0</v>
          </cell>
          <cell r="AJ45">
            <v>1323330.3999999999</v>
          </cell>
          <cell r="AK45">
            <v>0</v>
          </cell>
          <cell r="AL45">
            <v>0</v>
          </cell>
          <cell r="AM45">
            <v>0</v>
          </cell>
          <cell r="AN45">
            <v>0</v>
          </cell>
          <cell r="AO45">
            <v>1323330.3999999999</v>
          </cell>
          <cell r="AQ45">
            <v>0</v>
          </cell>
          <cell r="AR45">
            <v>1323330.3999999999</v>
          </cell>
        </row>
        <row r="46">
          <cell r="U46">
            <v>-7385895</v>
          </cell>
          <cell r="X46">
            <v>-7385895</v>
          </cell>
          <cell r="Y46">
            <v>13369</v>
          </cell>
          <cell r="AD46">
            <v>-7372526</v>
          </cell>
          <cell r="AG46">
            <v>2585063.25</v>
          </cell>
          <cell r="AH46">
            <v>0</v>
          </cell>
          <cell r="AI46">
            <v>0</v>
          </cell>
          <cell r="AJ46">
            <v>2585063.25</v>
          </cell>
          <cell r="AK46">
            <v>-4679.1499999999996</v>
          </cell>
          <cell r="AL46">
            <v>0</v>
          </cell>
          <cell r="AM46">
            <v>0</v>
          </cell>
          <cell r="AN46">
            <v>0</v>
          </cell>
          <cell r="AO46">
            <v>2580384.1</v>
          </cell>
          <cell r="AQ46">
            <v>0</v>
          </cell>
          <cell r="AR46">
            <v>2580384.1</v>
          </cell>
        </row>
        <row r="47">
          <cell r="U47">
            <v>-407267</v>
          </cell>
          <cell r="X47">
            <v>-407267</v>
          </cell>
          <cell r="Y47">
            <v>0</v>
          </cell>
          <cell r="AD47">
            <v>-407267</v>
          </cell>
          <cell r="AG47">
            <v>142543.45000000001</v>
          </cell>
          <cell r="AH47">
            <v>0</v>
          </cell>
          <cell r="AI47">
            <v>0</v>
          </cell>
          <cell r="AJ47">
            <v>142543.45000000001</v>
          </cell>
          <cell r="AK47">
            <v>0</v>
          </cell>
          <cell r="AL47">
            <v>0</v>
          </cell>
          <cell r="AM47">
            <v>0</v>
          </cell>
          <cell r="AN47">
            <v>0</v>
          </cell>
          <cell r="AO47">
            <v>142543.45000000001</v>
          </cell>
          <cell r="AQ47">
            <v>0</v>
          </cell>
          <cell r="AR47">
            <v>142543.45000000001</v>
          </cell>
        </row>
        <row r="48">
          <cell r="U48">
            <v>-8368806</v>
          </cell>
          <cell r="X48">
            <v>-8368806</v>
          </cell>
          <cell r="Y48">
            <v>0</v>
          </cell>
          <cell r="AD48">
            <v>-8368806</v>
          </cell>
          <cell r="AG48">
            <v>2929082.1</v>
          </cell>
          <cell r="AH48">
            <v>0</v>
          </cell>
          <cell r="AI48">
            <v>0</v>
          </cell>
          <cell r="AJ48">
            <v>2929082.1</v>
          </cell>
          <cell r="AK48">
            <v>0</v>
          </cell>
          <cell r="AL48">
            <v>0</v>
          </cell>
          <cell r="AM48">
            <v>0</v>
          </cell>
          <cell r="AN48">
            <v>0</v>
          </cell>
          <cell r="AO48">
            <v>2929082.1</v>
          </cell>
          <cell r="AQ48">
            <v>0</v>
          </cell>
          <cell r="AR48">
            <v>2929082.1</v>
          </cell>
        </row>
        <row r="49">
          <cell r="U49">
            <v>-17394853</v>
          </cell>
          <cell r="X49">
            <v>-17394853</v>
          </cell>
          <cell r="Y49">
            <v>0</v>
          </cell>
          <cell r="AD49">
            <v>-17394853</v>
          </cell>
          <cell r="AG49">
            <v>6088198.5499999998</v>
          </cell>
          <cell r="AH49">
            <v>0</v>
          </cell>
          <cell r="AI49">
            <v>0</v>
          </cell>
          <cell r="AJ49">
            <v>6088198.5499999998</v>
          </cell>
          <cell r="AK49">
            <v>0</v>
          </cell>
          <cell r="AL49">
            <v>0</v>
          </cell>
          <cell r="AM49">
            <v>0</v>
          </cell>
          <cell r="AN49">
            <v>0</v>
          </cell>
          <cell r="AO49">
            <v>6088198.5499999998</v>
          </cell>
          <cell r="AQ49">
            <v>0</v>
          </cell>
          <cell r="AR49">
            <v>6088198.5499999998</v>
          </cell>
        </row>
        <row r="50">
          <cell r="U50">
            <v>-145198</v>
          </cell>
          <cell r="X50">
            <v>-145198</v>
          </cell>
          <cell r="Y50">
            <v>0</v>
          </cell>
          <cell r="AD50">
            <v>-145198</v>
          </cell>
          <cell r="AG50">
            <v>50819.3</v>
          </cell>
          <cell r="AH50">
            <v>0</v>
          </cell>
          <cell r="AI50">
            <v>0</v>
          </cell>
          <cell r="AJ50">
            <v>50819.3</v>
          </cell>
          <cell r="AK50">
            <v>0</v>
          </cell>
          <cell r="AL50">
            <v>0</v>
          </cell>
          <cell r="AM50">
            <v>0</v>
          </cell>
          <cell r="AN50">
            <v>0</v>
          </cell>
          <cell r="AO50">
            <v>50819.3</v>
          </cell>
          <cell r="AQ50">
            <v>0</v>
          </cell>
          <cell r="AR50">
            <v>50819.3</v>
          </cell>
        </row>
        <row r="51">
          <cell r="U51">
            <v>-9096178</v>
          </cell>
          <cell r="X51">
            <v>-9096178</v>
          </cell>
          <cell r="Y51">
            <v>0</v>
          </cell>
          <cell r="AD51">
            <v>-9096178</v>
          </cell>
          <cell r="AG51">
            <v>3183662.3</v>
          </cell>
          <cell r="AH51">
            <v>0</v>
          </cell>
          <cell r="AI51">
            <v>0</v>
          </cell>
          <cell r="AJ51">
            <v>3183662.3</v>
          </cell>
          <cell r="AK51">
            <v>0</v>
          </cell>
          <cell r="AL51">
            <v>0</v>
          </cell>
          <cell r="AM51">
            <v>0</v>
          </cell>
          <cell r="AN51">
            <v>0</v>
          </cell>
          <cell r="AO51">
            <v>3183662.3</v>
          </cell>
          <cell r="AQ51">
            <v>0</v>
          </cell>
          <cell r="AR51">
            <v>3183662.3</v>
          </cell>
        </row>
        <row r="52">
          <cell r="U52">
            <v>-37979506</v>
          </cell>
          <cell r="X52">
            <v>-37979506</v>
          </cell>
          <cell r="Y52">
            <v>0</v>
          </cell>
          <cell r="AD52">
            <v>-37979506</v>
          </cell>
          <cell r="AG52">
            <v>13292827.1</v>
          </cell>
          <cell r="AH52">
            <v>0</v>
          </cell>
          <cell r="AI52">
            <v>0</v>
          </cell>
          <cell r="AJ52">
            <v>13292827.1</v>
          </cell>
          <cell r="AK52">
            <v>0</v>
          </cell>
          <cell r="AL52">
            <v>0</v>
          </cell>
          <cell r="AM52">
            <v>0</v>
          </cell>
          <cell r="AN52">
            <v>0</v>
          </cell>
          <cell r="AO52">
            <v>13292827.1</v>
          </cell>
          <cell r="AQ52">
            <v>0</v>
          </cell>
          <cell r="AR52">
            <v>13292827.1</v>
          </cell>
        </row>
        <row r="53">
          <cell r="U53">
            <v>-35619847</v>
          </cell>
          <cell r="X53">
            <v>-35619847</v>
          </cell>
          <cell r="Y53">
            <v>2499716</v>
          </cell>
          <cell r="AD53">
            <v>-33120131</v>
          </cell>
          <cell r="AG53">
            <v>12466946.449999999</v>
          </cell>
          <cell r="AH53">
            <v>0</v>
          </cell>
          <cell r="AI53">
            <v>0</v>
          </cell>
          <cell r="AJ53">
            <v>12466946.449999999</v>
          </cell>
          <cell r="AK53">
            <v>-874900.6</v>
          </cell>
          <cell r="AL53">
            <v>0</v>
          </cell>
          <cell r="AM53">
            <v>0</v>
          </cell>
          <cell r="AN53">
            <v>0</v>
          </cell>
          <cell r="AO53">
            <v>11592045.85</v>
          </cell>
          <cell r="AQ53">
            <v>0</v>
          </cell>
          <cell r="AR53">
            <v>11592045.85</v>
          </cell>
        </row>
        <row r="54">
          <cell r="U54">
            <v>-3362531</v>
          </cell>
          <cell r="X54">
            <v>-3362531</v>
          </cell>
          <cell r="Y54">
            <v>-1</v>
          </cell>
          <cell r="AD54">
            <v>-3362532</v>
          </cell>
          <cell r="AG54">
            <v>1176885.8500000001</v>
          </cell>
          <cell r="AH54">
            <v>0</v>
          </cell>
          <cell r="AI54">
            <v>0</v>
          </cell>
          <cell r="AJ54">
            <v>1176885.8500000001</v>
          </cell>
          <cell r="AK54">
            <v>0.35</v>
          </cell>
          <cell r="AL54">
            <v>0</v>
          </cell>
          <cell r="AM54">
            <v>0</v>
          </cell>
          <cell r="AN54">
            <v>0</v>
          </cell>
          <cell r="AO54">
            <v>1176886.2000000002</v>
          </cell>
          <cell r="AQ54">
            <v>0</v>
          </cell>
          <cell r="AR54">
            <v>1176886.2000000002</v>
          </cell>
        </row>
        <row r="55">
          <cell r="U55">
            <v>0</v>
          </cell>
          <cell r="X55">
            <v>0</v>
          </cell>
          <cell r="Y55">
            <v>0</v>
          </cell>
          <cell r="AD55">
            <v>0</v>
          </cell>
          <cell r="AG55">
            <v>0</v>
          </cell>
          <cell r="AH55">
            <v>0</v>
          </cell>
          <cell r="AI55">
            <v>0</v>
          </cell>
          <cell r="AJ55">
            <v>0</v>
          </cell>
          <cell r="AK55">
            <v>0</v>
          </cell>
          <cell r="AL55">
            <v>0</v>
          </cell>
          <cell r="AM55">
            <v>0</v>
          </cell>
          <cell r="AN55">
            <v>0</v>
          </cell>
          <cell r="AO55">
            <v>0</v>
          </cell>
          <cell r="AQ55">
            <v>0</v>
          </cell>
          <cell r="AR55">
            <v>0</v>
          </cell>
        </row>
        <row r="56">
          <cell r="U56">
            <v>-1750000</v>
          </cell>
          <cell r="X56">
            <v>-1750000</v>
          </cell>
          <cell r="Y56">
            <v>0</v>
          </cell>
          <cell r="AD56">
            <v>-1750000</v>
          </cell>
          <cell r="AG56">
            <v>612500</v>
          </cell>
          <cell r="AH56">
            <v>0</v>
          </cell>
          <cell r="AI56">
            <v>0</v>
          </cell>
          <cell r="AJ56">
            <v>612500</v>
          </cell>
          <cell r="AK56">
            <v>0</v>
          </cell>
          <cell r="AL56">
            <v>0</v>
          </cell>
          <cell r="AM56">
            <v>0</v>
          </cell>
          <cell r="AN56">
            <v>0</v>
          </cell>
          <cell r="AO56">
            <v>612500</v>
          </cell>
          <cell r="AQ56">
            <v>0</v>
          </cell>
          <cell r="AR56">
            <v>612500</v>
          </cell>
        </row>
        <row r="57">
          <cell r="U57">
            <v>-31753103</v>
          </cell>
          <cell r="X57">
            <v>-31753103</v>
          </cell>
          <cell r="Y57">
            <v>89862</v>
          </cell>
          <cell r="AD57">
            <v>-31663241</v>
          </cell>
          <cell r="AG57">
            <v>11113586.050000001</v>
          </cell>
          <cell r="AH57">
            <v>0</v>
          </cell>
          <cell r="AI57">
            <v>0</v>
          </cell>
          <cell r="AJ57">
            <v>11113586.050000001</v>
          </cell>
          <cell r="AK57">
            <v>-31451.699999999997</v>
          </cell>
          <cell r="AL57">
            <v>0</v>
          </cell>
          <cell r="AM57">
            <v>0</v>
          </cell>
          <cell r="AN57">
            <v>0</v>
          </cell>
          <cell r="AO57">
            <v>11082134.350000001</v>
          </cell>
          <cell r="AQ57">
            <v>0</v>
          </cell>
          <cell r="AR57">
            <v>11082134.350000001</v>
          </cell>
        </row>
        <row r="58">
          <cell r="U58">
            <v>-3689850</v>
          </cell>
          <cell r="X58">
            <v>-3689850</v>
          </cell>
          <cell r="Y58">
            <v>0</v>
          </cell>
          <cell r="AD58">
            <v>-3689850</v>
          </cell>
          <cell r="AG58">
            <v>1291447.5</v>
          </cell>
          <cell r="AH58">
            <v>0</v>
          </cell>
          <cell r="AI58">
            <v>0</v>
          </cell>
          <cell r="AJ58">
            <v>1291447.5</v>
          </cell>
          <cell r="AK58">
            <v>0</v>
          </cell>
          <cell r="AL58">
            <v>0</v>
          </cell>
          <cell r="AM58">
            <v>0</v>
          </cell>
          <cell r="AN58">
            <v>0</v>
          </cell>
          <cell r="AO58">
            <v>1291447.5</v>
          </cell>
          <cell r="AQ58">
            <v>0</v>
          </cell>
          <cell r="AR58">
            <v>1291447.5</v>
          </cell>
        </row>
        <row r="59">
          <cell r="U59">
            <v>0</v>
          </cell>
          <cell r="X59">
            <v>0</v>
          </cell>
          <cell r="Y59">
            <v>10349000</v>
          </cell>
          <cell r="AD59">
            <v>10349000</v>
          </cell>
          <cell r="AG59">
            <v>0</v>
          </cell>
          <cell r="AH59">
            <v>0</v>
          </cell>
          <cell r="AI59">
            <v>0</v>
          </cell>
          <cell r="AJ59">
            <v>0</v>
          </cell>
          <cell r="AK59">
            <v>-3622150</v>
          </cell>
          <cell r="AL59">
            <v>0</v>
          </cell>
          <cell r="AM59">
            <v>0</v>
          </cell>
          <cell r="AN59">
            <v>0</v>
          </cell>
          <cell r="AO59">
            <v>-3622150</v>
          </cell>
          <cell r="AQ59">
            <v>0</v>
          </cell>
          <cell r="AR59">
            <v>-3622150</v>
          </cell>
        </row>
        <row r="60">
          <cell r="U60">
            <v>-4</v>
          </cell>
          <cell r="X60">
            <v>-4</v>
          </cell>
          <cell r="Y60">
            <v>1179933</v>
          </cell>
          <cell r="AD60">
            <v>1179929</v>
          </cell>
          <cell r="AG60">
            <v>1.400000000372529</v>
          </cell>
          <cell r="AH60">
            <v>0</v>
          </cell>
          <cell r="AI60">
            <v>0</v>
          </cell>
          <cell r="AJ60">
            <v>1.400000000372529</v>
          </cell>
          <cell r="AK60">
            <v>-412976.55</v>
          </cell>
          <cell r="AL60">
            <v>0</v>
          </cell>
          <cell r="AM60">
            <v>0</v>
          </cell>
          <cell r="AN60">
            <v>0</v>
          </cell>
          <cell r="AO60">
            <v>-412975.14999999962</v>
          </cell>
          <cell r="AQ60">
            <v>0</v>
          </cell>
          <cell r="AR60">
            <v>-412975.14999999962</v>
          </cell>
        </row>
        <row r="61">
          <cell r="U61">
            <v>17539565</v>
          </cell>
          <cell r="X61">
            <v>17539565</v>
          </cell>
          <cell r="Y61">
            <v>-10707957</v>
          </cell>
          <cell r="AD61">
            <v>6831608</v>
          </cell>
          <cell r="AG61">
            <v>-6138847.75</v>
          </cell>
          <cell r="AH61">
            <v>0</v>
          </cell>
          <cell r="AI61">
            <v>0</v>
          </cell>
          <cell r="AJ61">
            <v>-6138847.75</v>
          </cell>
          <cell r="AK61">
            <v>3747784.9499999997</v>
          </cell>
          <cell r="AL61">
            <v>0</v>
          </cell>
          <cell r="AM61">
            <v>0</v>
          </cell>
          <cell r="AN61">
            <v>0</v>
          </cell>
          <cell r="AO61">
            <v>-2391062.8000000003</v>
          </cell>
          <cell r="AQ61">
            <v>0</v>
          </cell>
          <cell r="AR61">
            <v>-2391062.8000000003</v>
          </cell>
        </row>
        <row r="62">
          <cell r="U62">
            <v>-9571370</v>
          </cell>
          <cell r="X62">
            <v>-9571370</v>
          </cell>
          <cell r="Y62">
            <v>238950</v>
          </cell>
          <cell r="AD62">
            <v>-9332420</v>
          </cell>
          <cell r="AG62">
            <v>3349979.5</v>
          </cell>
          <cell r="AH62">
            <v>0</v>
          </cell>
          <cell r="AI62">
            <v>0</v>
          </cell>
          <cell r="AJ62">
            <v>3349979.5</v>
          </cell>
          <cell r="AK62">
            <v>-83632.5</v>
          </cell>
          <cell r="AL62">
            <v>0</v>
          </cell>
          <cell r="AM62">
            <v>0</v>
          </cell>
          <cell r="AN62">
            <v>0</v>
          </cell>
          <cell r="AO62">
            <v>3266347</v>
          </cell>
          <cell r="AQ62">
            <v>0</v>
          </cell>
          <cell r="AR62">
            <v>3266347</v>
          </cell>
        </row>
        <row r="63">
          <cell r="U63">
            <v>0</v>
          </cell>
          <cell r="X63">
            <v>0</v>
          </cell>
          <cell r="Y63">
            <v>2244825</v>
          </cell>
          <cell r="AD63">
            <v>2244825</v>
          </cell>
          <cell r="AG63">
            <v>0</v>
          </cell>
          <cell r="AH63">
            <v>0</v>
          </cell>
          <cell r="AI63">
            <v>0</v>
          </cell>
          <cell r="AJ63">
            <v>0</v>
          </cell>
          <cell r="AK63">
            <v>-785688.75</v>
          </cell>
          <cell r="AL63">
            <v>0</v>
          </cell>
          <cell r="AM63">
            <v>0</v>
          </cell>
          <cell r="AN63">
            <v>0</v>
          </cell>
          <cell r="AO63">
            <v>-785688.75</v>
          </cell>
          <cell r="AQ63">
            <v>0</v>
          </cell>
          <cell r="AR63">
            <v>-785688.75</v>
          </cell>
        </row>
        <row r="64">
          <cell r="U64">
            <v>-283786</v>
          </cell>
          <cell r="X64">
            <v>-283786</v>
          </cell>
          <cell r="Y64">
            <v>-45779</v>
          </cell>
          <cell r="AD64">
            <v>-329565</v>
          </cell>
          <cell r="AG64">
            <v>99325.1</v>
          </cell>
          <cell r="AH64">
            <v>0</v>
          </cell>
          <cell r="AI64">
            <v>0</v>
          </cell>
          <cell r="AJ64">
            <v>99325.1</v>
          </cell>
          <cell r="AK64">
            <v>16022.65</v>
          </cell>
          <cell r="AL64">
            <v>0</v>
          </cell>
          <cell r="AM64">
            <v>0</v>
          </cell>
          <cell r="AN64">
            <v>0</v>
          </cell>
          <cell r="AO64">
            <v>115347.75</v>
          </cell>
          <cell r="AQ64">
            <v>0</v>
          </cell>
          <cell r="AR64">
            <v>115347.75</v>
          </cell>
        </row>
        <row r="65">
          <cell r="U65">
            <v>-1606591</v>
          </cell>
          <cell r="X65">
            <v>-1606591</v>
          </cell>
          <cell r="Y65">
            <v>422227</v>
          </cell>
          <cell r="AD65">
            <v>-1184364</v>
          </cell>
          <cell r="AG65">
            <v>562306.85</v>
          </cell>
          <cell r="AH65">
            <v>0</v>
          </cell>
          <cell r="AI65">
            <v>0</v>
          </cell>
          <cell r="AJ65">
            <v>562306.85</v>
          </cell>
          <cell r="AK65">
            <v>-147779.44999999998</v>
          </cell>
          <cell r="AL65">
            <v>0</v>
          </cell>
          <cell r="AM65">
            <v>0</v>
          </cell>
          <cell r="AN65">
            <v>0</v>
          </cell>
          <cell r="AO65">
            <v>414527.4</v>
          </cell>
          <cell r="AQ65">
            <v>0</v>
          </cell>
          <cell r="AR65">
            <v>414527.4</v>
          </cell>
        </row>
        <row r="66">
          <cell r="U66">
            <v>1766078</v>
          </cell>
          <cell r="X66">
            <v>1766078</v>
          </cell>
          <cell r="Y66">
            <v>0</v>
          </cell>
          <cell r="AD66">
            <v>1766078</v>
          </cell>
          <cell r="AG66">
            <v>-618127.30000000005</v>
          </cell>
          <cell r="AH66">
            <v>0</v>
          </cell>
          <cell r="AI66">
            <v>0</v>
          </cell>
          <cell r="AJ66">
            <v>-618127.30000000005</v>
          </cell>
          <cell r="AK66">
            <v>0</v>
          </cell>
          <cell r="AL66">
            <v>0</v>
          </cell>
          <cell r="AM66">
            <v>0</v>
          </cell>
          <cell r="AN66">
            <v>0</v>
          </cell>
          <cell r="AO66">
            <v>-618127.30000000005</v>
          </cell>
          <cell r="AQ66">
            <v>0</v>
          </cell>
          <cell r="AR66">
            <v>-618127.30000000005</v>
          </cell>
        </row>
        <row r="67">
          <cell r="U67">
            <v>-1000000</v>
          </cell>
          <cell r="X67">
            <v>-1000000</v>
          </cell>
          <cell r="Y67">
            <v>0</v>
          </cell>
          <cell r="AD67">
            <v>-1000000</v>
          </cell>
          <cell r="AG67">
            <v>350000</v>
          </cell>
          <cell r="AH67">
            <v>0</v>
          </cell>
          <cell r="AI67">
            <v>0</v>
          </cell>
          <cell r="AJ67">
            <v>350000</v>
          </cell>
          <cell r="AK67">
            <v>0</v>
          </cell>
          <cell r="AL67">
            <v>0</v>
          </cell>
          <cell r="AM67">
            <v>0</v>
          </cell>
          <cell r="AN67">
            <v>0</v>
          </cell>
          <cell r="AO67">
            <v>350000</v>
          </cell>
          <cell r="AQ67">
            <v>0</v>
          </cell>
          <cell r="AR67">
            <v>350000</v>
          </cell>
        </row>
        <row r="68">
          <cell r="U68">
            <v>-36089383</v>
          </cell>
          <cell r="X68">
            <v>-36089383</v>
          </cell>
          <cell r="Y68">
            <v>-9388943</v>
          </cell>
          <cell r="AD68">
            <v>-45478326</v>
          </cell>
          <cell r="AG68">
            <v>12631284.049999999</v>
          </cell>
          <cell r="AH68">
            <v>0</v>
          </cell>
          <cell r="AI68">
            <v>0</v>
          </cell>
          <cell r="AJ68">
            <v>12631284.049999999</v>
          </cell>
          <cell r="AK68">
            <v>3286130.05</v>
          </cell>
          <cell r="AL68">
            <v>0</v>
          </cell>
          <cell r="AM68">
            <v>0</v>
          </cell>
          <cell r="AN68">
            <v>0</v>
          </cell>
          <cell r="AO68">
            <v>15917414.099999998</v>
          </cell>
          <cell r="AQ68">
            <v>0</v>
          </cell>
          <cell r="AR68">
            <v>15917414.099999998</v>
          </cell>
        </row>
        <row r="69">
          <cell r="U69">
            <v>-34767475</v>
          </cell>
          <cell r="X69">
            <v>-34767475</v>
          </cell>
          <cell r="Y69">
            <v>0</v>
          </cell>
          <cell r="AD69">
            <v>-34767475</v>
          </cell>
          <cell r="AG69">
            <v>12168616.25</v>
          </cell>
          <cell r="AH69">
            <v>0</v>
          </cell>
          <cell r="AI69">
            <v>0</v>
          </cell>
          <cell r="AJ69">
            <v>12168616.25</v>
          </cell>
          <cell r="AK69">
            <v>0</v>
          </cell>
          <cell r="AL69">
            <v>0</v>
          </cell>
          <cell r="AM69">
            <v>0</v>
          </cell>
          <cell r="AN69">
            <v>0</v>
          </cell>
          <cell r="AO69">
            <v>12168616.25</v>
          </cell>
          <cell r="AQ69">
            <v>0</v>
          </cell>
          <cell r="AR69">
            <v>12168616.25</v>
          </cell>
        </row>
        <row r="70">
          <cell r="U70">
            <v>-5344909</v>
          </cell>
          <cell r="X70">
            <v>-5344909</v>
          </cell>
          <cell r="Y70">
            <v>-260577</v>
          </cell>
          <cell r="AD70">
            <v>-5605486</v>
          </cell>
          <cell r="AG70">
            <v>1870718.15</v>
          </cell>
          <cell r="AH70">
            <v>0</v>
          </cell>
          <cell r="AI70">
            <v>0</v>
          </cell>
          <cell r="AJ70">
            <v>1870718.15</v>
          </cell>
          <cell r="AK70">
            <v>91201.95</v>
          </cell>
          <cell r="AL70">
            <v>0</v>
          </cell>
          <cell r="AM70">
            <v>0</v>
          </cell>
          <cell r="AN70">
            <v>0</v>
          </cell>
          <cell r="AO70">
            <v>1961920.0999999999</v>
          </cell>
          <cell r="AQ70">
            <v>0</v>
          </cell>
          <cell r="AR70">
            <v>1961920.0999999999</v>
          </cell>
        </row>
        <row r="71">
          <cell r="U71">
            <v>-104599</v>
          </cell>
          <cell r="X71">
            <v>-104599</v>
          </cell>
          <cell r="Y71">
            <v>0</v>
          </cell>
          <cell r="AD71">
            <v>-104599</v>
          </cell>
          <cell r="AG71">
            <v>36609.65</v>
          </cell>
          <cell r="AH71">
            <v>0</v>
          </cell>
          <cell r="AI71">
            <v>0</v>
          </cell>
          <cell r="AJ71">
            <v>36609.65</v>
          </cell>
          <cell r="AK71">
            <v>0</v>
          </cell>
          <cell r="AL71">
            <v>0</v>
          </cell>
          <cell r="AM71">
            <v>0</v>
          </cell>
          <cell r="AN71">
            <v>0</v>
          </cell>
          <cell r="AO71">
            <v>36609.65</v>
          </cell>
          <cell r="AQ71">
            <v>0</v>
          </cell>
          <cell r="AR71">
            <v>36609.65</v>
          </cell>
        </row>
        <row r="72">
          <cell r="U72">
            <v>74920</v>
          </cell>
          <cell r="X72">
            <v>74920</v>
          </cell>
          <cell r="Y72">
            <v>0</v>
          </cell>
          <cell r="AD72">
            <v>74920</v>
          </cell>
          <cell r="AG72">
            <v>-26222</v>
          </cell>
          <cell r="AH72">
            <v>0</v>
          </cell>
          <cell r="AI72">
            <v>0</v>
          </cell>
          <cell r="AJ72">
            <v>-26222</v>
          </cell>
          <cell r="AK72">
            <v>0</v>
          </cell>
          <cell r="AL72">
            <v>0</v>
          </cell>
          <cell r="AM72">
            <v>0</v>
          </cell>
          <cell r="AN72">
            <v>0</v>
          </cell>
          <cell r="AO72">
            <v>-26222</v>
          </cell>
          <cell r="AQ72">
            <v>0</v>
          </cell>
          <cell r="AR72">
            <v>-26222</v>
          </cell>
        </row>
        <row r="73">
          <cell r="U73">
            <v>0</v>
          </cell>
          <cell r="X73">
            <v>0</v>
          </cell>
          <cell r="Y73">
            <v>0</v>
          </cell>
          <cell r="AD73">
            <v>0</v>
          </cell>
          <cell r="AG73">
            <v>0</v>
          </cell>
          <cell r="AH73">
            <v>0</v>
          </cell>
          <cell r="AI73">
            <v>0</v>
          </cell>
          <cell r="AJ73">
            <v>0</v>
          </cell>
          <cell r="AK73">
            <v>0</v>
          </cell>
          <cell r="AL73">
            <v>0</v>
          </cell>
          <cell r="AM73">
            <v>0</v>
          </cell>
          <cell r="AN73">
            <v>0</v>
          </cell>
          <cell r="AO73">
            <v>0</v>
          </cell>
          <cell r="AQ73">
            <v>0</v>
          </cell>
          <cell r="AR73">
            <v>0</v>
          </cell>
        </row>
        <row r="74">
          <cell r="U74">
            <v>-4184633</v>
          </cell>
          <cell r="X74">
            <v>-4184633</v>
          </cell>
          <cell r="Y74">
            <v>0</v>
          </cell>
          <cell r="AD74">
            <v>-4184633</v>
          </cell>
          <cell r="AG74">
            <v>1464621.55</v>
          </cell>
          <cell r="AH74">
            <v>0</v>
          </cell>
          <cell r="AI74">
            <v>0</v>
          </cell>
          <cell r="AJ74">
            <v>1464621.55</v>
          </cell>
          <cell r="AK74">
            <v>0</v>
          </cell>
          <cell r="AL74">
            <v>0</v>
          </cell>
          <cell r="AM74">
            <v>0</v>
          </cell>
          <cell r="AN74">
            <v>0</v>
          </cell>
          <cell r="AO74">
            <v>1464621.55</v>
          </cell>
          <cell r="AQ74">
            <v>0</v>
          </cell>
          <cell r="AR74">
            <v>1464621.55</v>
          </cell>
        </row>
        <row r="75">
          <cell r="U75">
            <v>-286829</v>
          </cell>
          <cell r="X75">
            <v>-286829</v>
          </cell>
          <cell r="Y75">
            <v>0</v>
          </cell>
          <cell r="AD75">
            <v>-286829</v>
          </cell>
          <cell r="AG75">
            <v>100390.15</v>
          </cell>
          <cell r="AH75">
            <v>0</v>
          </cell>
          <cell r="AI75">
            <v>0</v>
          </cell>
          <cell r="AJ75">
            <v>100390.15</v>
          </cell>
          <cell r="AK75">
            <v>0</v>
          </cell>
          <cell r="AL75">
            <v>0</v>
          </cell>
          <cell r="AM75">
            <v>0</v>
          </cell>
          <cell r="AN75">
            <v>0</v>
          </cell>
          <cell r="AO75">
            <v>100390.15</v>
          </cell>
          <cell r="AQ75">
            <v>0</v>
          </cell>
          <cell r="AR75">
            <v>100390.15</v>
          </cell>
        </row>
        <row r="76">
          <cell r="U76">
            <v>-7280604</v>
          </cell>
          <cell r="X76">
            <v>-7280604</v>
          </cell>
          <cell r="Y76">
            <v>0</v>
          </cell>
          <cell r="AD76">
            <v>-7280604</v>
          </cell>
          <cell r="AG76">
            <v>2548211.4</v>
          </cell>
          <cell r="AH76">
            <v>0</v>
          </cell>
          <cell r="AI76">
            <v>0</v>
          </cell>
          <cell r="AJ76">
            <v>2548211.4</v>
          </cell>
          <cell r="AK76">
            <v>0</v>
          </cell>
          <cell r="AL76">
            <v>0</v>
          </cell>
          <cell r="AM76">
            <v>0</v>
          </cell>
          <cell r="AN76">
            <v>0</v>
          </cell>
          <cell r="AO76">
            <v>2548211.4</v>
          </cell>
          <cell r="AQ76">
            <v>0</v>
          </cell>
          <cell r="AR76">
            <v>2548211.4</v>
          </cell>
        </row>
        <row r="77">
          <cell r="U77">
            <v>0</v>
          </cell>
          <cell r="X77">
            <v>0</v>
          </cell>
          <cell r="Y77">
            <v>0</v>
          </cell>
          <cell r="AD77">
            <v>0</v>
          </cell>
          <cell r="AG77">
            <v>0</v>
          </cell>
          <cell r="AH77">
            <v>0</v>
          </cell>
          <cell r="AI77">
            <v>0</v>
          </cell>
          <cell r="AJ77">
            <v>0</v>
          </cell>
          <cell r="AK77">
            <v>0</v>
          </cell>
          <cell r="AL77">
            <v>0</v>
          </cell>
          <cell r="AM77">
            <v>0</v>
          </cell>
          <cell r="AN77">
            <v>0</v>
          </cell>
          <cell r="AO77">
            <v>0</v>
          </cell>
          <cell r="AQ77">
            <v>0</v>
          </cell>
          <cell r="AR77">
            <v>0</v>
          </cell>
        </row>
        <row r="78">
          <cell r="U78">
            <v>0</v>
          </cell>
          <cell r="X78">
            <v>0</v>
          </cell>
          <cell r="Y78">
            <v>0</v>
          </cell>
          <cell r="AD78">
            <v>0</v>
          </cell>
          <cell r="AG78">
            <v>0</v>
          </cell>
          <cell r="AH78">
            <v>0</v>
          </cell>
          <cell r="AI78">
            <v>0</v>
          </cell>
          <cell r="AJ78">
            <v>0</v>
          </cell>
          <cell r="AK78">
            <v>0</v>
          </cell>
          <cell r="AL78">
            <v>0</v>
          </cell>
          <cell r="AM78">
            <v>0</v>
          </cell>
          <cell r="AN78">
            <v>0</v>
          </cell>
          <cell r="AO78">
            <v>0</v>
          </cell>
          <cell r="AQ78">
            <v>0</v>
          </cell>
          <cell r="AR78">
            <v>0</v>
          </cell>
        </row>
        <row r="79">
          <cell r="U79">
            <v>-8617780</v>
          </cell>
          <cell r="X79">
            <v>-8617780</v>
          </cell>
          <cell r="Y79">
            <v>0</v>
          </cell>
          <cell r="AD79">
            <v>-8617780</v>
          </cell>
          <cell r="AG79">
            <v>3016223</v>
          </cell>
          <cell r="AH79">
            <v>0</v>
          </cell>
          <cell r="AI79">
            <v>0</v>
          </cell>
          <cell r="AJ79">
            <v>3016223</v>
          </cell>
          <cell r="AK79">
            <v>0</v>
          </cell>
          <cell r="AL79">
            <v>0</v>
          </cell>
          <cell r="AM79">
            <v>0</v>
          </cell>
          <cell r="AN79">
            <v>0</v>
          </cell>
          <cell r="AO79">
            <v>3016223</v>
          </cell>
          <cell r="AQ79">
            <v>0</v>
          </cell>
          <cell r="AR79">
            <v>3016223</v>
          </cell>
        </row>
        <row r="80">
          <cell r="U80">
            <v>118065152</v>
          </cell>
          <cell r="X80">
            <v>118065152</v>
          </cell>
          <cell r="Y80">
            <v>0</v>
          </cell>
          <cell r="AD80">
            <v>118065152</v>
          </cell>
          <cell r="AG80">
            <v>-41322803.199999996</v>
          </cell>
          <cell r="AH80">
            <v>0</v>
          </cell>
          <cell r="AI80">
            <v>0</v>
          </cell>
          <cell r="AJ80">
            <v>-41322803.199999996</v>
          </cell>
          <cell r="AK80">
            <v>0</v>
          </cell>
          <cell r="AL80">
            <v>0</v>
          </cell>
          <cell r="AM80">
            <v>0</v>
          </cell>
          <cell r="AN80">
            <v>0</v>
          </cell>
          <cell r="AO80">
            <v>-41322803.199999996</v>
          </cell>
          <cell r="AQ80">
            <v>0</v>
          </cell>
          <cell r="AR80">
            <v>-41322803.199999996</v>
          </cell>
        </row>
        <row r="81">
          <cell r="U81">
            <v>-592857</v>
          </cell>
          <cell r="X81">
            <v>-592857</v>
          </cell>
          <cell r="Y81">
            <v>0</v>
          </cell>
          <cell r="AD81">
            <v>-592857</v>
          </cell>
          <cell r="AG81">
            <v>207499.95</v>
          </cell>
          <cell r="AH81">
            <v>0</v>
          </cell>
          <cell r="AI81">
            <v>0</v>
          </cell>
          <cell r="AJ81">
            <v>207499.95</v>
          </cell>
          <cell r="AK81">
            <v>0</v>
          </cell>
          <cell r="AL81">
            <v>0</v>
          </cell>
          <cell r="AM81">
            <v>0</v>
          </cell>
          <cell r="AN81">
            <v>0</v>
          </cell>
          <cell r="AO81">
            <v>207499.95</v>
          </cell>
          <cell r="AQ81">
            <v>0</v>
          </cell>
          <cell r="AR81">
            <v>207499.95</v>
          </cell>
        </row>
        <row r="82">
          <cell r="U82">
            <v>759655</v>
          </cell>
          <cell r="X82">
            <v>759655</v>
          </cell>
          <cell r="Y82">
            <v>0</v>
          </cell>
          <cell r="AD82">
            <v>759655</v>
          </cell>
          <cell r="AG82">
            <v>-265879.25</v>
          </cell>
          <cell r="AH82">
            <v>0</v>
          </cell>
          <cell r="AI82">
            <v>0</v>
          </cell>
          <cell r="AJ82">
            <v>-265879.25</v>
          </cell>
          <cell r="AK82">
            <v>0</v>
          </cell>
          <cell r="AL82">
            <v>0</v>
          </cell>
          <cell r="AM82">
            <v>0</v>
          </cell>
          <cell r="AN82">
            <v>0</v>
          </cell>
          <cell r="AO82">
            <v>-265879.25</v>
          </cell>
          <cell r="AQ82">
            <v>0</v>
          </cell>
          <cell r="AR82">
            <v>-265879.25</v>
          </cell>
        </row>
        <row r="83">
          <cell r="U83">
            <v>7559659</v>
          </cell>
          <cell r="X83">
            <v>7559659</v>
          </cell>
          <cell r="Y83">
            <v>-32201479</v>
          </cell>
          <cell r="AD83">
            <v>-24641820</v>
          </cell>
          <cell r="AG83">
            <v>-2645880.65</v>
          </cell>
          <cell r="AH83">
            <v>0</v>
          </cell>
          <cell r="AI83">
            <v>0</v>
          </cell>
          <cell r="AJ83">
            <v>-2645880.65</v>
          </cell>
          <cell r="AK83">
            <v>11270517.649999999</v>
          </cell>
          <cell r="AL83">
            <v>0</v>
          </cell>
          <cell r="AM83">
            <v>0</v>
          </cell>
          <cell r="AN83">
            <v>0</v>
          </cell>
          <cell r="AO83">
            <v>8624636.9999999981</v>
          </cell>
          <cell r="AQ83">
            <v>0</v>
          </cell>
          <cell r="AR83">
            <v>8624636.9999999981</v>
          </cell>
        </row>
        <row r="84">
          <cell r="U84">
            <v>0</v>
          </cell>
          <cell r="X84">
            <v>0</v>
          </cell>
          <cell r="Y84">
            <v>0</v>
          </cell>
          <cell r="AD84">
            <v>0</v>
          </cell>
          <cell r="AG84">
            <v>0</v>
          </cell>
          <cell r="AH84">
            <v>0</v>
          </cell>
          <cell r="AI84">
            <v>0</v>
          </cell>
          <cell r="AJ84">
            <v>0</v>
          </cell>
          <cell r="AK84">
            <v>0</v>
          </cell>
          <cell r="AL84">
            <v>0</v>
          </cell>
          <cell r="AM84">
            <v>0</v>
          </cell>
          <cell r="AN84">
            <v>0</v>
          </cell>
          <cell r="AO84">
            <v>0</v>
          </cell>
        </row>
        <row r="85">
          <cell r="U85">
            <v>0</v>
          </cell>
          <cell r="X85">
            <v>0</v>
          </cell>
          <cell r="Y85">
            <v>0</v>
          </cell>
          <cell r="AD85">
            <v>0</v>
          </cell>
          <cell r="AG85">
            <v>0</v>
          </cell>
          <cell r="AH85">
            <v>0</v>
          </cell>
          <cell r="AI85">
            <v>0</v>
          </cell>
          <cell r="AJ85">
            <v>0</v>
          </cell>
          <cell r="AK85">
            <v>0</v>
          </cell>
          <cell r="AL85">
            <v>0</v>
          </cell>
          <cell r="AM85">
            <v>0</v>
          </cell>
          <cell r="AN85">
            <v>0</v>
          </cell>
          <cell r="AO85">
            <v>0</v>
          </cell>
          <cell r="AQ85">
            <v>0</v>
          </cell>
          <cell r="AR85">
            <v>0</v>
          </cell>
        </row>
        <row r="86">
          <cell r="U86">
            <v>-3642516</v>
          </cell>
          <cell r="X86">
            <v>-3642516</v>
          </cell>
          <cell r="Y86">
            <v>0</v>
          </cell>
          <cell r="AD86">
            <v>-3642516</v>
          </cell>
          <cell r="AG86">
            <v>1274880.6000000001</v>
          </cell>
          <cell r="AH86">
            <v>0</v>
          </cell>
          <cell r="AI86">
            <v>0</v>
          </cell>
          <cell r="AJ86">
            <v>1274880.6000000001</v>
          </cell>
          <cell r="AK86">
            <v>0</v>
          </cell>
          <cell r="AL86">
            <v>0</v>
          </cell>
          <cell r="AM86">
            <v>0</v>
          </cell>
          <cell r="AN86">
            <v>0</v>
          </cell>
          <cell r="AO86">
            <v>1274880.6000000001</v>
          </cell>
          <cell r="AQ86">
            <v>0</v>
          </cell>
          <cell r="AR86">
            <v>1274880.6000000001</v>
          </cell>
        </row>
        <row r="87">
          <cell r="U87">
            <v>-1935000</v>
          </cell>
          <cell r="X87">
            <v>-1935000</v>
          </cell>
          <cell r="Y87">
            <v>0</v>
          </cell>
          <cell r="AD87">
            <v>-1935000</v>
          </cell>
          <cell r="AG87">
            <v>677250</v>
          </cell>
          <cell r="AH87">
            <v>0</v>
          </cell>
          <cell r="AI87">
            <v>0</v>
          </cell>
          <cell r="AJ87">
            <v>677250</v>
          </cell>
          <cell r="AK87">
            <v>0</v>
          </cell>
          <cell r="AL87">
            <v>0</v>
          </cell>
          <cell r="AM87">
            <v>0</v>
          </cell>
          <cell r="AN87">
            <v>0</v>
          </cell>
          <cell r="AO87">
            <v>677250</v>
          </cell>
          <cell r="AQ87">
            <v>0</v>
          </cell>
          <cell r="AR87">
            <v>677250</v>
          </cell>
        </row>
        <row r="88">
          <cell r="U88">
            <v>162713</v>
          </cell>
          <cell r="X88">
            <v>162713</v>
          </cell>
          <cell r="Y88">
            <v>0</v>
          </cell>
          <cell r="AD88">
            <v>162713</v>
          </cell>
          <cell r="AG88">
            <v>-56949.55</v>
          </cell>
          <cell r="AH88">
            <v>0</v>
          </cell>
          <cell r="AI88">
            <v>0</v>
          </cell>
          <cell r="AJ88">
            <v>-56949.55</v>
          </cell>
          <cell r="AK88">
            <v>0</v>
          </cell>
          <cell r="AL88">
            <v>0</v>
          </cell>
          <cell r="AM88">
            <v>0</v>
          </cell>
          <cell r="AN88">
            <v>0</v>
          </cell>
          <cell r="AO88">
            <v>-56949.55</v>
          </cell>
          <cell r="AQ88">
            <v>0</v>
          </cell>
          <cell r="AR88">
            <v>-56949.55</v>
          </cell>
        </row>
        <row r="89">
          <cell r="U89">
            <v>-2324026</v>
          </cell>
          <cell r="X89">
            <v>-2324026</v>
          </cell>
          <cell r="Y89">
            <v>0</v>
          </cell>
          <cell r="AD89">
            <v>-2324026</v>
          </cell>
          <cell r="AG89">
            <v>813409.1</v>
          </cell>
          <cell r="AH89">
            <v>0</v>
          </cell>
          <cell r="AI89">
            <v>0</v>
          </cell>
          <cell r="AJ89">
            <v>813409.1</v>
          </cell>
          <cell r="AK89">
            <v>0</v>
          </cell>
          <cell r="AL89">
            <v>0</v>
          </cell>
          <cell r="AM89">
            <v>0</v>
          </cell>
          <cell r="AN89">
            <v>0</v>
          </cell>
          <cell r="AO89">
            <v>813409.1</v>
          </cell>
          <cell r="AQ89">
            <v>0</v>
          </cell>
          <cell r="AR89">
            <v>813409.1</v>
          </cell>
        </row>
        <row r="90">
          <cell r="U90">
            <v>-500002</v>
          </cell>
          <cell r="X90">
            <v>-500002</v>
          </cell>
          <cell r="Y90">
            <v>0</v>
          </cell>
          <cell r="AD90">
            <v>-500002</v>
          </cell>
          <cell r="AG90">
            <v>175000.7</v>
          </cell>
          <cell r="AH90">
            <v>0</v>
          </cell>
          <cell r="AI90">
            <v>0</v>
          </cell>
          <cell r="AJ90">
            <v>175000.7</v>
          </cell>
          <cell r="AK90">
            <v>0</v>
          </cell>
          <cell r="AL90">
            <v>0</v>
          </cell>
          <cell r="AM90">
            <v>0</v>
          </cell>
          <cell r="AN90">
            <v>0</v>
          </cell>
          <cell r="AO90">
            <v>175000.7</v>
          </cell>
          <cell r="AQ90">
            <v>0</v>
          </cell>
          <cell r="AR90">
            <v>175000.7</v>
          </cell>
        </row>
        <row r="91">
          <cell r="U91">
            <v>770634</v>
          </cell>
          <cell r="X91">
            <v>770634</v>
          </cell>
          <cell r="Y91">
            <v>0</v>
          </cell>
          <cell r="AD91">
            <v>770634</v>
          </cell>
          <cell r="AG91">
            <v>-269721.90000000002</v>
          </cell>
          <cell r="AH91">
            <v>0</v>
          </cell>
          <cell r="AI91">
            <v>0</v>
          </cell>
          <cell r="AJ91">
            <v>-269721.90000000002</v>
          </cell>
          <cell r="AK91">
            <v>0</v>
          </cell>
          <cell r="AL91">
            <v>0</v>
          </cell>
          <cell r="AM91">
            <v>0</v>
          </cell>
          <cell r="AN91">
            <v>0</v>
          </cell>
          <cell r="AO91">
            <v>-269721.90000000002</v>
          </cell>
          <cell r="AQ91">
            <v>0</v>
          </cell>
          <cell r="AR91">
            <v>-269721.90000000002</v>
          </cell>
        </row>
        <row r="92">
          <cell r="U92">
            <v>-200154</v>
          </cell>
          <cell r="X92">
            <v>-200154</v>
          </cell>
          <cell r="Y92">
            <v>0</v>
          </cell>
          <cell r="AD92">
            <v>-200154</v>
          </cell>
          <cell r="AG92">
            <v>70053.899999999994</v>
          </cell>
          <cell r="AH92">
            <v>0</v>
          </cell>
          <cell r="AI92">
            <v>0</v>
          </cell>
          <cell r="AJ92">
            <v>70053.899999999994</v>
          </cell>
          <cell r="AK92">
            <v>0</v>
          </cell>
          <cell r="AL92">
            <v>0</v>
          </cell>
          <cell r="AM92">
            <v>0</v>
          </cell>
          <cell r="AN92">
            <v>0</v>
          </cell>
          <cell r="AO92">
            <v>70053.899999999994</v>
          </cell>
          <cell r="AQ92">
            <v>0</v>
          </cell>
          <cell r="AR92">
            <v>70053.899999999994</v>
          </cell>
        </row>
        <row r="93">
          <cell r="U93">
            <v>-593729</v>
          </cell>
          <cell r="X93">
            <v>-593729</v>
          </cell>
          <cell r="Y93">
            <v>0</v>
          </cell>
          <cell r="AD93">
            <v>-593729</v>
          </cell>
          <cell r="AG93">
            <v>207805.15</v>
          </cell>
          <cell r="AH93">
            <v>0</v>
          </cell>
          <cell r="AI93">
            <v>0</v>
          </cell>
          <cell r="AJ93">
            <v>207805.15</v>
          </cell>
          <cell r="AK93">
            <v>0</v>
          </cell>
          <cell r="AL93">
            <v>0</v>
          </cell>
          <cell r="AM93">
            <v>0</v>
          </cell>
          <cell r="AN93">
            <v>0</v>
          </cell>
          <cell r="AO93">
            <v>207805.15</v>
          </cell>
          <cell r="AQ93">
            <v>0</v>
          </cell>
          <cell r="AR93">
            <v>207805.15</v>
          </cell>
        </row>
        <row r="94">
          <cell r="U94">
            <v>0</v>
          </cell>
          <cell r="X94">
            <v>0</v>
          </cell>
          <cell r="Y94">
            <v>0</v>
          </cell>
          <cell r="AD94">
            <v>0</v>
          </cell>
          <cell r="AG94">
            <v>0</v>
          </cell>
          <cell r="AH94">
            <v>0</v>
          </cell>
          <cell r="AI94">
            <v>0</v>
          </cell>
          <cell r="AJ94">
            <v>0</v>
          </cell>
          <cell r="AK94">
            <v>0</v>
          </cell>
          <cell r="AL94">
            <v>0</v>
          </cell>
          <cell r="AM94">
            <v>0</v>
          </cell>
          <cell r="AN94">
            <v>0</v>
          </cell>
          <cell r="AO94">
            <v>0</v>
          </cell>
          <cell r="AQ94">
            <v>0</v>
          </cell>
          <cell r="AR94">
            <v>0</v>
          </cell>
        </row>
        <row r="95">
          <cell r="U95">
            <v>0</v>
          </cell>
          <cell r="X95">
            <v>0</v>
          </cell>
          <cell r="Y95">
            <v>0</v>
          </cell>
          <cell r="AD95">
            <v>0</v>
          </cell>
          <cell r="AG95">
            <v>0</v>
          </cell>
          <cell r="AH95">
            <v>0</v>
          </cell>
          <cell r="AI95">
            <v>0</v>
          </cell>
          <cell r="AJ95">
            <v>0</v>
          </cell>
          <cell r="AK95">
            <v>0</v>
          </cell>
          <cell r="AL95">
            <v>0</v>
          </cell>
          <cell r="AM95">
            <v>0</v>
          </cell>
          <cell r="AN95">
            <v>0</v>
          </cell>
          <cell r="AO95">
            <v>0</v>
          </cell>
          <cell r="AQ95">
            <v>0</v>
          </cell>
          <cell r="AR95">
            <v>0</v>
          </cell>
        </row>
        <row r="96">
          <cell r="U96">
            <v>-955418</v>
          </cell>
          <cell r="X96">
            <v>-955418</v>
          </cell>
          <cell r="Y96">
            <v>0</v>
          </cell>
          <cell r="AD96">
            <v>-955418</v>
          </cell>
          <cell r="AG96">
            <v>334396.3</v>
          </cell>
          <cell r="AH96">
            <v>0</v>
          </cell>
          <cell r="AI96">
            <v>0</v>
          </cell>
          <cell r="AJ96">
            <v>334396.3</v>
          </cell>
          <cell r="AK96">
            <v>0</v>
          </cell>
          <cell r="AL96">
            <v>0</v>
          </cell>
          <cell r="AM96">
            <v>0</v>
          </cell>
          <cell r="AN96">
            <v>0</v>
          </cell>
          <cell r="AO96">
            <v>334396.3</v>
          </cell>
          <cell r="AQ96">
            <v>0</v>
          </cell>
          <cell r="AR96">
            <v>334396.3</v>
          </cell>
        </row>
        <row r="97">
          <cell r="U97">
            <v>-1436285</v>
          </cell>
          <cell r="X97">
            <v>-1436285</v>
          </cell>
          <cell r="Y97">
            <v>0</v>
          </cell>
          <cell r="AD97">
            <v>-1436285</v>
          </cell>
          <cell r="AG97">
            <v>502699.75</v>
          </cell>
          <cell r="AH97">
            <v>0</v>
          </cell>
          <cell r="AI97">
            <v>0</v>
          </cell>
          <cell r="AJ97">
            <v>502699.75</v>
          </cell>
          <cell r="AK97">
            <v>0</v>
          </cell>
          <cell r="AL97">
            <v>0</v>
          </cell>
          <cell r="AM97">
            <v>0</v>
          </cell>
          <cell r="AN97">
            <v>0</v>
          </cell>
          <cell r="AO97">
            <v>502699.75</v>
          </cell>
          <cell r="AQ97">
            <v>0</v>
          </cell>
          <cell r="AR97">
            <v>502699.75</v>
          </cell>
        </row>
        <row r="98">
          <cell r="U98">
            <v>-19286</v>
          </cell>
          <cell r="X98">
            <v>-19286</v>
          </cell>
          <cell r="Y98">
            <v>0</v>
          </cell>
          <cell r="AD98">
            <v>-19286</v>
          </cell>
          <cell r="AG98">
            <v>6750.1</v>
          </cell>
          <cell r="AH98">
            <v>0</v>
          </cell>
          <cell r="AI98">
            <v>0</v>
          </cell>
          <cell r="AJ98">
            <v>6750.1</v>
          </cell>
          <cell r="AK98">
            <v>0</v>
          </cell>
          <cell r="AL98">
            <v>0</v>
          </cell>
          <cell r="AM98">
            <v>0</v>
          </cell>
          <cell r="AN98">
            <v>0</v>
          </cell>
          <cell r="AO98">
            <v>6750.1</v>
          </cell>
          <cell r="AQ98">
            <v>0</v>
          </cell>
          <cell r="AR98">
            <v>6750.1</v>
          </cell>
        </row>
        <row r="99">
          <cell r="U99">
            <v>-1609990</v>
          </cell>
          <cell r="X99">
            <v>-1609990</v>
          </cell>
          <cell r="Y99">
            <v>0</v>
          </cell>
          <cell r="AD99">
            <v>-1609990</v>
          </cell>
          <cell r="AG99">
            <v>563496.5</v>
          </cell>
          <cell r="AH99">
            <v>0</v>
          </cell>
          <cell r="AI99">
            <v>0</v>
          </cell>
          <cell r="AJ99">
            <v>563496.5</v>
          </cell>
          <cell r="AK99">
            <v>0</v>
          </cell>
          <cell r="AL99">
            <v>0</v>
          </cell>
          <cell r="AM99">
            <v>0</v>
          </cell>
          <cell r="AN99">
            <v>0</v>
          </cell>
          <cell r="AO99">
            <v>563496.5</v>
          </cell>
          <cell r="AQ99">
            <v>0</v>
          </cell>
          <cell r="AR99">
            <v>563496.5</v>
          </cell>
        </row>
        <row r="100">
          <cell r="U100">
            <v>-1</v>
          </cell>
          <cell r="X100">
            <v>-1</v>
          </cell>
          <cell r="Y100">
            <v>0</v>
          </cell>
          <cell r="AD100">
            <v>-1</v>
          </cell>
          <cell r="AG100">
            <v>0.35</v>
          </cell>
          <cell r="AH100">
            <v>0</v>
          </cell>
          <cell r="AI100">
            <v>0</v>
          </cell>
          <cell r="AJ100">
            <v>0.35</v>
          </cell>
          <cell r="AK100">
            <v>0</v>
          </cell>
          <cell r="AL100">
            <v>0</v>
          </cell>
          <cell r="AM100">
            <v>0</v>
          </cell>
          <cell r="AN100">
            <v>0</v>
          </cell>
          <cell r="AO100">
            <v>0.35</v>
          </cell>
          <cell r="AQ100">
            <v>0</v>
          </cell>
          <cell r="AR100">
            <v>0.35</v>
          </cell>
        </row>
        <row r="101">
          <cell r="U101">
            <v>0</v>
          </cell>
          <cell r="X101">
            <v>0</v>
          </cell>
          <cell r="Y101">
            <v>0</v>
          </cell>
          <cell r="AD101">
            <v>0</v>
          </cell>
          <cell r="AG101">
            <v>0</v>
          </cell>
          <cell r="AH101">
            <v>0</v>
          </cell>
          <cell r="AI101">
            <v>0</v>
          </cell>
          <cell r="AJ101">
            <v>0</v>
          </cell>
          <cell r="AK101">
            <v>0</v>
          </cell>
          <cell r="AL101">
            <v>0</v>
          </cell>
          <cell r="AM101">
            <v>0</v>
          </cell>
          <cell r="AN101">
            <v>0</v>
          </cell>
          <cell r="AO101">
            <v>0</v>
          </cell>
          <cell r="AQ101">
            <v>0</v>
          </cell>
          <cell r="AR101">
            <v>0</v>
          </cell>
        </row>
        <row r="102">
          <cell r="U102">
            <v>-10227</v>
          </cell>
          <cell r="X102">
            <v>-10227</v>
          </cell>
          <cell r="Y102">
            <v>0</v>
          </cell>
          <cell r="AD102">
            <v>-10227</v>
          </cell>
          <cell r="AG102">
            <v>3579.45</v>
          </cell>
          <cell r="AH102">
            <v>0</v>
          </cell>
          <cell r="AI102">
            <v>0</v>
          </cell>
          <cell r="AJ102">
            <v>3579.45</v>
          </cell>
          <cell r="AK102">
            <v>0</v>
          </cell>
          <cell r="AL102">
            <v>0</v>
          </cell>
          <cell r="AM102">
            <v>0</v>
          </cell>
          <cell r="AN102">
            <v>0</v>
          </cell>
          <cell r="AO102">
            <v>3579.45</v>
          </cell>
          <cell r="AQ102">
            <v>0</v>
          </cell>
          <cell r="AR102">
            <v>3579.45</v>
          </cell>
        </row>
        <row r="103">
          <cell r="U103">
            <v>0</v>
          </cell>
          <cell r="X103">
            <v>0</v>
          </cell>
          <cell r="Y103">
            <v>0</v>
          </cell>
          <cell r="AD103">
            <v>0</v>
          </cell>
          <cell r="AG103">
            <v>0</v>
          </cell>
          <cell r="AH103">
            <v>0</v>
          </cell>
          <cell r="AI103">
            <v>0</v>
          </cell>
          <cell r="AJ103">
            <v>0</v>
          </cell>
          <cell r="AK103">
            <v>0</v>
          </cell>
          <cell r="AL103">
            <v>0</v>
          </cell>
          <cell r="AM103">
            <v>0</v>
          </cell>
          <cell r="AN103">
            <v>0</v>
          </cell>
          <cell r="AO103">
            <v>0</v>
          </cell>
        </row>
        <row r="104">
          <cell r="U104">
            <v>0</v>
          </cell>
          <cell r="X104">
            <v>0</v>
          </cell>
          <cell r="Y104">
            <v>0</v>
          </cell>
          <cell r="AD104">
            <v>0</v>
          </cell>
          <cell r="AG104">
            <v>0</v>
          </cell>
          <cell r="AH104">
            <v>0</v>
          </cell>
          <cell r="AI104">
            <v>0</v>
          </cell>
          <cell r="AJ104">
            <v>0</v>
          </cell>
          <cell r="AK104">
            <v>0</v>
          </cell>
          <cell r="AL104">
            <v>0</v>
          </cell>
          <cell r="AM104">
            <v>0</v>
          </cell>
          <cell r="AN104">
            <v>0</v>
          </cell>
          <cell r="AO104">
            <v>0</v>
          </cell>
        </row>
        <row r="105">
          <cell r="U105">
            <v>0</v>
          </cell>
          <cell r="X105">
            <v>0</v>
          </cell>
          <cell r="Y105">
            <v>0</v>
          </cell>
          <cell r="AD105">
            <v>0</v>
          </cell>
          <cell r="AG105">
            <v>0</v>
          </cell>
          <cell r="AH105">
            <v>0</v>
          </cell>
          <cell r="AI105">
            <v>0</v>
          </cell>
          <cell r="AJ105">
            <v>0</v>
          </cell>
          <cell r="AK105">
            <v>0</v>
          </cell>
          <cell r="AL105">
            <v>0</v>
          </cell>
          <cell r="AM105">
            <v>0</v>
          </cell>
          <cell r="AN105">
            <v>0</v>
          </cell>
          <cell r="AO105">
            <v>0</v>
          </cell>
        </row>
        <row r="106">
          <cell r="U106">
            <v>0</v>
          </cell>
          <cell r="X106">
            <v>0</v>
          </cell>
          <cell r="Y106">
            <v>0</v>
          </cell>
          <cell r="AD106">
            <v>0</v>
          </cell>
          <cell r="AG106">
            <v>0</v>
          </cell>
          <cell r="AH106">
            <v>0</v>
          </cell>
          <cell r="AI106">
            <v>0</v>
          </cell>
          <cell r="AJ106">
            <v>0</v>
          </cell>
          <cell r="AK106">
            <v>0</v>
          </cell>
          <cell r="AL106">
            <v>0</v>
          </cell>
          <cell r="AM106">
            <v>0</v>
          </cell>
          <cell r="AN106">
            <v>0</v>
          </cell>
          <cell r="AO106">
            <v>0</v>
          </cell>
        </row>
        <row r="107">
          <cell r="U107">
            <v>0</v>
          </cell>
          <cell r="X107">
            <v>0</v>
          </cell>
          <cell r="Y107">
            <v>0</v>
          </cell>
          <cell r="AD107">
            <v>0</v>
          </cell>
          <cell r="AG107">
            <v>0</v>
          </cell>
          <cell r="AH107">
            <v>0</v>
          </cell>
          <cell r="AI107">
            <v>0</v>
          </cell>
          <cell r="AJ107">
            <v>0</v>
          </cell>
          <cell r="AK107">
            <v>0</v>
          </cell>
          <cell r="AL107">
            <v>0</v>
          </cell>
          <cell r="AM107">
            <v>0</v>
          </cell>
          <cell r="AN107">
            <v>0</v>
          </cell>
          <cell r="AO107">
            <v>0</v>
          </cell>
        </row>
        <row r="108">
          <cell r="U108">
            <v>0</v>
          </cell>
          <cell r="X108">
            <v>0</v>
          </cell>
          <cell r="Y108">
            <v>0</v>
          </cell>
          <cell r="AD108">
            <v>0</v>
          </cell>
          <cell r="AG108">
            <v>0</v>
          </cell>
          <cell r="AH108">
            <v>0</v>
          </cell>
          <cell r="AI108">
            <v>0</v>
          </cell>
          <cell r="AJ108">
            <v>0</v>
          </cell>
          <cell r="AK108">
            <v>0</v>
          </cell>
          <cell r="AL108">
            <v>0</v>
          </cell>
          <cell r="AM108">
            <v>0</v>
          </cell>
          <cell r="AN108">
            <v>0</v>
          </cell>
          <cell r="AO108">
            <v>0</v>
          </cell>
        </row>
        <row r="109">
          <cell r="U109">
            <v>0</v>
          </cell>
          <cell r="X109">
            <v>0</v>
          </cell>
          <cell r="Y109">
            <v>0</v>
          </cell>
          <cell r="AD109">
            <v>0</v>
          </cell>
          <cell r="AG109">
            <v>0</v>
          </cell>
          <cell r="AH109">
            <v>0</v>
          </cell>
          <cell r="AI109">
            <v>0</v>
          </cell>
          <cell r="AJ109">
            <v>0</v>
          </cell>
          <cell r="AK109">
            <v>0</v>
          </cell>
          <cell r="AL109">
            <v>0</v>
          </cell>
          <cell r="AM109">
            <v>0</v>
          </cell>
          <cell r="AN109">
            <v>0</v>
          </cell>
          <cell r="AO109">
            <v>0</v>
          </cell>
        </row>
        <row r="110">
          <cell r="U110">
            <v>0</v>
          </cell>
          <cell r="X110">
            <v>0</v>
          </cell>
          <cell r="Y110">
            <v>0</v>
          </cell>
          <cell r="AD110">
            <v>0</v>
          </cell>
          <cell r="AG110">
            <v>0</v>
          </cell>
          <cell r="AJ110">
            <v>0</v>
          </cell>
          <cell r="AK110">
            <v>0</v>
          </cell>
          <cell r="AL110">
            <v>0</v>
          </cell>
          <cell r="AM110">
            <v>0</v>
          </cell>
          <cell r="AN110">
            <v>0</v>
          </cell>
          <cell r="AO110">
            <v>0</v>
          </cell>
        </row>
        <row r="112">
          <cell r="U112">
            <v>19992691</v>
          </cell>
          <cell r="V112">
            <v>0</v>
          </cell>
          <cell r="W112">
            <v>0</v>
          </cell>
          <cell r="X112">
            <v>19992691</v>
          </cell>
          <cell r="Y112">
            <v>-38527296</v>
          </cell>
          <cell r="Z112">
            <v>0</v>
          </cell>
          <cell r="AA112">
            <v>0</v>
          </cell>
          <cell r="AB112">
            <v>0</v>
          </cell>
          <cell r="AD112">
            <v>-18534605</v>
          </cell>
          <cell r="AE112">
            <v>0</v>
          </cell>
          <cell r="AF112">
            <v>0</v>
          </cell>
          <cell r="AG112">
            <v>-6997441.8500000201</v>
          </cell>
          <cell r="AH112">
            <v>0</v>
          </cell>
          <cell r="AI112">
            <v>0</v>
          </cell>
          <cell r="AJ112">
            <v>-6997441.8500000201</v>
          </cell>
          <cell r="AK112">
            <v>13484553.599999998</v>
          </cell>
          <cell r="AL112">
            <v>0</v>
          </cell>
          <cell r="AM112">
            <v>0</v>
          </cell>
          <cell r="AN112">
            <v>0</v>
          </cell>
          <cell r="AO112">
            <v>6487111.7499999851</v>
          </cell>
          <cell r="AQ112">
            <v>0</v>
          </cell>
          <cell r="AR112">
            <v>3340018.4999999912</v>
          </cell>
        </row>
        <row r="114">
          <cell r="U114">
            <v>69232915</v>
          </cell>
          <cell r="X114">
            <v>69232915</v>
          </cell>
          <cell r="Y114">
            <v>0</v>
          </cell>
          <cell r="AD114">
            <v>69232915</v>
          </cell>
          <cell r="AG114">
            <v>-24231520.25</v>
          </cell>
          <cell r="AH114">
            <v>0</v>
          </cell>
          <cell r="AI114">
            <v>0</v>
          </cell>
          <cell r="AJ114">
            <v>-24231520.25</v>
          </cell>
          <cell r="AK114">
            <v>0</v>
          </cell>
          <cell r="AL114">
            <v>0</v>
          </cell>
          <cell r="AM114">
            <v>0</v>
          </cell>
          <cell r="AN114">
            <v>0</v>
          </cell>
          <cell r="AO114">
            <v>-24231520.25</v>
          </cell>
          <cell r="AQ114">
            <v>0</v>
          </cell>
          <cell r="AR114">
            <v>-24231520.25</v>
          </cell>
        </row>
        <row r="115">
          <cell r="U115">
            <v>0</v>
          </cell>
          <cell r="X115">
            <v>0</v>
          </cell>
          <cell r="Y115">
            <v>0</v>
          </cell>
          <cell r="AD115">
            <v>0</v>
          </cell>
          <cell r="AG115">
            <v>0</v>
          </cell>
          <cell r="AH115">
            <v>0</v>
          </cell>
          <cell r="AI115">
            <v>0</v>
          </cell>
          <cell r="AJ115">
            <v>0</v>
          </cell>
          <cell r="AK115">
            <v>0</v>
          </cell>
          <cell r="AL115">
            <v>0</v>
          </cell>
          <cell r="AM115">
            <v>0</v>
          </cell>
          <cell r="AN115">
            <v>0</v>
          </cell>
          <cell r="AO115">
            <v>0</v>
          </cell>
          <cell r="AQ115">
            <v>0</v>
          </cell>
          <cell r="AR115">
            <v>0</v>
          </cell>
        </row>
        <row r="116">
          <cell r="U116">
            <v>0</v>
          </cell>
          <cell r="X116">
            <v>0</v>
          </cell>
          <cell r="Y116">
            <v>0</v>
          </cell>
          <cell r="AD116">
            <v>0</v>
          </cell>
          <cell r="AG116">
            <v>0</v>
          </cell>
          <cell r="AH116">
            <v>0</v>
          </cell>
          <cell r="AI116">
            <v>0</v>
          </cell>
          <cell r="AJ116">
            <v>0</v>
          </cell>
          <cell r="AK116">
            <v>0</v>
          </cell>
          <cell r="AL116">
            <v>0</v>
          </cell>
          <cell r="AM116">
            <v>0</v>
          </cell>
          <cell r="AN116">
            <v>0</v>
          </cell>
          <cell r="AO116">
            <v>0</v>
          </cell>
          <cell r="AQ116">
            <v>0</v>
          </cell>
          <cell r="AR116">
            <v>0</v>
          </cell>
        </row>
        <row r="117">
          <cell r="U117">
            <v>0</v>
          </cell>
          <cell r="X117">
            <v>0</v>
          </cell>
          <cell r="Y117">
            <v>0</v>
          </cell>
          <cell r="AD117">
            <v>0</v>
          </cell>
          <cell r="AG117">
            <v>0</v>
          </cell>
          <cell r="AH117">
            <v>0</v>
          </cell>
          <cell r="AI117">
            <v>0</v>
          </cell>
          <cell r="AJ117">
            <v>0</v>
          </cell>
          <cell r="AK117">
            <v>0</v>
          </cell>
          <cell r="AL117">
            <v>0</v>
          </cell>
          <cell r="AM117">
            <v>0</v>
          </cell>
          <cell r="AN117">
            <v>0</v>
          </cell>
          <cell r="AO117">
            <v>0</v>
          </cell>
          <cell r="AQ117">
            <v>0</v>
          </cell>
          <cell r="AR117">
            <v>0</v>
          </cell>
        </row>
        <row r="118">
          <cell r="U118">
            <v>-338077</v>
          </cell>
          <cell r="X118">
            <v>-338077</v>
          </cell>
          <cell r="Y118">
            <v>0</v>
          </cell>
          <cell r="AD118">
            <v>-338077</v>
          </cell>
          <cell r="AG118">
            <v>118326.95</v>
          </cell>
          <cell r="AH118">
            <v>0</v>
          </cell>
          <cell r="AI118">
            <v>0</v>
          </cell>
          <cell r="AJ118">
            <v>118326.95</v>
          </cell>
          <cell r="AK118">
            <v>0</v>
          </cell>
          <cell r="AL118">
            <v>0</v>
          </cell>
          <cell r="AM118">
            <v>0</v>
          </cell>
          <cell r="AN118">
            <v>0</v>
          </cell>
          <cell r="AO118">
            <v>118326.95</v>
          </cell>
          <cell r="AQ118">
            <v>0</v>
          </cell>
          <cell r="AR118">
            <v>118326.95</v>
          </cell>
        </row>
        <row r="119">
          <cell r="U119">
            <v>0</v>
          </cell>
          <cell r="X119">
            <v>0</v>
          </cell>
          <cell r="Y119">
            <v>0</v>
          </cell>
          <cell r="AD119">
            <v>0</v>
          </cell>
          <cell r="AG119">
            <v>0</v>
          </cell>
          <cell r="AH119">
            <v>0</v>
          </cell>
          <cell r="AI119">
            <v>0</v>
          </cell>
          <cell r="AJ119">
            <v>0</v>
          </cell>
          <cell r="AK119">
            <v>0</v>
          </cell>
          <cell r="AL119">
            <v>0</v>
          </cell>
          <cell r="AM119">
            <v>0</v>
          </cell>
          <cell r="AN119">
            <v>0</v>
          </cell>
          <cell r="AO119">
            <v>0</v>
          </cell>
          <cell r="AQ119">
            <v>0</v>
          </cell>
          <cell r="AR119">
            <v>0</v>
          </cell>
        </row>
        <row r="120">
          <cell r="U120">
            <v>0</v>
          </cell>
          <cell r="X120">
            <v>0</v>
          </cell>
          <cell r="Y120">
            <v>0</v>
          </cell>
          <cell r="AD120">
            <v>0</v>
          </cell>
          <cell r="AG120">
            <v>0</v>
          </cell>
          <cell r="AJ120">
            <v>0</v>
          </cell>
          <cell r="AK120">
            <v>0</v>
          </cell>
          <cell r="AL120">
            <v>0</v>
          </cell>
          <cell r="AM120">
            <v>0</v>
          </cell>
          <cell r="AN120">
            <v>0</v>
          </cell>
          <cell r="AO120">
            <v>0</v>
          </cell>
          <cell r="AQ120">
            <v>0</v>
          </cell>
          <cell r="AR120">
            <v>0</v>
          </cell>
        </row>
        <row r="121">
          <cell r="U121">
            <v>0</v>
          </cell>
          <cell r="AD121">
            <v>0</v>
          </cell>
          <cell r="AG121">
            <v>0</v>
          </cell>
          <cell r="AO121">
            <v>0</v>
          </cell>
          <cell r="AQ121">
            <v>0</v>
          </cell>
          <cell r="AR121">
            <v>0</v>
          </cell>
        </row>
        <row r="122">
          <cell r="U122">
            <v>68894838</v>
          </cell>
          <cell r="V122">
            <v>0</v>
          </cell>
          <cell r="W122">
            <v>0</v>
          </cell>
          <cell r="X122">
            <v>68894838</v>
          </cell>
          <cell r="Y122">
            <v>0</v>
          </cell>
          <cell r="Z122">
            <v>0</v>
          </cell>
          <cell r="AA122">
            <v>0</v>
          </cell>
          <cell r="AB122">
            <v>0</v>
          </cell>
          <cell r="AD122">
            <v>68894838</v>
          </cell>
          <cell r="AE122">
            <v>0</v>
          </cell>
          <cell r="AF122">
            <v>0</v>
          </cell>
          <cell r="AG122">
            <v>-24113193.300000001</v>
          </cell>
          <cell r="AH122">
            <v>0</v>
          </cell>
          <cell r="AI122">
            <v>0</v>
          </cell>
          <cell r="AJ122">
            <v>-24113193.300000001</v>
          </cell>
          <cell r="AK122">
            <v>0</v>
          </cell>
          <cell r="AL122">
            <v>0</v>
          </cell>
          <cell r="AM122">
            <v>0</v>
          </cell>
          <cell r="AN122">
            <v>0</v>
          </cell>
          <cell r="AO122">
            <v>-24113193.300000001</v>
          </cell>
          <cell r="AQ122">
            <v>0</v>
          </cell>
          <cell r="AR122">
            <v>-24113193.300000001</v>
          </cell>
        </row>
        <row r="123">
          <cell r="U123">
            <v>88887529</v>
          </cell>
          <cell r="V123">
            <v>0</v>
          </cell>
          <cell r="W123">
            <v>0</v>
          </cell>
          <cell r="X123">
            <v>88887529</v>
          </cell>
          <cell r="Y123">
            <v>-38527296</v>
          </cell>
          <cell r="Z123">
            <v>0</v>
          </cell>
          <cell r="AA123">
            <v>0</v>
          </cell>
          <cell r="AB123">
            <v>0</v>
          </cell>
          <cell r="AD123">
            <v>50360233</v>
          </cell>
          <cell r="AE123">
            <v>0</v>
          </cell>
          <cell r="AF123">
            <v>0</v>
          </cell>
          <cell r="AG123">
            <v>-31110635.150000021</v>
          </cell>
          <cell r="AH123">
            <v>0</v>
          </cell>
          <cell r="AI123">
            <v>0</v>
          </cell>
          <cell r="AJ123">
            <v>-31110635.150000021</v>
          </cell>
          <cell r="AK123">
            <v>13484553.599999998</v>
          </cell>
          <cell r="AL123">
            <v>0</v>
          </cell>
          <cell r="AM123">
            <v>0</v>
          </cell>
          <cell r="AN123">
            <v>0</v>
          </cell>
          <cell r="AO123">
            <v>-17626081.550000016</v>
          </cell>
          <cell r="AQ123">
            <v>0</v>
          </cell>
          <cell r="AR123">
            <v>-20773174.800000008</v>
          </cell>
        </row>
        <row r="124">
          <cell r="AD124">
            <v>17626081.549999997</v>
          </cell>
        </row>
        <row r="125">
          <cell r="AO125">
            <v>-17626081.550000023</v>
          </cell>
        </row>
        <row r="127">
          <cell r="AB127" t="str">
            <v>Diff = state NOL</v>
          </cell>
          <cell r="AD127">
            <v>26812172</v>
          </cell>
          <cell r="AG127">
            <v>31110635.149999999</v>
          </cell>
          <cell r="AO127">
            <v>17626081.549999997</v>
          </cell>
        </row>
        <row r="128">
          <cell r="U128">
            <v>88887529</v>
          </cell>
          <cell r="V128">
            <v>0</v>
          </cell>
          <cell r="W128">
            <v>0</v>
          </cell>
          <cell r="X128">
            <v>88887529</v>
          </cell>
          <cell r="Y128">
            <v>-38527296</v>
          </cell>
          <cell r="Z128">
            <v>0</v>
          </cell>
          <cell r="AA128">
            <v>0</v>
          </cell>
          <cell r="AB128">
            <v>0</v>
          </cell>
          <cell r="AC128">
            <v>0</v>
          </cell>
          <cell r="AD128">
            <v>67986314.549999997</v>
          </cell>
          <cell r="AE128">
            <v>0</v>
          </cell>
          <cell r="AF128">
            <v>0</v>
          </cell>
          <cell r="AG128">
            <v>-31110635.150000021</v>
          </cell>
          <cell r="AH128">
            <v>0</v>
          </cell>
          <cell r="AI128">
            <v>0</v>
          </cell>
          <cell r="AJ128">
            <v>-31110635.150000021</v>
          </cell>
          <cell r="AK128">
            <v>13484553.599999998</v>
          </cell>
          <cell r="AL128">
            <v>0</v>
          </cell>
          <cell r="AM128">
            <v>0</v>
          </cell>
          <cell r="AN128">
            <v>0</v>
          </cell>
          <cell r="AO128">
            <v>-17626081.550000016</v>
          </cell>
          <cell r="AP128">
            <v>0</v>
          </cell>
          <cell r="AQ128">
            <v>0</v>
          </cell>
          <cell r="AR128">
            <v>-20773174.800000008</v>
          </cell>
        </row>
        <row r="151">
          <cell r="V151">
            <v>0</v>
          </cell>
          <cell r="W151">
            <v>0</v>
          </cell>
        </row>
        <row r="152">
          <cell r="X152">
            <v>0</v>
          </cell>
          <cell r="AQ152">
            <v>0</v>
          </cell>
          <cell r="AR152">
            <v>0</v>
          </cell>
        </row>
        <row r="153">
          <cell r="X153">
            <v>0</v>
          </cell>
        </row>
        <row r="154">
          <cell r="X154">
            <v>0</v>
          </cell>
        </row>
        <row r="155">
          <cell r="U155">
            <v>-4901406.1100000003</v>
          </cell>
          <cell r="X155">
            <v>-4901406.1100000003</v>
          </cell>
          <cell r="Y155">
            <v>24310.069999999949</v>
          </cell>
          <cell r="AD155">
            <v>-4877096.04</v>
          </cell>
          <cell r="AG155">
            <v>1715492.1385000001</v>
          </cell>
          <cell r="AH155">
            <v>0</v>
          </cell>
          <cell r="AI155">
            <v>0</v>
          </cell>
          <cell r="AJ155">
            <v>1715492.1385000001</v>
          </cell>
          <cell r="AK155">
            <v>-8508.5244999999813</v>
          </cell>
          <cell r="AL155">
            <v>0</v>
          </cell>
          <cell r="AM155">
            <v>0</v>
          </cell>
          <cell r="AN155">
            <v>0</v>
          </cell>
          <cell r="AO155">
            <v>1706983.6140000001</v>
          </cell>
          <cell r="AQ155">
            <v>0</v>
          </cell>
          <cell r="AR155">
            <v>1706983.6140000001</v>
          </cell>
        </row>
        <row r="156">
          <cell r="U156">
            <v>25868627.77</v>
          </cell>
          <cell r="X156">
            <v>25868627.77</v>
          </cell>
          <cell r="Y156">
            <v>0.22999999998137355</v>
          </cell>
          <cell r="AD156">
            <v>25868628</v>
          </cell>
          <cell r="AG156">
            <v>-9054019.7194999978</v>
          </cell>
          <cell r="AH156">
            <v>0</v>
          </cell>
          <cell r="AI156">
            <v>0</v>
          </cell>
          <cell r="AJ156">
            <v>-9054019.7194999978</v>
          </cell>
          <cell r="AK156">
            <v>-8.0499999993480731E-2</v>
          </cell>
          <cell r="AL156">
            <v>0</v>
          </cell>
          <cell r="AM156">
            <v>0</v>
          </cell>
          <cell r="AN156">
            <v>0</v>
          </cell>
          <cell r="AO156">
            <v>-9054019.799999997</v>
          </cell>
          <cell r="AP156">
            <v>1</v>
          </cell>
          <cell r="AQ156">
            <v>-9054019.799999997</v>
          </cell>
          <cell r="AR156">
            <v>0</v>
          </cell>
        </row>
        <row r="157">
          <cell r="U157">
            <v>-5274957.8499999996</v>
          </cell>
          <cell r="X157">
            <v>-5274957.8499999996</v>
          </cell>
          <cell r="Y157">
            <v>181476</v>
          </cell>
          <cell r="AD157">
            <v>-5093481.8499999996</v>
          </cell>
          <cell r="AG157">
            <v>1846235.2474999996</v>
          </cell>
          <cell r="AH157">
            <v>0</v>
          </cell>
          <cell r="AI157">
            <v>0</v>
          </cell>
          <cell r="AJ157">
            <v>1846235.2474999996</v>
          </cell>
          <cell r="AK157">
            <v>-63516.6</v>
          </cell>
          <cell r="AL157">
            <v>0</v>
          </cell>
          <cell r="AM157">
            <v>0</v>
          </cell>
          <cell r="AN157">
            <v>0</v>
          </cell>
          <cell r="AO157">
            <v>1782718.6474999995</v>
          </cell>
          <cell r="AQ157">
            <v>0</v>
          </cell>
          <cell r="AR157">
            <v>1782718.6474999995</v>
          </cell>
        </row>
        <row r="158">
          <cell r="X158">
            <v>0</v>
          </cell>
          <cell r="Y158">
            <v>-181476</v>
          </cell>
          <cell r="AD158">
            <v>-181476</v>
          </cell>
          <cell r="AH158">
            <v>0</v>
          </cell>
          <cell r="AI158">
            <v>0</v>
          </cell>
          <cell r="AJ158">
            <v>0</v>
          </cell>
          <cell r="AK158">
            <v>63516.6</v>
          </cell>
          <cell r="AL158">
            <v>0</v>
          </cell>
          <cell r="AM158">
            <v>0</v>
          </cell>
          <cell r="AN158">
            <v>0</v>
          </cell>
          <cell r="AO158">
            <v>63516.6</v>
          </cell>
          <cell r="AQ158">
            <v>0</v>
          </cell>
          <cell r="AR158">
            <v>63516.6</v>
          </cell>
        </row>
        <row r="159">
          <cell r="U159">
            <v>-17640351.310000002</v>
          </cell>
          <cell r="X159">
            <v>-17640351.310000002</v>
          </cell>
          <cell r="Y159">
            <v>0</v>
          </cell>
          <cell r="AD159">
            <v>-17640351.310000002</v>
          </cell>
          <cell r="AG159">
            <v>6174122.9584999997</v>
          </cell>
          <cell r="AH159">
            <v>0</v>
          </cell>
          <cell r="AI159">
            <v>0</v>
          </cell>
          <cell r="AJ159">
            <v>6174122.9584999997</v>
          </cell>
          <cell r="AK159">
            <v>0</v>
          </cell>
          <cell r="AL159">
            <v>0</v>
          </cell>
          <cell r="AM159">
            <v>0</v>
          </cell>
          <cell r="AN159">
            <v>0</v>
          </cell>
          <cell r="AO159">
            <v>6174122.9584999997</v>
          </cell>
          <cell r="AQ159">
            <v>0</v>
          </cell>
          <cell r="AR159">
            <v>6174122.9584999997</v>
          </cell>
        </row>
        <row r="160">
          <cell r="U160">
            <v>-1500000</v>
          </cell>
          <cell r="X160">
            <v>-1500000</v>
          </cell>
          <cell r="Y160">
            <v>0</v>
          </cell>
          <cell r="AD160">
            <v>-1500000</v>
          </cell>
          <cell r="AG160">
            <v>525000</v>
          </cell>
          <cell r="AH160">
            <v>0</v>
          </cell>
          <cell r="AI160">
            <v>0</v>
          </cell>
          <cell r="AJ160">
            <v>525000</v>
          </cell>
          <cell r="AK160">
            <v>0</v>
          </cell>
          <cell r="AL160">
            <v>0</v>
          </cell>
          <cell r="AM160">
            <v>0</v>
          </cell>
          <cell r="AN160">
            <v>0</v>
          </cell>
          <cell r="AO160">
            <v>525000</v>
          </cell>
        </row>
        <row r="161">
          <cell r="U161">
            <v>8.9999999850988388E-2</v>
          </cell>
          <cell r="X161">
            <v>8.9999999850988388E-2</v>
          </cell>
          <cell r="Y161">
            <v>-878608</v>
          </cell>
          <cell r="AD161">
            <v>-878607.91000000015</v>
          </cell>
          <cell r="AG161">
            <v>-3.1499999947845934E-2</v>
          </cell>
          <cell r="AH161">
            <v>0</v>
          </cell>
          <cell r="AI161">
            <v>0</v>
          </cell>
          <cell r="AJ161">
            <v>-3.1499999947845934E-2</v>
          </cell>
          <cell r="AK161">
            <v>307512.8</v>
          </cell>
          <cell r="AL161">
            <v>0</v>
          </cell>
          <cell r="AM161">
            <v>0</v>
          </cell>
          <cell r="AN161">
            <v>0</v>
          </cell>
          <cell r="AO161">
            <v>307512.76850000006</v>
          </cell>
          <cell r="AQ161">
            <v>0</v>
          </cell>
          <cell r="AR161">
            <v>307512.76850000006</v>
          </cell>
        </row>
        <row r="162">
          <cell r="U162">
            <v>0</v>
          </cell>
          <cell r="X162">
            <v>0</v>
          </cell>
          <cell r="Y162">
            <v>0</v>
          </cell>
          <cell r="AD162">
            <v>0</v>
          </cell>
          <cell r="AG162">
            <v>0</v>
          </cell>
          <cell r="AH162">
            <v>0</v>
          </cell>
          <cell r="AI162">
            <v>0</v>
          </cell>
          <cell r="AJ162">
            <v>0</v>
          </cell>
          <cell r="AK162">
            <v>0</v>
          </cell>
          <cell r="AL162">
            <v>0</v>
          </cell>
          <cell r="AM162">
            <v>0</v>
          </cell>
          <cell r="AN162">
            <v>0</v>
          </cell>
          <cell r="AO162">
            <v>0</v>
          </cell>
        </row>
        <row r="163">
          <cell r="U163">
            <v>-33920</v>
          </cell>
          <cell r="X163">
            <v>-33920</v>
          </cell>
          <cell r="Y163">
            <v>0</v>
          </cell>
          <cell r="AD163">
            <v>-33920</v>
          </cell>
          <cell r="AG163">
            <v>11872</v>
          </cell>
          <cell r="AH163">
            <v>0</v>
          </cell>
          <cell r="AI163">
            <v>0</v>
          </cell>
          <cell r="AJ163">
            <v>11872</v>
          </cell>
          <cell r="AK163">
            <v>0</v>
          </cell>
          <cell r="AL163">
            <v>0</v>
          </cell>
          <cell r="AM163">
            <v>0</v>
          </cell>
          <cell r="AN163">
            <v>0</v>
          </cell>
          <cell r="AO163">
            <v>11872</v>
          </cell>
          <cell r="AQ163">
            <v>0</v>
          </cell>
          <cell r="AR163">
            <v>11872</v>
          </cell>
        </row>
        <row r="164">
          <cell r="U164">
            <v>-4739260.83</v>
          </cell>
          <cell r="X164">
            <v>-4739260.83</v>
          </cell>
          <cell r="Y164">
            <v>-0.16999999999825377</v>
          </cell>
          <cell r="AD164">
            <v>-4739261</v>
          </cell>
          <cell r="AG164">
            <v>1658741.2904999999</v>
          </cell>
          <cell r="AH164">
            <v>0</v>
          </cell>
          <cell r="AI164">
            <v>0</v>
          </cell>
          <cell r="AJ164">
            <v>1658741.2904999999</v>
          </cell>
          <cell r="AK164">
            <v>5.9499999999388813E-2</v>
          </cell>
          <cell r="AL164">
            <v>0</v>
          </cell>
          <cell r="AM164">
            <v>0</v>
          </cell>
          <cell r="AN164">
            <v>0</v>
          </cell>
          <cell r="AO164">
            <v>1658741.3499999999</v>
          </cell>
          <cell r="AQ164">
            <v>0</v>
          </cell>
          <cell r="AR164">
            <v>1658741.3499999999</v>
          </cell>
        </row>
        <row r="165">
          <cell r="U165">
            <v>-3014510</v>
          </cell>
          <cell r="X165">
            <v>-3014510</v>
          </cell>
          <cell r="Y165">
            <v>0</v>
          </cell>
          <cell r="AD165">
            <v>-3014510</v>
          </cell>
          <cell r="AG165">
            <v>1055078.5</v>
          </cell>
          <cell r="AH165">
            <v>0</v>
          </cell>
          <cell r="AI165">
            <v>0</v>
          </cell>
          <cell r="AJ165">
            <v>1055078.5</v>
          </cell>
          <cell r="AK165">
            <v>0</v>
          </cell>
          <cell r="AL165">
            <v>0</v>
          </cell>
          <cell r="AM165">
            <v>0</v>
          </cell>
          <cell r="AN165">
            <v>0</v>
          </cell>
          <cell r="AO165">
            <v>1055078.5</v>
          </cell>
        </row>
        <row r="166">
          <cell r="U166">
            <v>-695007.5</v>
          </cell>
          <cell r="X166">
            <v>-695007.5</v>
          </cell>
          <cell r="Y166">
            <v>0.5</v>
          </cell>
          <cell r="AD166">
            <v>-695007</v>
          </cell>
          <cell r="AG166">
            <v>243252.625</v>
          </cell>
          <cell r="AH166">
            <v>0</v>
          </cell>
          <cell r="AI166">
            <v>0</v>
          </cell>
          <cell r="AJ166">
            <v>243252.625</v>
          </cell>
          <cell r="AK166">
            <v>-0.17499999999999999</v>
          </cell>
          <cell r="AL166">
            <v>0</v>
          </cell>
          <cell r="AM166">
            <v>0</v>
          </cell>
          <cell r="AN166">
            <v>0</v>
          </cell>
          <cell r="AO166">
            <v>243252.45</v>
          </cell>
          <cell r="AQ166">
            <v>0</v>
          </cell>
          <cell r="AR166">
            <v>243252.45</v>
          </cell>
        </row>
        <row r="167">
          <cell r="U167">
            <v>1882131</v>
          </cell>
          <cell r="X167">
            <v>1882131</v>
          </cell>
          <cell r="Y167">
            <v>297684</v>
          </cell>
          <cell r="AD167">
            <v>2179815</v>
          </cell>
          <cell r="AG167">
            <v>-658745.85</v>
          </cell>
          <cell r="AH167">
            <v>0</v>
          </cell>
          <cell r="AI167">
            <v>0</v>
          </cell>
          <cell r="AJ167">
            <v>-658745.85</v>
          </cell>
          <cell r="AK167">
            <v>-104189.4</v>
          </cell>
          <cell r="AL167">
            <v>0</v>
          </cell>
          <cell r="AM167">
            <v>0</v>
          </cell>
          <cell r="AN167">
            <v>0</v>
          </cell>
          <cell r="AO167">
            <v>-762935.25</v>
          </cell>
          <cell r="AQ167">
            <v>0</v>
          </cell>
          <cell r="AR167">
            <v>-762935.25</v>
          </cell>
        </row>
        <row r="168">
          <cell r="U168">
            <v>-7661898</v>
          </cell>
          <cell r="X168">
            <v>-7661898</v>
          </cell>
          <cell r="Y168">
            <v>0</v>
          </cell>
          <cell r="AD168">
            <v>-7661898</v>
          </cell>
          <cell r="AG168">
            <v>2681664.2999999998</v>
          </cell>
          <cell r="AH168">
            <v>0</v>
          </cell>
          <cell r="AI168">
            <v>0</v>
          </cell>
          <cell r="AJ168">
            <v>2681664.2999999998</v>
          </cell>
          <cell r="AK168">
            <v>0</v>
          </cell>
          <cell r="AL168">
            <v>0</v>
          </cell>
          <cell r="AM168">
            <v>0</v>
          </cell>
          <cell r="AN168">
            <v>0</v>
          </cell>
          <cell r="AO168">
            <v>2681664.2999999998</v>
          </cell>
          <cell r="AQ168">
            <v>0</v>
          </cell>
          <cell r="AR168">
            <v>2681664.2999999998</v>
          </cell>
        </row>
        <row r="169">
          <cell r="U169">
            <v>-976292</v>
          </cell>
          <cell r="X169">
            <v>-976292</v>
          </cell>
          <cell r="Y169">
            <v>-303962</v>
          </cell>
          <cell r="AD169">
            <v>-1280254</v>
          </cell>
          <cell r="AG169">
            <v>341702.2</v>
          </cell>
          <cell r="AH169">
            <v>0</v>
          </cell>
          <cell r="AI169">
            <v>0</v>
          </cell>
          <cell r="AJ169">
            <v>341702.2</v>
          </cell>
          <cell r="AK169">
            <v>106386.7</v>
          </cell>
          <cell r="AL169">
            <v>0</v>
          </cell>
          <cell r="AM169">
            <v>0</v>
          </cell>
          <cell r="AN169">
            <v>0</v>
          </cell>
          <cell r="AO169">
            <v>448088.9</v>
          </cell>
          <cell r="AQ169">
            <v>0</v>
          </cell>
          <cell r="AR169">
            <v>448088.9</v>
          </cell>
        </row>
        <row r="170">
          <cell r="U170">
            <v>-766088.12</v>
          </cell>
          <cell r="X170">
            <v>-766088.12</v>
          </cell>
          <cell r="Y170">
            <v>153838</v>
          </cell>
          <cell r="AD170">
            <v>-612250.12</v>
          </cell>
          <cell r="AG170">
            <v>268130.842</v>
          </cell>
          <cell r="AH170">
            <v>0</v>
          </cell>
          <cell r="AI170">
            <v>0</v>
          </cell>
          <cell r="AJ170">
            <v>268130.842</v>
          </cell>
          <cell r="AK170">
            <v>-53843.299999999996</v>
          </cell>
          <cell r="AL170">
            <v>0</v>
          </cell>
          <cell r="AM170">
            <v>0</v>
          </cell>
          <cell r="AN170">
            <v>0</v>
          </cell>
          <cell r="AO170">
            <v>214287.54200000002</v>
          </cell>
          <cell r="AQ170">
            <v>0</v>
          </cell>
          <cell r="AR170">
            <v>214287.54200000002</v>
          </cell>
        </row>
        <row r="171">
          <cell r="U171">
            <v>0</v>
          </cell>
          <cell r="X171">
            <v>0</v>
          </cell>
          <cell r="Y171">
            <v>-153838</v>
          </cell>
          <cell r="AD171">
            <v>-153838</v>
          </cell>
          <cell r="AG171">
            <v>0</v>
          </cell>
          <cell r="AH171">
            <v>0</v>
          </cell>
          <cell r="AI171">
            <v>0</v>
          </cell>
          <cell r="AJ171">
            <v>0</v>
          </cell>
          <cell r="AK171">
            <v>53843.299999999996</v>
          </cell>
          <cell r="AL171">
            <v>0</v>
          </cell>
          <cell r="AM171">
            <v>0</v>
          </cell>
          <cell r="AN171">
            <v>0</v>
          </cell>
          <cell r="AO171">
            <v>53843.299999999996</v>
          </cell>
        </row>
        <row r="172">
          <cell r="U172">
            <v>-1048217.92</v>
          </cell>
          <cell r="X172">
            <v>-1048217.92</v>
          </cell>
          <cell r="Y172">
            <v>14597</v>
          </cell>
          <cell r="AD172">
            <v>-1033620.92</v>
          </cell>
          <cell r="AG172">
            <v>366876.272</v>
          </cell>
          <cell r="AH172">
            <v>0</v>
          </cell>
          <cell r="AI172">
            <v>0</v>
          </cell>
          <cell r="AJ172">
            <v>366876.272</v>
          </cell>
          <cell r="AK172">
            <v>-5108.95</v>
          </cell>
          <cell r="AL172">
            <v>0</v>
          </cell>
          <cell r="AM172">
            <v>0</v>
          </cell>
          <cell r="AN172">
            <v>0</v>
          </cell>
          <cell r="AO172">
            <v>361767.32199999999</v>
          </cell>
          <cell r="AQ172">
            <v>0</v>
          </cell>
          <cell r="AR172">
            <v>361767.32199999999</v>
          </cell>
        </row>
        <row r="173">
          <cell r="U173">
            <v>-5162.92</v>
          </cell>
          <cell r="X173">
            <v>-5162.92</v>
          </cell>
          <cell r="Y173">
            <v>-183614</v>
          </cell>
          <cell r="AD173">
            <v>-188776.92</v>
          </cell>
          <cell r="AG173">
            <v>1807.0219999999999</v>
          </cell>
          <cell r="AH173">
            <v>0</v>
          </cell>
          <cell r="AI173">
            <v>0</v>
          </cell>
          <cell r="AJ173">
            <v>1807.0219999999999</v>
          </cell>
          <cell r="AK173">
            <v>64264.899999999994</v>
          </cell>
          <cell r="AL173">
            <v>0</v>
          </cell>
          <cell r="AM173">
            <v>0</v>
          </cell>
          <cell r="AN173">
            <v>0</v>
          </cell>
          <cell r="AO173">
            <v>66071.921999999991</v>
          </cell>
          <cell r="AQ173">
            <v>0</v>
          </cell>
          <cell r="AR173">
            <v>66071.921999999991</v>
          </cell>
        </row>
        <row r="174">
          <cell r="U174">
            <v>-10910</v>
          </cell>
          <cell r="X174">
            <v>-10910</v>
          </cell>
          <cell r="Y174">
            <v>0</v>
          </cell>
          <cell r="AD174">
            <v>-10910</v>
          </cell>
          <cell r="AG174">
            <v>3818.5</v>
          </cell>
          <cell r="AH174">
            <v>0</v>
          </cell>
          <cell r="AI174">
            <v>0</v>
          </cell>
          <cell r="AJ174">
            <v>3818.5</v>
          </cell>
          <cell r="AK174">
            <v>0</v>
          </cell>
          <cell r="AL174">
            <v>0</v>
          </cell>
          <cell r="AM174">
            <v>0</v>
          </cell>
          <cell r="AN174">
            <v>0</v>
          </cell>
          <cell r="AO174">
            <v>3818.5</v>
          </cell>
          <cell r="AQ174">
            <v>0</v>
          </cell>
          <cell r="AR174">
            <v>3818.5</v>
          </cell>
        </row>
        <row r="175">
          <cell r="U175">
            <v>3300000</v>
          </cell>
          <cell r="X175">
            <v>3300000</v>
          </cell>
          <cell r="Y175">
            <v>0</v>
          </cell>
          <cell r="AD175">
            <v>3300000</v>
          </cell>
          <cell r="AG175">
            <v>-1155000</v>
          </cell>
          <cell r="AH175">
            <v>0</v>
          </cell>
          <cell r="AI175">
            <v>0</v>
          </cell>
          <cell r="AJ175">
            <v>-1155000</v>
          </cell>
          <cell r="AK175">
            <v>0</v>
          </cell>
          <cell r="AL175">
            <v>0</v>
          </cell>
          <cell r="AM175">
            <v>0</v>
          </cell>
          <cell r="AN175">
            <v>0</v>
          </cell>
          <cell r="AO175">
            <v>-1155000</v>
          </cell>
        </row>
        <row r="176">
          <cell r="U176">
            <v>5826301</v>
          </cell>
          <cell r="X176">
            <v>5826301</v>
          </cell>
          <cell r="Y176">
            <v>0</v>
          </cell>
          <cell r="AD176">
            <v>5826301</v>
          </cell>
          <cell r="AG176">
            <v>-2039205.35</v>
          </cell>
          <cell r="AH176">
            <v>0</v>
          </cell>
          <cell r="AI176">
            <v>0</v>
          </cell>
          <cell r="AJ176">
            <v>-2039205.35</v>
          </cell>
          <cell r="AK176">
            <v>0</v>
          </cell>
          <cell r="AL176">
            <v>0</v>
          </cell>
          <cell r="AM176">
            <v>0</v>
          </cell>
          <cell r="AN176">
            <v>0</v>
          </cell>
          <cell r="AO176">
            <v>-2039205.35</v>
          </cell>
          <cell r="AQ176">
            <v>0</v>
          </cell>
          <cell r="AR176">
            <v>-2039205.35</v>
          </cell>
        </row>
        <row r="177">
          <cell r="U177">
            <v>125936</v>
          </cell>
          <cell r="X177">
            <v>125936</v>
          </cell>
          <cell r="Y177">
            <v>0</v>
          </cell>
          <cell r="AD177">
            <v>125936</v>
          </cell>
          <cell r="AG177">
            <v>-44077.599999999999</v>
          </cell>
          <cell r="AH177">
            <v>0</v>
          </cell>
          <cell r="AI177">
            <v>0</v>
          </cell>
          <cell r="AJ177">
            <v>-44077.599999999999</v>
          </cell>
          <cell r="AK177">
            <v>0</v>
          </cell>
          <cell r="AL177">
            <v>0</v>
          </cell>
          <cell r="AM177">
            <v>0</v>
          </cell>
          <cell r="AN177">
            <v>0</v>
          </cell>
          <cell r="AO177">
            <v>-44077.599999999999</v>
          </cell>
          <cell r="AQ177">
            <v>0</v>
          </cell>
          <cell r="AR177">
            <v>-44077.599999999999</v>
          </cell>
        </row>
        <row r="178">
          <cell r="U178">
            <v>-1838071</v>
          </cell>
          <cell r="X178">
            <v>-1838071</v>
          </cell>
          <cell r="Y178">
            <v>0</v>
          </cell>
          <cell r="AD178">
            <v>-1838071</v>
          </cell>
          <cell r="AG178">
            <v>643324.85</v>
          </cell>
          <cell r="AH178">
            <v>0</v>
          </cell>
          <cell r="AI178">
            <v>0</v>
          </cell>
          <cell r="AJ178">
            <v>643324.85</v>
          </cell>
          <cell r="AK178">
            <v>0</v>
          </cell>
          <cell r="AL178">
            <v>0</v>
          </cell>
          <cell r="AM178">
            <v>0</v>
          </cell>
          <cell r="AN178">
            <v>0</v>
          </cell>
          <cell r="AO178">
            <v>643324.85</v>
          </cell>
          <cell r="AQ178">
            <v>0</v>
          </cell>
          <cell r="AR178">
            <v>643324.85</v>
          </cell>
        </row>
        <row r="179">
          <cell r="U179">
            <v>0</v>
          </cell>
          <cell r="X179">
            <v>0</v>
          </cell>
          <cell r="Y179">
            <v>-760165</v>
          </cell>
          <cell r="AD179">
            <v>-760165</v>
          </cell>
          <cell r="AH179">
            <v>0</v>
          </cell>
          <cell r="AI179">
            <v>0</v>
          </cell>
          <cell r="AJ179">
            <v>0</v>
          </cell>
          <cell r="AK179">
            <v>266057.75</v>
          </cell>
          <cell r="AL179">
            <v>0</v>
          </cell>
          <cell r="AM179">
            <v>0</v>
          </cell>
          <cell r="AN179">
            <v>0</v>
          </cell>
          <cell r="AO179">
            <v>266057.75</v>
          </cell>
        </row>
        <row r="180">
          <cell r="U180">
            <v>0</v>
          </cell>
          <cell r="X180">
            <v>0</v>
          </cell>
          <cell r="Y180">
            <v>7780187</v>
          </cell>
          <cell r="AD180">
            <v>7780187</v>
          </cell>
          <cell r="AG180">
            <v>0</v>
          </cell>
          <cell r="AH180">
            <v>0</v>
          </cell>
          <cell r="AI180">
            <v>0</v>
          </cell>
          <cell r="AJ180">
            <v>0</v>
          </cell>
          <cell r="AK180">
            <v>-2723065.4499999997</v>
          </cell>
          <cell r="AL180">
            <v>0</v>
          </cell>
          <cell r="AM180">
            <v>0</v>
          </cell>
          <cell r="AN180">
            <v>0</v>
          </cell>
          <cell r="AO180">
            <v>-2723065.4499999997</v>
          </cell>
        </row>
        <row r="181">
          <cell r="U181">
            <v>-653729</v>
          </cell>
          <cell r="X181">
            <v>-653729</v>
          </cell>
          <cell r="Y181">
            <v>-6296818</v>
          </cell>
          <cell r="AD181">
            <v>-6950547</v>
          </cell>
          <cell r="AG181">
            <v>228805.15</v>
          </cell>
          <cell r="AH181">
            <v>0</v>
          </cell>
          <cell r="AI181">
            <v>0</v>
          </cell>
          <cell r="AJ181">
            <v>228805.15</v>
          </cell>
          <cell r="AK181">
            <v>2203886.2999999998</v>
          </cell>
          <cell r="AL181">
            <v>0</v>
          </cell>
          <cell r="AM181">
            <v>0</v>
          </cell>
          <cell r="AN181">
            <v>0</v>
          </cell>
          <cell r="AO181">
            <v>2432691.4499999997</v>
          </cell>
          <cell r="AQ181">
            <v>0</v>
          </cell>
          <cell r="AR181">
            <v>2432691.4499999997</v>
          </cell>
        </row>
        <row r="182">
          <cell r="U182">
            <v>1940403</v>
          </cell>
          <cell r="X182">
            <v>1940403</v>
          </cell>
          <cell r="Y182">
            <v>749826</v>
          </cell>
          <cell r="AD182">
            <v>2690229</v>
          </cell>
          <cell r="AG182">
            <v>-679141.05</v>
          </cell>
          <cell r="AH182">
            <v>0</v>
          </cell>
          <cell r="AI182">
            <v>0</v>
          </cell>
          <cell r="AJ182">
            <v>-679141.05</v>
          </cell>
          <cell r="AK182">
            <v>-262439.09999999998</v>
          </cell>
          <cell r="AL182">
            <v>0</v>
          </cell>
          <cell r="AM182">
            <v>0</v>
          </cell>
          <cell r="AN182">
            <v>0</v>
          </cell>
          <cell r="AO182">
            <v>-941580.15</v>
          </cell>
          <cell r="AQ182">
            <v>0</v>
          </cell>
          <cell r="AR182">
            <v>-941580.15</v>
          </cell>
        </row>
        <row r="183">
          <cell r="X183">
            <v>0</v>
          </cell>
          <cell r="Y183">
            <v>-451655</v>
          </cell>
          <cell r="AD183">
            <v>-451655</v>
          </cell>
          <cell r="AH183">
            <v>0</v>
          </cell>
          <cell r="AI183">
            <v>0</v>
          </cell>
          <cell r="AJ183">
            <v>0</v>
          </cell>
          <cell r="AK183">
            <v>158079.25</v>
          </cell>
          <cell r="AL183">
            <v>0</v>
          </cell>
          <cell r="AM183">
            <v>0</v>
          </cell>
          <cell r="AN183">
            <v>0</v>
          </cell>
          <cell r="AO183">
            <v>158079.25</v>
          </cell>
          <cell r="AQ183">
            <v>0</v>
          </cell>
          <cell r="AR183">
            <v>158079.25</v>
          </cell>
        </row>
        <row r="184">
          <cell r="U184">
            <v>-1921335</v>
          </cell>
          <cell r="X184">
            <v>-1921335</v>
          </cell>
          <cell r="Y184">
            <v>0</v>
          </cell>
          <cell r="AD184">
            <v>-1921335</v>
          </cell>
          <cell r="AG184">
            <v>672467.25</v>
          </cell>
          <cell r="AH184">
            <v>0</v>
          </cell>
          <cell r="AI184">
            <v>0</v>
          </cell>
          <cell r="AJ184">
            <v>672467.25</v>
          </cell>
          <cell r="AK184">
            <v>0</v>
          </cell>
          <cell r="AL184">
            <v>0</v>
          </cell>
          <cell r="AM184">
            <v>0</v>
          </cell>
          <cell r="AN184">
            <v>0</v>
          </cell>
          <cell r="AO184">
            <v>672467.25</v>
          </cell>
        </row>
        <row r="185">
          <cell r="U185">
            <v>-37655</v>
          </cell>
          <cell r="X185">
            <v>-37655</v>
          </cell>
          <cell r="Y185">
            <v>0</v>
          </cell>
          <cell r="AD185">
            <v>-37655</v>
          </cell>
          <cell r="AG185">
            <v>13179.25</v>
          </cell>
          <cell r="AH185">
            <v>0</v>
          </cell>
          <cell r="AI185">
            <v>0</v>
          </cell>
          <cell r="AJ185">
            <v>13179.25</v>
          </cell>
          <cell r="AK185">
            <v>0</v>
          </cell>
          <cell r="AL185">
            <v>0</v>
          </cell>
          <cell r="AM185">
            <v>0</v>
          </cell>
          <cell r="AN185">
            <v>0</v>
          </cell>
          <cell r="AO185">
            <v>13179.25</v>
          </cell>
        </row>
        <row r="186">
          <cell r="U186">
            <v>0</v>
          </cell>
          <cell r="X186">
            <v>0</v>
          </cell>
          <cell r="Y186">
            <v>-501128</v>
          </cell>
          <cell r="AD186">
            <v>-501128</v>
          </cell>
          <cell r="AH186">
            <v>0</v>
          </cell>
          <cell r="AI186">
            <v>0</v>
          </cell>
          <cell r="AJ186">
            <v>0</v>
          </cell>
          <cell r="AK186">
            <v>175394.8</v>
          </cell>
          <cell r="AL186">
            <v>0</v>
          </cell>
          <cell r="AM186">
            <v>0</v>
          </cell>
          <cell r="AN186">
            <v>0</v>
          </cell>
          <cell r="AO186">
            <v>175394.8</v>
          </cell>
          <cell r="AQ186">
            <v>0</v>
          </cell>
          <cell r="AR186">
            <v>175394.8</v>
          </cell>
        </row>
        <row r="187">
          <cell r="U187">
            <v>229163</v>
          </cell>
          <cell r="X187">
            <v>229163</v>
          </cell>
          <cell r="Y187">
            <v>3517642</v>
          </cell>
          <cell r="AD187">
            <v>3746805</v>
          </cell>
          <cell r="AG187">
            <v>-80207.05</v>
          </cell>
          <cell r="AH187">
            <v>0</v>
          </cell>
          <cell r="AI187">
            <v>0</v>
          </cell>
          <cell r="AJ187">
            <v>-80207.05</v>
          </cell>
          <cell r="AK187">
            <v>-1231174.7</v>
          </cell>
          <cell r="AL187">
            <v>0</v>
          </cell>
          <cell r="AM187">
            <v>0</v>
          </cell>
          <cell r="AN187">
            <v>0</v>
          </cell>
          <cell r="AO187">
            <v>-1311381.75</v>
          </cell>
          <cell r="AQ187">
            <v>0</v>
          </cell>
          <cell r="AR187">
            <v>-1311381.75</v>
          </cell>
        </row>
        <row r="188">
          <cell r="U188">
            <v>0</v>
          </cell>
          <cell r="X188">
            <v>0</v>
          </cell>
          <cell r="Y188">
            <v>0</v>
          </cell>
          <cell r="AD188">
            <v>0</v>
          </cell>
          <cell r="AG188">
            <v>0</v>
          </cell>
          <cell r="AH188">
            <v>0</v>
          </cell>
          <cell r="AI188">
            <v>0</v>
          </cell>
          <cell r="AJ188">
            <v>0</v>
          </cell>
          <cell r="AK188">
            <v>0</v>
          </cell>
          <cell r="AL188">
            <v>0</v>
          </cell>
          <cell r="AM188">
            <v>0</v>
          </cell>
          <cell r="AN188">
            <v>0</v>
          </cell>
          <cell r="AO188">
            <v>0</v>
          </cell>
        </row>
        <row r="189">
          <cell r="U189">
            <v>-795097</v>
          </cell>
          <cell r="X189">
            <v>-795097</v>
          </cell>
          <cell r="Y189">
            <v>84467</v>
          </cell>
          <cell r="AD189">
            <v>-710630</v>
          </cell>
          <cell r="AG189">
            <v>278283.95</v>
          </cell>
          <cell r="AH189">
            <v>0</v>
          </cell>
          <cell r="AI189">
            <v>0</v>
          </cell>
          <cell r="AJ189">
            <v>278283.95</v>
          </cell>
          <cell r="AK189">
            <v>-29563.449999999997</v>
          </cell>
          <cell r="AL189">
            <v>0</v>
          </cell>
          <cell r="AM189">
            <v>0</v>
          </cell>
          <cell r="AN189">
            <v>0</v>
          </cell>
          <cell r="AO189">
            <v>248720.5</v>
          </cell>
        </row>
        <row r="190">
          <cell r="U190">
            <v>0</v>
          </cell>
          <cell r="X190">
            <v>0</v>
          </cell>
          <cell r="Y190">
            <v>0</v>
          </cell>
          <cell r="AD190">
            <v>0</v>
          </cell>
          <cell r="AG190">
            <v>0</v>
          </cell>
          <cell r="AH190">
            <v>0</v>
          </cell>
          <cell r="AI190">
            <v>0</v>
          </cell>
          <cell r="AJ190">
            <v>0</v>
          </cell>
          <cell r="AK190">
            <v>0</v>
          </cell>
          <cell r="AL190">
            <v>0</v>
          </cell>
          <cell r="AM190">
            <v>0</v>
          </cell>
          <cell r="AN190">
            <v>0</v>
          </cell>
          <cell r="AO190">
            <v>0</v>
          </cell>
        </row>
        <row r="191">
          <cell r="U191">
            <v>578306</v>
          </cell>
          <cell r="X191">
            <v>578306</v>
          </cell>
          <cell r="Y191">
            <v>0</v>
          </cell>
          <cell r="AD191">
            <v>578306</v>
          </cell>
          <cell r="AG191">
            <v>-202407.1</v>
          </cell>
          <cell r="AH191">
            <v>0</v>
          </cell>
          <cell r="AI191">
            <v>0</v>
          </cell>
          <cell r="AJ191">
            <v>-202407.1</v>
          </cell>
          <cell r="AK191">
            <v>0</v>
          </cell>
          <cell r="AL191">
            <v>0</v>
          </cell>
          <cell r="AM191">
            <v>0</v>
          </cell>
          <cell r="AN191">
            <v>0</v>
          </cell>
          <cell r="AO191">
            <v>-202407.1</v>
          </cell>
        </row>
        <row r="192">
          <cell r="U192">
            <v>-1175340</v>
          </cell>
          <cell r="X192">
            <v>-1175340</v>
          </cell>
          <cell r="Y192">
            <v>0</v>
          </cell>
          <cell r="AD192">
            <v>-1175340</v>
          </cell>
          <cell r="AG192">
            <v>411369</v>
          </cell>
          <cell r="AH192">
            <v>0</v>
          </cell>
          <cell r="AI192">
            <v>0</v>
          </cell>
          <cell r="AJ192">
            <v>411369</v>
          </cell>
          <cell r="AK192">
            <v>0</v>
          </cell>
          <cell r="AL192">
            <v>0</v>
          </cell>
          <cell r="AM192">
            <v>0</v>
          </cell>
          <cell r="AN192">
            <v>0</v>
          </cell>
          <cell r="AO192">
            <v>411369</v>
          </cell>
        </row>
        <row r="193">
          <cell r="U193">
            <v>-7500</v>
          </cell>
          <cell r="X193">
            <v>-7500</v>
          </cell>
          <cell r="Y193">
            <v>0</v>
          </cell>
          <cell r="AD193">
            <v>-7500</v>
          </cell>
          <cell r="AG193">
            <v>2625</v>
          </cell>
          <cell r="AH193">
            <v>0</v>
          </cell>
          <cell r="AI193">
            <v>0</v>
          </cell>
          <cell r="AJ193">
            <v>2625</v>
          </cell>
          <cell r="AK193">
            <v>0</v>
          </cell>
          <cell r="AL193">
            <v>0</v>
          </cell>
          <cell r="AM193">
            <v>0</v>
          </cell>
          <cell r="AN193">
            <v>0</v>
          </cell>
          <cell r="AO193">
            <v>2625</v>
          </cell>
        </row>
        <row r="194">
          <cell r="U194">
            <v>0</v>
          </cell>
          <cell r="X194">
            <v>0</v>
          </cell>
          <cell r="Y194">
            <v>0</v>
          </cell>
          <cell r="AD194">
            <v>0</v>
          </cell>
          <cell r="AG194">
            <v>0</v>
          </cell>
          <cell r="AH194">
            <v>0</v>
          </cell>
          <cell r="AI194">
            <v>0</v>
          </cell>
          <cell r="AJ194">
            <v>0</v>
          </cell>
          <cell r="AK194">
            <v>0</v>
          </cell>
          <cell r="AL194">
            <v>0</v>
          </cell>
          <cell r="AM194">
            <v>0</v>
          </cell>
          <cell r="AN194">
            <v>0</v>
          </cell>
          <cell r="AO194">
            <v>0</v>
          </cell>
          <cell r="AQ194">
            <v>0</v>
          </cell>
          <cell r="AR194">
            <v>0</v>
          </cell>
        </row>
        <row r="195">
          <cell r="U195">
            <v>-413069</v>
          </cell>
          <cell r="X195">
            <v>-413069</v>
          </cell>
          <cell r="Y195">
            <v>142629</v>
          </cell>
          <cell r="AD195">
            <v>-270440</v>
          </cell>
          <cell r="AG195">
            <v>144574.15</v>
          </cell>
          <cell r="AH195">
            <v>0</v>
          </cell>
          <cell r="AI195">
            <v>0</v>
          </cell>
          <cell r="AJ195">
            <v>144574.15</v>
          </cell>
          <cell r="AK195">
            <v>-49920.149999999994</v>
          </cell>
          <cell r="AL195">
            <v>0</v>
          </cell>
          <cell r="AM195">
            <v>0</v>
          </cell>
          <cell r="AN195">
            <v>0</v>
          </cell>
          <cell r="AO195">
            <v>94654</v>
          </cell>
        </row>
        <row r="196">
          <cell r="U196">
            <v>0</v>
          </cell>
          <cell r="X196">
            <v>0</v>
          </cell>
          <cell r="Y196">
            <v>0</v>
          </cell>
          <cell r="AD196">
            <v>0</v>
          </cell>
          <cell r="AG196">
            <v>0</v>
          </cell>
          <cell r="AH196">
            <v>0</v>
          </cell>
          <cell r="AI196">
            <v>0</v>
          </cell>
          <cell r="AJ196">
            <v>0</v>
          </cell>
          <cell r="AK196">
            <v>0</v>
          </cell>
          <cell r="AL196">
            <v>0</v>
          </cell>
          <cell r="AM196">
            <v>0</v>
          </cell>
          <cell r="AN196">
            <v>0</v>
          </cell>
          <cell r="AO196">
            <v>0</v>
          </cell>
        </row>
        <row r="197">
          <cell r="U197">
            <v>-809281</v>
          </cell>
          <cell r="X197">
            <v>-809281</v>
          </cell>
          <cell r="Y197">
            <v>0</v>
          </cell>
          <cell r="AD197">
            <v>-809281</v>
          </cell>
          <cell r="AG197">
            <v>283248.34999999998</v>
          </cell>
          <cell r="AH197">
            <v>0</v>
          </cell>
          <cell r="AI197">
            <v>0</v>
          </cell>
          <cell r="AJ197">
            <v>283248.34999999998</v>
          </cell>
          <cell r="AK197">
            <v>0</v>
          </cell>
          <cell r="AL197">
            <v>0</v>
          </cell>
          <cell r="AM197">
            <v>0</v>
          </cell>
          <cell r="AN197">
            <v>0</v>
          </cell>
          <cell r="AO197">
            <v>283248.34999999998</v>
          </cell>
        </row>
        <row r="198">
          <cell r="U198">
            <v>-2064289</v>
          </cell>
          <cell r="X198">
            <v>-2064289</v>
          </cell>
          <cell r="Y198">
            <v>0</v>
          </cell>
          <cell r="AD198">
            <v>-2064289</v>
          </cell>
          <cell r="AG198">
            <v>722501.15</v>
          </cell>
          <cell r="AH198">
            <v>0</v>
          </cell>
          <cell r="AI198">
            <v>0</v>
          </cell>
          <cell r="AJ198">
            <v>722501.15</v>
          </cell>
          <cell r="AK198">
            <v>0</v>
          </cell>
          <cell r="AL198">
            <v>0</v>
          </cell>
          <cell r="AM198">
            <v>0</v>
          </cell>
          <cell r="AN198">
            <v>0</v>
          </cell>
          <cell r="AO198">
            <v>722501.15</v>
          </cell>
        </row>
        <row r="199">
          <cell r="U199">
            <v>0</v>
          </cell>
          <cell r="X199">
            <v>0</v>
          </cell>
          <cell r="Y199">
            <v>0</v>
          </cell>
          <cell r="AD199">
            <v>0</v>
          </cell>
          <cell r="AG199">
            <v>0</v>
          </cell>
          <cell r="AJ199">
            <v>0</v>
          </cell>
          <cell r="AK199">
            <v>0</v>
          </cell>
          <cell r="AL199">
            <v>0</v>
          </cell>
          <cell r="AM199">
            <v>0</v>
          </cell>
          <cell r="AN199">
            <v>0</v>
          </cell>
          <cell r="AO199">
            <v>0</v>
          </cell>
        </row>
        <row r="200">
          <cell r="U200">
            <v>146863</v>
          </cell>
          <cell r="X200">
            <v>146863</v>
          </cell>
          <cell r="Y200">
            <v>0</v>
          </cell>
          <cell r="AD200">
            <v>146863</v>
          </cell>
          <cell r="AG200">
            <v>-51402.05</v>
          </cell>
          <cell r="AH200">
            <v>0</v>
          </cell>
          <cell r="AI200">
            <v>0</v>
          </cell>
          <cell r="AJ200">
            <v>-51402.05</v>
          </cell>
          <cell r="AK200">
            <v>0</v>
          </cell>
          <cell r="AL200">
            <v>0</v>
          </cell>
          <cell r="AM200">
            <v>0</v>
          </cell>
          <cell r="AN200">
            <v>0</v>
          </cell>
          <cell r="AO200">
            <v>-51402.05</v>
          </cell>
        </row>
        <row r="201">
          <cell r="U201">
            <v>155362</v>
          </cell>
          <cell r="X201">
            <v>155362</v>
          </cell>
          <cell r="Y201">
            <v>0</v>
          </cell>
          <cell r="AD201">
            <v>155362</v>
          </cell>
          <cell r="AG201">
            <v>-54376.7</v>
          </cell>
          <cell r="AH201">
            <v>0</v>
          </cell>
          <cell r="AI201">
            <v>0</v>
          </cell>
          <cell r="AJ201">
            <v>-54376.7</v>
          </cell>
          <cell r="AK201">
            <v>0</v>
          </cell>
          <cell r="AL201">
            <v>0</v>
          </cell>
          <cell r="AM201">
            <v>0</v>
          </cell>
          <cell r="AN201">
            <v>0</v>
          </cell>
          <cell r="AO201">
            <v>-54376.7</v>
          </cell>
          <cell r="AQ201">
            <v>0</v>
          </cell>
          <cell r="AR201">
            <v>-54376.7</v>
          </cell>
        </row>
        <row r="202">
          <cell r="U202">
            <v>113982.78</v>
          </cell>
          <cell r="X202">
            <v>113982.78</v>
          </cell>
          <cell r="Y202">
            <v>-0.35999999998603016</v>
          </cell>
          <cell r="AD202">
            <v>113982.42000000001</v>
          </cell>
          <cell r="AG202">
            <v>-39893.972999999969</v>
          </cell>
          <cell r="AH202">
            <v>0</v>
          </cell>
          <cell r="AI202">
            <v>0</v>
          </cell>
          <cell r="AJ202">
            <v>-39893.972999999969</v>
          </cell>
          <cell r="AK202">
            <v>0.12599999999511055</v>
          </cell>
          <cell r="AL202">
            <v>0</v>
          </cell>
          <cell r="AM202">
            <v>0</v>
          </cell>
          <cell r="AN202">
            <v>0</v>
          </cell>
          <cell r="AO202">
            <v>-39893.846999999972</v>
          </cell>
          <cell r="AQ202">
            <v>0</v>
          </cell>
          <cell r="AR202">
            <v>-39893.846999999972</v>
          </cell>
        </row>
        <row r="203">
          <cell r="U203">
            <v>-213593</v>
          </cell>
          <cell r="X203">
            <v>-213593</v>
          </cell>
          <cell r="Y203">
            <v>16759</v>
          </cell>
          <cell r="AD203">
            <v>-196834</v>
          </cell>
          <cell r="AG203">
            <v>74757.55</v>
          </cell>
          <cell r="AH203">
            <v>0</v>
          </cell>
          <cell r="AI203">
            <v>0</v>
          </cell>
          <cell r="AJ203">
            <v>74757.55</v>
          </cell>
          <cell r="AK203">
            <v>-5865.65</v>
          </cell>
          <cell r="AL203">
            <v>0</v>
          </cell>
          <cell r="AM203">
            <v>0</v>
          </cell>
          <cell r="AN203">
            <v>0</v>
          </cell>
          <cell r="AO203">
            <v>68891.900000000009</v>
          </cell>
        </row>
        <row r="204">
          <cell r="U204">
            <v>-4472902</v>
          </cell>
          <cell r="X204">
            <v>-4472902</v>
          </cell>
          <cell r="Y204">
            <v>0</v>
          </cell>
          <cell r="AD204">
            <v>-4472902</v>
          </cell>
          <cell r="AG204">
            <v>1565515.7</v>
          </cell>
          <cell r="AH204">
            <v>0</v>
          </cell>
          <cell r="AI204">
            <v>0</v>
          </cell>
          <cell r="AJ204">
            <v>1565515.7</v>
          </cell>
          <cell r="AK204">
            <v>0</v>
          </cell>
          <cell r="AL204">
            <v>0</v>
          </cell>
          <cell r="AM204">
            <v>0</v>
          </cell>
          <cell r="AN204">
            <v>0</v>
          </cell>
          <cell r="AO204">
            <v>1565515.7</v>
          </cell>
          <cell r="AR204">
            <v>1565515.7</v>
          </cell>
        </row>
        <row r="205">
          <cell r="U205">
            <v>-2288484</v>
          </cell>
          <cell r="X205">
            <v>-2288484</v>
          </cell>
          <cell r="Y205">
            <v>0</v>
          </cell>
          <cell r="AD205">
            <v>-2288484</v>
          </cell>
          <cell r="AG205">
            <v>800969.4</v>
          </cell>
          <cell r="AJ205">
            <v>800969.4</v>
          </cell>
          <cell r="AK205">
            <v>0</v>
          </cell>
          <cell r="AL205">
            <v>0</v>
          </cell>
          <cell r="AM205">
            <v>0</v>
          </cell>
          <cell r="AN205">
            <v>0</v>
          </cell>
          <cell r="AO205">
            <v>800969.4</v>
          </cell>
        </row>
        <row r="206">
          <cell r="U206">
            <v>0</v>
          </cell>
          <cell r="X206">
            <v>0</v>
          </cell>
          <cell r="AD206">
            <v>0</v>
          </cell>
          <cell r="AG206">
            <v>0</v>
          </cell>
          <cell r="AJ206">
            <v>0</v>
          </cell>
          <cell r="AK206">
            <v>0</v>
          </cell>
          <cell r="AL206">
            <v>0</v>
          </cell>
          <cell r="AM206">
            <v>0</v>
          </cell>
          <cell r="AN206">
            <v>0</v>
          </cell>
          <cell r="AO206">
            <v>0</v>
          </cell>
        </row>
        <row r="207">
          <cell r="U207" t="str">
            <v xml:space="preserve"> </v>
          </cell>
          <cell r="AL207">
            <v>0</v>
          </cell>
          <cell r="AM207">
            <v>0</v>
          </cell>
        </row>
        <row r="208">
          <cell r="U208">
            <v>-24791251.920000006</v>
          </cell>
          <cell r="V208">
            <v>0</v>
          </cell>
          <cell r="W208">
            <v>0</v>
          </cell>
          <cell r="X208">
            <v>-24791251.920000006</v>
          </cell>
          <cell r="Y208">
            <v>3252151.27</v>
          </cell>
          <cell r="Z208">
            <v>0</v>
          </cell>
          <cell r="AA208">
            <v>0</v>
          </cell>
          <cell r="AB208">
            <v>0</v>
          </cell>
          <cell r="AD208">
            <v>-21539100.650000006</v>
          </cell>
          <cell r="AE208">
            <v>0</v>
          </cell>
          <cell r="AF208">
            <v>0</v>
          </cell>
          <cell r="AG208">
            <v>8676938.1720000021</v>
          </cell>
          <cell r="AH208">
            <v>0</v>
          </cell>
          <cell r="AI208">
            <v>0</v>
          </cell>
          <cell r="AJ208">
            <v>8676938.1720000021</v>
          </cell>
          <cell r="AK208">
            <v>-1138252.9444999998</v>
          </cell>
          <cell r="AL208">
            <v>0</v>
          </cell>
          <cell r="AM208">
            <v>0</v>
          </cell>
          <cell r="AN208">
            <v>0</v>
          </cell>
          <cell r="AO208">
            <v>7538685.227500001</v>
          </cell>
          <cell r="AQ208">
            <v>-9054019.799999997</v>
          </cell>
          <cell r="AR208">
            <v>15505974.2775</v>
          </cell>
        </row>
        <row r="209">
          <cell r="AG209">
            <v>-8676938.1720000021</v>
          </cell>
        </row>
        <row r="210">
          <cell r="AO210">
            <v>-7538685.2275000019</v>
          </cell>
        </row>
        <row r="211">
          <cell r="AO211">
            <v>150773.70455000002</v>
          </cell>
        </row>
        <row r="215">
          <cell r="U215">
            <v>-24791251.920000006</v>
          </cell>
          <cell r="V215">
            <v>0</v>
          </cell>
          <cell r="W215">
            <v>0</v>
          </cell>
          <cell r="X215">
            <v>-24791251.920000006</v>
          </cell>
          <cell r="Y215">
            <v>3252151.27</v>
          </cell>
          <cell r="Z215">
            <v>0</v>
          </cell>
          <cell r="AA215">
            <v>0</v>
          </cell>
          <cell r="AB215">
            <v>0</v>
          </cell>
          <cell r="AC215">
            <v>0</v>
          </cell>
          <cell r="AD215">
            <v>-21539100.650000006</v>
          </cell>
          <cell r="AE215">
            <v>0</v>
          </cell>
          <cell r="AF215">
            <v>0</v>
          </cell>
          <cell r="AG215">
            <v>8676938.1720000021</v>
          </cell>
          <cell r="AH215">
            <v>0</v>
          </cell>
          <cell r="AI215">
            <v>0</v>
          </cell>
          <cell r="AJ215">
            <v>8676938.1720000021</v>
          </cell>
          <cell r="AK215">
            <v>-1138252.9444999998</v>
          </cell>
          <cell r="AL215">
            <v>0</v>
          </cell>
          <cell r="AM215">
            <v>0</v>
          </cell>
          <cell r="AN215">
            <v>0</v>
          </cell>
          <cell r="AO215">
            <v>150773.70454999909</v>
          </cell>
          <cell r="AP215">
            <v>0</v>
          </cell>
          <cell r="AQ215">
            <v>-9054019.799999997</v>
          </cell>
          <cell r="AR215">
            <v>15505974.2775</v>
          </cell>
        </row>
        <row r="225">
          <cell r="AQ225">
            <v>0</v>
          </cell>
          <cell r="AR225">
            <v>0</v>
          </cell>
        </row>
        <row r="226">
          <cell r="X226">
            <v>0</v>
          </cell>
        </row>
        <row r="227">
          <cell r="X227">
            <v>0</v>
          </cell>
          <cell r="AD227">
            <v>0</v>
          </cell>
        </row>
        <row r="228">
          <cell r="X228">
            <v>0</v>
          </cell>
          <cell r="Y228">
            <v>0</v>
          </cell>
          <cell r="AD228">
            <v>0</v>
          </cell>
          <cell r="AG228">
            <v>0</v>
          </cell>
          <cell r="AH228">
            <v>0</v>
          </cell>
          <cell r="AI228">
            <v>0</v>
          </cell>
          <cell r="AJ228">
            <v>0</v>
          </cell>
          <cell r="AK228">
            <v>0</v>
          </cell>
          <cell r="AO228">
            <v>0</v>
          </cell>
        </row>
        <row r="229">
          <cell r="X229">
            <v>0</v>
          </cell>
        </row>
        <row r="230">
          <cell r="X230">
            <v>0</v>
          </cell>
        </row>
        <row r="231">
          <cell r="X231">
            <v>0</v>
          </cell>
        </row>
        <row r="233">
          <cell r="U233">
            <v>0</v>
          </cell>
          <cell r="V233">
            <v>0</v>
          </cell>
          <cell r="W233">
            <v>0</v>
          </cell>
          <cell r="X233">
            <v>0</v>
          </cell>
          <cell r="Y233">
            <v>0</v>
          </cell>
          <cell r="Z233">
            <v>0</v>
          </cell>
          <cell r="AA233">
            <v>0</v>
          </cell>
          <cell r="AB233">
            <v>0</v>
          </cell>
          <cell r="AD233">
            <v>0</v>
          </cell>
          <cell r="AE233">
            <v>0</v>
          </cell>
          <cell r="AF233">
            <v>0</v>
          </cell>
          <cell r="AG233">
            <v>0</v>
          </cell>
          <cell r="AH233">
            <v>0</v>
          </cell>
          <cell r="AI233">
            <v>0</v>
          </cell>
          <cell r="AJ233">
            <v>0</v>
          </cell>
          <cell r="AK233">
            <v>0</v>
          </cell>
          <cell r="AL233">
            <v>0</v>
          </cell>
          <cell r="AM233">
            <v>0</v>
          </cell>
          <cell r="AN233">
            <v>0</v>
          </cell>
          <cell r="AO233">
            <v>0</v>
          </cell>
          <cell r="AQ233">
            <v>0</v>
          </cell>
          <cell r="AR233">
            <v>0</v>
          </cell>
        </row>
        <row r="235">
          <cell r="AG235">
            <v>0</v>
          </cell>
        </row>
        <row r="236">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55">
          <cell r="V255">
            <v>0</v>
          </cell>
          <cell r="W255">
            <v>0</v>
          </cell>
        </row>
        <row r="256">
          <cell r="AQ256">
            <v>0</v>
          </cell>
          <cell r="AR256">
            <v>0</v>
          </cell>
        </row>
        <row r="257">
          <cell r="X257">
            <v>0</v>
          </cell>
        </row>
        <row r="259">
          <cell r="U259">
            <v>0.42000000001280569</v>
          </cell>
          <cell r="X259">
            <v>0.42000000001280569</v>
          </cell>
          <cell r="Y259">
            <v>0</v>
          </cell>
          <cell r="AD259">
            <v>0.42000000001280569</v>
          </cell>
          <cell r="AG259">
            <v>-0.14700000000448199</v>
          </cell>
          <cell r="AH259">
            <v>0</v>
          </cell>
          <cell r="AI259">
            <v>0</v>
          </cell>
          <cell r="AJ259">
            <v>-0.14700000000448199</v>
          </cell>
          <cell r="AK259">
            <v>0</v>
          </cell>
          <cell r="AL259">
            <v>0</v>
          </cell>
          <cell r="AM259">
            <v>0</v>
          </cell>
          <cell r="AN259">
            <v>0</v>
          </cell>
          <cell r="AO259">
            <v>-0.14700000000448199</v>
          </cell>
          <cell r="AP259">
            <v>13</v>
          </cell>
          <cell r="AQ259">
            <v>0</v>
          </cell>
          <cell r="AR259">
            <v>-0.14700000000448199</v>
          </cell>
        </row>
        <row r="260">
          <cell r="U260">
            <v>-296591</v>
          </cell>
          <cell r="X260">
            <v>-296591</v>
          </cell>
          <cell r="Y260">
            <v>0</v>
          </cell>
          <cell r="AD260">
            <v>-296591</v>
          </cell>
          <cell r="AG260">
            <v>103806.85</v>
          </cell>
          <cell r="AH260">
            <v>0</v>
          </cell>
          <cell r="AI260">
            <v>0</v>
          </cell>
          <cell r="AJ260">
            <v>103806.85</v>
          </cell>
          <cell r="AK260">
            <v>0</v>
          </cell>
          <cell r="AL260">
            <v>0</v>
          </cell>
          <cell r="AM260">
            <v>0</v>
          </cell>
          <cell r="AN260">
            <v>0</v>
          </cell>
          <cell r="AO260">
            <v>103806.85</v>
          </cell>
          <cell r="AP260">
            <v>10</v>
          </cell>
          <cell r="AQ260">
            <v>0</v>
          </cell>
          <cell r="AR260">
            <v>103806.85</v>
          </cell>
        </row>
        <row r="261">
          <cell r="U261">
            <v>8849167</v>
          </cell>
          <cell r="X261">
            <v>8849167</v>
          </cell>
          <cell r="Y261">
            <v>-60643</v>
          </cell>
          <cell r="AD261">
            <v>8788524</v>
          </cell>
          <cell r="AG261">
            <v>-3097208.45</v>
          </cell>
          <cell r="AH261">
            <v>0</v>
          </cell>
          <cell r="AI261">
            <v>0</v>
          </cell>
          <cell r="AJ261">
            <v>-3097208.45</v>
          </cell>
          <cell r="AK261">
            <v>21225.05</v>
          </cell>
          <cell r="AL261">
            <v>0</v>
          </cell>
          <cell r="AM261">
            <v>0</v>
          </cell>
          <cell r="AN261">
            <v>0</v>
          </cell>
          <cell r="AO261">
            <v>-3075983.4000000004</v>
          </cell>
          <cell r="AP261">
            <v>1</v>
          </cell>
          <cell r="AQ261">
            <v>-3075983.4000000004</v>
          </cell>
          <cell r="AR261">
            <v>0</v>
          </cell>
        </row>
        <row r="262">
          <cell r="U262">
            <v>0</v>
          </cell>
          <cell r="X262">
            <v>0</v>
          </cell>
          <cell r="Y262">
            <v>0</v>
          </cell>
          <cell r="AD262">
            <v>0</v>
          </cell>
          <cell r="AG262">
            <v>0</v>
          </cell>
          <cell r="AH262">
            <v>0</v>
          </cell>
          <cell r="AI262">
            <v>0</v>
          </cell>
          <cell r="AJ262">
            <v>0</v>
          </cell>
          <cell r="AK262">
            <v>0</v>
          </cell>
          <cell r="AL262">
            <v>0</v>
          </cell>
          <cell r="AM262">
            <v>0</v>
          </cell>
          <cell r="AN262">
            <v>0</v>
          </cell>
          <cell r="AO262">
            <v>0</v>
          </cell>
          <cell r="AP262">
            <v>14</v>
          </cell>
          <cell r="AQ262">
            <v>0</v>
          </cell>
          <cell r="AR262">
            <v>0</v>
          </cell>
        </row>
        <row r="263">
          <cell r="U263">
            <v>-85755</v>
          </cell>
          <cell r="X263">
            <v>-85755</v>
          </cell>
          <cell r="Y263">
            <v>21864</v>
          </cell>
          <cell r="AD263">
            <v>-63891</v>
          </cell>
          <cell r="AG263">
            <v>30014.25</v>
          </cell>
          <cell r="AH263">
            <v>0</v>
          </cell>
          <cell r="AI263">
            <v>0</v>
          </cell>
          <cell r="AJ263">
            <v>30014.25</v>
          </cell>
          <cell r="AK263">
            <v>-7652.4</v>
          </cell>
          <cell r="AL263">
            <v>0</v>
          </cell>
          <cell r="AM263">
            <v>0</v>
          </cell>
          <cell r="AN263">
            <v>0</v>
          </cell>
          <cell r="AO263">
            <v>22361.85</v>
          </cell>
          <cell r="AP263">
            <v>11</v>
          </cell>
          <cell r="AQ263">
            <v>0</v>
          </cell>
          <cell r="AR263">
            <v>22361.85</v>
          </cell>
        </row>
        <row r="264">
          <cell r="U264">
            <v>-638836</v>
          </cell>
          <cell r="X264">
            <v>-638836</v>
          </cell>
          <cell r="Y264">
            <v>-243793</v>
          </cell>
          <cell r="AD264">
            <v>-882629</v>
          </cell>
          <cell r="AG264">
            <v>223592.6</v>
          </cell>
          <cell r="AH264">
            <v>0</v>
          </cell>
          <cell r="AI264">
            <v>0</v>
          </cell>
          <cell r="AJ264">
            <v>223592.6</v>
          </cell>
          <cell r="AK264">
            <v>85327.549999999988</v>
          </cell>
          <cell r="AL264">
            <v>0</v>
          </cell>
          <cell r="AM264">
            <v>0</v>
          </cell>
          <cell r="AN264">
            <v>0</v>
          </cell>
          <cell r="AO264">
            <v>308920.15000000002</v>
          </cell>
          <cell r="AP264">
            <v>2</v>
          </cell>
          <cell r="AQ264">
            <v>0</v>
          </cell>
          <cell r="AR264">
            <v>308920.15000000002</v>
          </cell>
        </row>
        <row r="265">
          <cell r="U265">
            <v>-2123328</v>
          </cell>
          <cell r="X265">
            <v>-2123328</v>
          </cell>
          <cell r="Y265">
            <v>1664052</v>
          </cell>
          <cell r="AD265">
            <v>-459276</v>
          </cell>
          <cell r="AG265">
            <v>743164.8</v>
          </cell>
          <cell r="AH265">
            <v>0</v>
          </cell>
          <cell r="AI265">
            <v>0</v>
          </cell>
          <cell r="AJ265">
            <v>743164.8</v>
          </cell>
          <cell r="AK265">
            <v>-582418.19999999995</v>
          </cell>
          <cell r="AL265">
            <v>0</v>
          </cell>
          <cell r="AM265">
            <v>0</v>
          </cell>
          <cell r="AN265">
            <v>0</v>
          </cell>
          <cell r="AO265">
            <v>160746.60000000009</v>
          </cell>
          <cell r="AP265">
            <v>16</v>
          </cell>
          <cell r="AQ265">
            <v>0</v>
          </cell>
          <cell r="AR265">
            <v>160746.60000000009</v>
          </cell>
        </row>
        <row r="266">
          <cell r="U266">
            <v>-132025</v>
          </cell>
          <cell r="X266">
            <v>-132025</v>
          </cell>
          <cell r="Y266">
            <v>0</v>
          </cell>
          <cell r="AD266">
            <v>-132025</v>
          </cell>
          <cell r="AG266">
            <v>46208.75</v>
          </cell>
          <cell r="AH266">
            <v>0</v>
          </cell>
          <cell r="AI266">
            <v>0</v>
          </cell>
          <cell r="AJ266">
            <v>46208.75</v>
          </cell>
          <cell r="AK266">
            <v>0</v>
          </cell>
          <cell r="AL266">
            <v>0</v>
          </cell>
          <cell r="AM266">
            <v>0</v>
          </cell>
          <cell r="AN266">
            <v>0</v>
          </cell>
          <cell r="AO266">
            <v>46208.75</v>
          </cell>
          <cell r="AP266">
            <v>17</v>
          </cell>
          <cell r="AQ266">
            <v>0</v>
          </cell>
          <cell r="AR266">
            <v>46208.75</v>
          </cell>
        </row>
        <row r="267">
          <cell r="U267">
            <v>0</v>
          </cell>
          <cell r="X267">
            <v>0</v>
          </cell>
          <cell r="Y267">
            <v>-827797</v>
          </cell>
          <cell r="AD267">
            <v>-827797</v>
          </cell>
          <cell r="AG267">
            <v>0</v>
          </cell>
          <cell r="AH267">
            <v>0</v>
          </cell>
          <cell r="AI267">
            <v>0</v>
          </cell>
          <cell r="AJ267">
            <v>0</v>
          </cell>
          <cell r="AK267">
            <v>289728.94999999995</v>
          </cell>
          <cell r="AL267">
            <v>0</v>
          </cell>
          <cell r="AM267">
            <v>0</v>
          </cell>
          <cell r="AN267">
            <v>0</v>
          </cell>
          <cell r="AO267">
            <v>289728.94999999995</v>
          </cell>
          <cell r="AP267">
            <v>8</v>
          </cell>
          <cell r="AQ267">
            <v>0</v>
          </cell>
          <cell r="AR267">
            <v>289728.94999999995</v>
          </cell>
        </row>
        <row r="268">
          <cell r="U268">
            <v>59004.160000000003</v>
          </cell>
          <cell r="V268">
            <v>-59004</v>
          </cell>
          <cell r="X268">
            <v>0.16000000000349246</v>
          </cell>
          <cell r="Y268">
            <v>-614718</v>
          </cell>
          <cell r="AD268">
            <v>-614717.84</v>
          </cell>
          <cell r="AG268">
            <v>-20651.455999999998</v>
          </cell>
          <cell r="AH268">
            <v>20651.399999999998</v>
          </cell>
          <cell r="AI268">
            <v>0</v>
          </cell>
          <cell r="AJ268">
            <v>-5.6000000000494765E-2</v>
          </cell>
          <cell r="AK268">
            <v>215151.3</v>
          </cell>
          <cell r="AL268">
            <v>0</v>
          </cell>
          <cell r="AM268">
            <v>0</v>
          </cell>
          <cell r="AN268">
            <v>0</v>
          </cell>
          <cell r="AO268">
            <v>215151.24399999998</v>
          </cell>
          <cell r="AP268">
            <v>15</v>
          </cell>
          <cell r="AQ268">
            <v>0</v>
          </cell>
          <cell r="AR268">
            <v>215151.24399999998</v>
          </cell>
        </row>
        <row r="269">
          <cell r="U269">
            <v>0</v>
          </cell>
          <cell r="X269">
            <v>0</v>
          </cell>
          <cell r="Y269">
            <v>0</v>
          </cell>
          <cell r="AD269">
            <v>0</v>
          </cell>
          <cell r="AG269">
            <v>0</v>
          </cell>
          <cell r="AH269">
            <v>0</v>
          </cell>
          <cell r="AI269">
            <v>0</v>
          </cell>
          <cell r="AJ269">
            <v>0</v>
          </cell>
          <cell r="AK269">
            <v>0</v>
          </cell>
          <cell r="AL269">
            <v>0</v>
          </cell>
          <cell r="AM269">
            <v>0</v>
          </cell>
          <cell r="AN269">
            <v>0</v>
          </cell>
          <cell r="AO269">
            <v>0</v>
          </cell>
          <cell r="AP269">
            <v>3</v>
          </cell>
          <cell r="AQ269">
            <v>0</v>
          </cell>
          <cell r="AR269">
            <v>0</v>
          </cell>
        </row>
        <row r="270">
          <cell r="U270">
            <v>0</v>
          </cell>
          <cell r="X270">
            <v>0</v>
          </cell>
          <cell r="Y270">
            <v>0</v>
          </cell>
          <cell r="AD270">
            <v>0</v>
          </cell>
          <cell r="AG270">
            <v>0</v>
          </cell>
          <cell r="AH270">
            <v>0</v>
          </cell>
          <cell r="AI270">
            <v>0</v>
          </cell>
          <cell r="AJ270">
            <v>0</v>
          </cell>
          <cell r="AK270">
            <v>0</v>
          </cell>
          <cell r="AL270">
            <v>0</v>
          </cell>
          <cell r="AM270">
            <v>0</v>
          </cell>
          <cell r="AN270">
            <v>0</v>
          </cell>
          <cell r="AO270">
            <v>0</v>
          </cell>
          <cell r="AP270">
            <v>6</v>
          </cell>
          <cell r="AQ270">
            <v>0</v>
          </cell>
          <cell r="AR270">
            <v>0</v>
          </cell>
        </row>
        <row r="271">
          <cell r="U271">
            <v>0</v>
          </cell>
          <cell r="X271">
            <v>0</v>
          </cell>
          <cell r="Y271">
            <v>0</v>
          </cell>
          <cell r="AD271">
            <v>0</v>
          </cell>
          <cell r="AG271">
            <v>0</v>
          </cell>
          <cell r="AH271">
            <v>0</v>
          </cell>
          <cell r="AI271">
            <v>0</v>
          </cell>
          <cell r="AJ271">
            <v>0</v>
          </cell>
          <cell r="AK271">
            <v>0</v>
          </cell>
          <cell r="AL271">
            <v>0</v>
          </cell>
          <cell r="AM271">
            <v>0</v>
          </cell>
          <cell r="AN271">
            <v>0</v>
          </cell>
          <cell r="AO271">
            <v>0</v>
          </cell>
          <cell r="AP271">
            <v>12</v>
          </cell>
          <cell r="AQ271">
            <v>0</v>
          </cell>
          <cell r="AR271">
            <v>0</v>
          </cell>
        </row>
        <row r="272">
          <cell r="U272">
            <v>-6032085</v>
          </cell>
          <cell r="X272">
            <v>-6032085</v>
          </cell>
          <cell r="Y272">
            <v>-156304</v>
          </cell>
          <cell r="AD272">
            <v>-6188389</v>
          </cell>
          <cell r="AG272">
            <v>2111229.75</v>
          </cell>
          <cell r="AH272">
            <v>0</v>
          </cell>
          <cell r="AI272">
            <v>0</v>
          </cell>
          <cell r="AJ272">
            <v>2111229.75</v>
          </cell>
          <cell r="AK272">
            <v>54706.399999999994</v>
          </cell>
          <cell r="AL272">
            <v>0</v>
          </cell>
          <cell r="AM272">
            <v>0</v>
          </cell>
          <cell r="AN272">
            <v>0</v>
          </cell>
          <cell r="AO272">
            <v>2165936.15</v>
          </cell>
        </row>
        <row r="273">
          <cell r="U273">
            <v>-323885</v>
          </cell>
          <cell r="X273">
            <v>-323885</v>
          </cell>
          <cell r="Y273">
            <v>0</v>
          </cell>
          <cell r="AD273">
            <v>-323885</v>
          </cell>
          <cell r="AG273">
            <v>113359.75</v>
          </cell>
          <cell r="AH273">
            <v>0</v>
          </cell>
          <cell r="AI273">
            <v>0</v>
          </cell>
          <cell r="AJ273">
            <v>113359.75</v>
          </cell>
          <cell r="AK273">
            <v>0</v>
          </cell>
          <cell r="AL273">
            <v>0</v>
          </cell>
          <cell r="AM273">
            <v>0</v>
          </cell>
          <cell r="AN273">
            <v>0</v>
          </cell>
          <cell r="AO273">
            <v>113359.75</v>
          </cell>
        </row>
        <row r="274">
          <cell r="U274">
            <v>-59004</v>
          </cell>
          <cell r="V274">
            <v>59004</v>
          </cell>
          <cell r="X274">
            <v>0</v>
          </cell>
          <cell r="Y274">
            <v>0</v>
          </cell>
          <cell r="AD274">
            <v>0</v>
          </cell>
          <cell r="AG274">
            <v>20651.400000000001</v>
          </cell>
          <cell r="AH274">
            <v>-20651.399999999998</v>
          </cell>
          <cell r="AI274">
            <v>0</v>
          </cell>
          <cell r="AJ274">
            <v>3.637978807091713E-12</v>
          </cell>
          <cell r="AK274">
            <v>0</v>
          </cell>
          <cell r="AL274">
            <v>0</v>
          </cell>
          <cell r="AM274">
            <v>0</v>
          </cell>
          <cell r="AN274">
            <v>0</v>
          </cell>
          <cell r="AO274">
            <v>3.637978807091713E-12</v>
          </cell>
        </row>
        <row r="275">
          <cell r="U275">
            <v>2.0000000018626451E-2</v>
          </cell>
          <cell r="X275">
            <v>2.0000000018626451E-2</v>
          </cell>
          <cell r="Y275">
            <v>0</v>
          </cell>
          <cell r="AD275">
            <v>2.0000000018626451E-2</v>
          </cell>
          <cell r="AG275">
            <v>-7.0000000065192575E-3</v>
          </cell>
          <cell r="AH275">
            <v>0</v>
          </cell>
          <cell r="AI275">
            <v>0</v>
          </cell>
          <cell r="AJ275">
            <v>-7.0000000065192575E-3</v>
          </cell>
          <cell r="AK275">
            <v>0</v>
          </cell>
          <cell r="AL275">
            <v>0</v>
          </cell>
          <cell r="AM275">
            <v>0</v>
          </cell>
          <cell r="AN275">
            <v>0</v>
          </cell>
          <cell r="AO275">
            <v>-7.0000000065192575E-3</v>
          </cell>
        </row>
        <row r="276">
          <cell r="U276">
            <v>0</v>
          </cell>
          <cell r="W276">
            <v>4966170</v>
          </cell>
          <cell r="X276">
            <v>4966170</v>
          </cell>
          <cell r="Y276">
            <v>0</v>
          </cell>
          <cell r="AD276">
            <v>4966170</v>
          </cell>
          <cell r="AG276">
            <v>0</v>
          </cell>
          <cell r="AH276">
            <v>0</v>
          </cell>
          <cell r="AI276">
            <v>-1738159.5</v>
          </cell>
          <cell r="AJ276">
            <v>-1738159.5</v>
          </cell>
          <cell r="AK276">
            <v>0</v>
          </cell>
          <cell r="AL276">
            <v>0</v>
          </cell>
          <cell r="AM276">
            <v>0</v>
          </cell>
          <cell r="AN276">
            <v>0</v>
          </cell>
          <cell r="AO276">
            <v>0</v>
          </cell>
        </row>
        <row r="277">
          <cell r="U277">
            <v>0</v>
          </cell>
          <cell r="Y277">
            <v>0</v>
          </cell>
          <cell r="AD277">
            <v>0</v>
          </cell>
          <cell r="AG277">
            <v>0</v>
          </cell>
          <cell r="AH277">
            <v>0</v>
          </cell>
          <cell r="AI277">
            <v>0</v>
          </cell>
          <cell r="AJ277">
            <v>0</v>
          </cell>
          <cell r="AK277">
            <v>0</v>
          </cell>
          <cell r="AL277">
            <v>0</v>
          </cell>
          <cell r="AM277">
            <v>0</v>
          </cell>
          <cell r="AN277">
            <v>0</v>
          </cell>
          <cell r="AO277">
            <v>0</v>
          </cell>
        </row>
        <row r="278">
          <cell r="U278">
            <v>0</v>
          </cell>
          <cell r="Y278">
            <v>0</v>
          </cell>
          <cell r="AD278">
            <v>0</v>
          </cell>
          <cell r="AG278">
            <v>0</v>
          </cell>
          <cell r="AH278">
            <v>0</v>
          </cell>
          <cell r="AI278">
            <v>0</v>
          </cell>
          <cell r="AJ278">
            <v>0</v>
          </cell>
          <cell r="AK278">
            <v>0</v>
          </cell>
          <cell r="AL278">
            <v>0</v>
          </cell>
          <cell r="AM278">
            <v>0</v>
          </cell>
          <cell r="AO278">
            <v>0</v>
          </cell>
        </row>
        <row r="279">
          <cell r="U279">
            <v>0</v>
          </cell>
          <cell r="Y279">
            <v>0</v>
          </cell>
          <cell r="AD279">
            <v>0</v>
          </cell>
          <cell r="AG279">
            <v>0</v>
          </cell>
          <cell r="AH279">
            <v>0</v>
          </cell>
          <cell r="AI279">
            <v>0</v>
          </cell>
          <cell r="AJ279">
            <v>0</v>
          </cell>
          <cell r="AK279">
            <v>0</v>
          </cell>
          <cell r="AL279">
            <v>0</v>
          </cell>
          <cell r="AM279">
            <v>0</v>
          </cell>
          <cell r="AO279">
            <v>0</v>
          </cell>
        </row>
        <row r="280">
          <cell r="AL280">
            <v>0</v>
          </cell>
          <cell r="AM280">
            <v>0</v>
          </cell>
        </row>
        <row r="281">
          <cell r="U281">
            <v>-783337.39999999991</v>
          </cell>
          <cell r="V281">
            <v>0</v>
          </cell>
          <cell r="W281">
            <v>4966170</v>
          </cell>
          <cell r="X281">
            <v>4182832.6</v>
          </cell>
          <cell r="Y281">
            <v>-217339</v>
          </cell>
          <cell r="Z281">
            <v>0</v>
          </cell>
          <cell r="AA281">
            <v>0</v>
          </cell>
          <cell r="AB281">
            <v>0</v>
          </cell>
          <cell r="AD281">
            <v>3965493.6</v>
          </cell>
          <cell r="AE281">
            <v>0</v>
          </cell>
          <cell r="AF281">
            <v>0</v>
          </cell>
          <cell r="AG281">
            <v>274168.0900000002</v>
          </cell>
          <cell r="AH281">
            <v>0</v>
          </cell>
          <cell r="AI281">
            <v>-1738159.5</v>
          </cell>
          <cell r="AJ281">
            <v>-1463991.41</v>
          </cell>
          <cell r="AK281">
            <v>76068.649999999936</v>
          </cell>
          <cell r="AL281">
            <v>0</v>
          </cell>
          <cell r="AM281">
            <v>0</v>
          </cell>
          <cell r="AN281">
            <v>0</v>
          </cell>
          <cell r="AO281">
            <v>350236.74</v>
          </cell>
          <cell r="AQ281">
            <v>-3075983.4000000004</v>
          </cell>
          <cell r="AR281">
            <v>1146924.247</v>
          </cell>
        </row>
        <row r="282">
          <cell r="AD282">
            <v>67016.841839999994</v>
          </cell>
          <cell r="AG282">
            <v>-274168.08999999997</v>
          </cell>
          <cell r="AK282">
            <v>0</v>
          </cell>
        </row>
        <row r="283">
          <cell r="AO283">
            <v>1387922.76</v>
          </cell>
        </row>
        <row r="288">
          <cell r="U288">
            <v>-783337.39999999991</v>
          </cell>
          <cell r="V288">
            <v>0</v>
          </cell>
          <cell r="W288">
            <v>4966170</v>
          </cell>
          <cell r="X288">
            <v>4182832.6</v>
          </cell>
          <cell r="Y288">
            <v>-217339</v>
          </cell>
          <cell r="Z288">
            <v>0</v>
          </cell>
          <cell r="AA288">
            <v>0</v>
          </cell>
          <cell r="AB288">
            <v>0</v>
          </cell>
          <cell r="AC288">
            <v>0</v>
          </cell>
          <cell r="AD288">
            <v>3965493.6</v>
          </cell>
          <cell r="AE288">
            <v>0</v>
          </cell>
          <cell r="AF288">
            <v>0</v>
          </cell>
          <cell r="AG288">
            <v>274168.0900000002</v>
          </cell>
          <cell r="AH288">
            <v>0</v>
          </cell>
          <cell r="AI288">
            <v>-1738159.5</v>
          </cell>
          <cell r="AJ288">
            <v>-1463991.41</v>
          </cell>
          <cell r="AK288">
            <v>76068.649999999936</v>
          </cell>
          <cell r="AL288">
            <v>0</v>
          </cell>
          <cell r="AM288">
            <v>0</v>
          </cell>
          <cell r="AN288">
            <v>0</v>
          </cell>
          <cell r="AO288">
            <v>1738159.5</v>
          </cell>
          <cell r="AP288">
            <v>0</v>
          </cell>
          <cell r="AQ288">
            <v>-3075983.4000000004</v>
          </cell>
          <cell r="AR288">
            <v>1146924.247</v>
          </cell>
        </row>
        <row r="297">
          <cell r="AQ297">
            <v>0</v>
          </cell>
          <cell r="AR297">
            <v>0</v>
          </cell>
        </row>
        <row r="302">
          <cell r="U302">
            <v>0</v>
          </cell>
          <cell r="V302">
            <v>0</v>
          </cell>
          <cell r="W302">
            <v>0</v>
          </cell>
          <cell r="X302">
            <v>0</v>
          </cell>
          <cell r="Y302">
            <v>0</v>
          </cell>
          <cell r="AB302">
            <v>0</v>
          </cell>
          <cell r="AD302">
            <v>0</v>
          </cell>
          <cell r="AE302">
            <v>0</v>
          </cell>
          <cell r="AF302">
            <v>0</v>
          </cell>
          <cell r="AG302">
            <v>0</v>
          </cell>
          <cell r="AK302">
            <v>0</v>
          </cell>
          <cell r="AL302">
            <v>0</v>
          </cell>
          <cell r="AM302">
            <v>0</v>
          </cell>
          <cell r="AN302">
            <v>0</v>
          </cell>
          <cell r="AO302">
            <v>0</v>
          </cell>
          <cell r="AQ302">
            <v>0</v>
          </cell>
          <cell r="AR302">
            <v>0</v>
          </cell>
        </row>
        <row r="305">
          <cell r="U305">
            <v>0</v>
          </cell>
          <cell r="V305">
            <v>0</v>
          </cell>
          <cell r="W305">
            <v>0</v>
          </cell>
          <cell r="X305">
            <v>0</v>
          </cell>
          <cell r="Y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18">
          <cell r="V318">
            <v>0</v>
          </cell>
          <cell r="W318">
            <v>0</v>
          </cell>
        </row>
        <row r="319">
          <cell r="AQ319">
            <v>0</v>
          </cell>
          <cell r="AR319">
            <v>0</v>
          </cell>
        </row>
        <row r="320">
          <cell r="X320">
            <v>0</v>
          </cell>
        </row>
        <row r="323">
          <cell r="U323">
            <v>-1599505</v>
          </cell>
          <cell r="X323">
            <v>-1599505</v>
          </cell>
          <cell r="Y323">
            <v>0</v>
          </cell>
          <cell r="AD323">
            <v>-1599505</v>
          </cell>
          <cell r="AG323">
            <v>559826.75</v>
          </cell>
          <cell r="AH323">
            <v>0</v>
          </cell>
          <cell r="AI323">
            <v>0</v>
          </cell>
          <cell r="AJ323">
            <v>559826.75</v>
          </cell>
          <cell r="AK323">
            <v>0</v>
          </cell>
          <cell r="AL323">
            <v>0</v>
          </cell>
          <cell r="AM323">
            <v>0</v>
          </cell>
          <cell r="AN323">
            <v>0</v>
          </cell>
          <cell r="AO323">
            <v>559826.75</v>
          </cell>
          <cell r="AQ323">
            <v>0</v>
          </cell>
          <cell r="AR323">
            <v>559826.75</v>
          </cell>
        </row>
        <row r="324">
          <cell r="U324">
            <v>0</v>
          </cell>
          <cell r="X324">
            <v>0</v>
          </cell>
          <cell r="Y324">
            <v>0</v>
          </cell>
          <cell r="AD324">
            <v>0</v>
          </cell>
          <cell r="AG324">
            <v>0</v>
          </cell>
          <cell r="AH324">
            <v>0</v>
          </cell>
          <cell r="AI324">
            <v>0</v>
          </cell>
          <cell r="AJ324">
            <v>0</v>
          </cell>
          <cell r="AK324">
            <v>0</v>
          </cell>
          <cell r="AL324">
            <v>0</v>
          </cell>
          <cell r="AM324">
            <v>0</v>
          </cell>
          <cell r="AN324">
            <v>0</v>
          </cell>
          <cell r="AO324">
            <v>0</v>
          </cell>
          <cell r="AQ324">
            <v>0</v>
          </cell>
          <cell r="AR324">
            <v>0</v>
          </cell>
        </row>
        <row r="325">
          <cell r="U325">
            <v>0</v>
          </cell>
          <cell r="X325">
            <v>0</v>
          </cell>
          <cell r="Y325">
            <v>0</v>
          </cell>
          <cell r="AD325">
            <v>0</v>
          </cell>
          <cell r="AG325">
            <v>0</v>
          </cell>
          <cell r="AH325">
            <v>0</v>
          </cell>
          <cell r="AI325">
            <v>0</v>
          </cell>
          <cell r="AJ325">
            <v>0</v>
          </cell>
          <cell r="AK325">
            <v>0</v>
          </cell>
          <cell r="AL325">
            <v>0</v>
          </cell>
          <cell r="AM325">
            <v>0</v>
          </cell>
          <cell r="AN325">
            <v>0</v>
          </cell>
          <cell r="AO325">
            <v>0</v>
          </cell>
          <cell r="AQ325">
            <v>0</v>
          </cell>
          <cell r="AR325">
            <v>0</v>
          </cell>
        </row>
        <row r="326">
          <cell r="U326">
            <v>695722</v>
          </cell>
          <cell r="X326">
            <v>695722</v>
          </cell>
          <cell r="Y326">
            <v>0</v>
          </cell>
          <cell r="AD326">
            <v>695722</v>
          </cell>
          <cell r="AG326">
            <v>-243502.7</v>
          </cell>
          <cell r="AH326">
            <v>0</v>
          </cell>
          <cell r="AI326">
            <v>0</v>
          </cell>
          <cell r="AJ326">
            <v>-243502.7</v>
          </cell>
          <cell r="AK326">
            <v>0</v>
          </cell>
          <cell r="AL326">
            <v>0</v>
          </cell>
          <cell r="AM326">
            <v>0</v>
          </cell>
          <cell r="AN326">
            <v>0</v>
          </cell>
          <cell r="AO326">
            <v>-243502.7</v>
          </cell>
          <cell r="AQ326">
            <v>0</v>
          </cell>
          <cell r="AR326">
            <v>-243502.7</v>
          </cell>
        </row>
        <row r="327">
          <cell r="U327">
            <v>0</v>
          </cell>
          <cell r="X327">
            <v>0</v>
          </cell>
          <cell r="Y327">
            <v>0</v>
          </cell>
          <cell r="AD327">
            <v>0</v>
          </cell>
          <cell r="AG327">
            <v>0</v>
          </cell>
          <cell r="AH327">
            <v>0</v>
          </cell>
          <cell r="AI327">
            <v>0</v>
          </cell>
          <cell r="AJ327">
            <v>0</v>
          </cell>
          <cell r="AK327">
            <v>0</v>
          </cell>
          <cell r="AL327">
            <v>0</v>
          </cell>
          <cell r="AM327">
            <v>0</v>
          </cell>
          <cell r="AN327">
            <v>0</v>
          </cell>
          <cell r="AO327">
            <v>0</v>
          </cell>
          <cell r="AQ327">
            <v>0</v>
          </cell>
          <cell r="AR327">
            <v>0</v>
          </cell>
        </row>
        <row r="328">
          <cell r="U328">
            <v>0</v>
          </cell>
          <cell r="X328">
            <v>0</v>
          </cell>
          <cell r="Y328">
            <v>0</v>
          </cell>
          <cell r="AD328">
            <v>0</v>
          </cell>
          <cell r="AG328">
            <v>0</v>
          </cell>
          <cell r="AH328">
            <v>0</v>
          </cell>
          <cell r="AI328">
            <v>0</v>
          </cell>
          <cell r="AJ328">
            <v>0</v>
          </cell>
          <cell r="AK328">
            <v>0</v>
          </cell>
          <cell r="AL328">
            <v>0</v>
          </cell>
          <cell r="AM328">
            <v>0</v>
          </cell>
          <cell r="AN328">
            <v>0</v>
          </cell>
          <cell r="AO328">
            <v>0</v>
          </cell>
          <cell r="AQ328">
            <v>0</v>
          </cell>
          <cell r="AR328">
            <v>0</v>
          </cell>
        </row>
        <row r="329">
          <cell r="U329">
            <v>0</v>
          </cell>
          <cell r="X329">
            <v>0</v>
          </cell>
          <cell r="Y329">
            <v>0</v>
          </cell>
          <cell r="AD329">
            <v>0</v>
          </cell>
          <cell r="AG329">
            <v>0</v>
          </cell>
          <cell r="AH329">
            <v>0</v>
          </cell>
          <cell r="AI329">
            <v>0</v>
          </cell>
          <cell r="AJ329">
            <v>0</v>
          </cell>
          <cell r="AK329">
            <v>0</v>
          </cell>
          <cell r="AL329">
            <v>0</v>
          </cell>
          <cell r="AM329">
            <v>0</v>
          </cell>
          <cell r="AN329">
            <v>0</v>
          </cell>
          <cell r="AO329">
            <v>0</v>
          </cell>
          <cell r="AQ329">
            <v>0</v>
          </cell>
          <cell r="AR329">
            <v>0</v>
          </cell>
        </row>
        <row r="330">
          <cell r="U330">
            <v>-237152</v>
          </cell>
          <cell r="X330">
            <v>-237152</v>
          </cell>
          <cell r="Y330">
            <v>0</v>
          </cell>
          <cell r="AD330">
            <v>-237152</v>
          </cell>
          <cell r="AG330">
            <v>83003.199999999997</v>
          </cell>
          <cell r="AH330">
            <v>0</v>
          </cell>
          <cell r="AI330">
            <v>0</v>
          </cell>
          <cell r="AJ330">
            <v>83003.199999999997</v>
          </cell>
          <cell r="AK330">
            <v>0</v>
          </cell>
          <cell r="AL330">
            <v>0</v>
          </cell>
          <cell r="AM330">
            <v>0</v>
          </cell>
          <cell r="AN330">
            <v>0</v>
          </cell>
          <cell r="AO330">
            <v>83003.199999999997</v>
          </cell>
          <cell r="AQ330">
            <v>0</v>
          </cell>
          <cell r="AR330">
            <v>83003.199999999997</v>
          </cell>
        </row>
        <row r="331">
          <cell r="U331">
            <v>0</v>
          </cell>
          <cell r="X331">
            <v>0</v>
          </cell>
          <cell r="Y331">
            <v>0</v>
          </cell>
          <cell r="AD331">
            <v>0</v>
          </cell>
          <cell r="AG331">
            <v>0</v>
          </cell>
          <cell r="AH331">
            <v>0</v>
          </cell>
          <cell r="AI331">
            <v>0</v>
          </cell>
          <cell r="AJ331">
            <v>0</v>
          </cell>
          <cell r="AK331">
            <v>0</v>
          </cell>
          <cell r="AL331">
            <v>0</v>
          </cell>
          <cell r="AM331">
            <v>0</v>
          </cell>
          <cell r="AN331">
            <v>0</v>
          </cell>
          <cell r="AO331">
            <v>0</v>
          </cell>
          <cell r="AQ331">
            <v>0</v>
          </cell>
          <cell r="AR331">
            <v>0</v>
          </cell>
        </row>
        <row r="332">
          <cell r="U332">
            <v>-373198</v>
          </cell>
          <cell r="X332">
            <v>-373198</v>
          </cell>
          <cell r="Y332">
            <v>0</v>
          </cell>
          <cell r="AD332">
            <v>-373198</v>
          </cell>
          <cell r="AG332">
            <v>130619.3</v>
          </cell>
          <cell r="AH332">
            <v>0</v>
          </cell>
          <cell r="AI332">
            <v>0</v>
          </cell>
          <cell r="AJ332">
            <v>130619.3</v>
          </cell>
          <cell r="AK332">
            <v>0</v>
          </cell>
          <cell r="AL332">
            <v>0</v>
          </cell>
          <cell r="AM332">
            <v>0</v>
          </cell>
          <cell r="AN332">
            <v>0</v>
          </cell>
          <cell r="AO332">
            <v>130619.3</v>
          </cell>
          <cell r="AQ332">
            <v>0</v>
          </cell>
          <cell r="AR332">
            <v>130619.3</v>
          </cell>
        </row>
        <row r="333">
          <cell r="U333">
            <v>0</v>
          </cell>
          <cell r="X333">
            <v>0</v>
          </cell>
          <cell r="Y333">
            <v>0</v>
          </cell>
          <cell r="AD333">
            <v>0</v>
          </cell>
          <cell r="AG333">
            <v>0</v>
          </cell>
          <cell r="AH333">
            <v>0</v>
          </cell>
          <cell r="AI333">
            <v>0</v>
          </cell>
          <cell r="AJ333">
            <v>0</v>
          </cell>
          <cell r="AK333">
            <v>0</v>
          </cell>
          <cell r="AL333">
            <v>0</v>
          </cell>
          <cell r="AM333">
            <v>0</v>
          </cell>
          <cell r="AN333">
            <v>0</v>
          </cell>
          <cell r="AO333">
            <v>0</v>
          </cell>
          <cell r="AQ333">
            <v>0</v>
          </cell>
          <cell r="AR333">
            <v>0</v>
          </cell>
        </row>
        <row r="334">
          <cell r="U334">
            <v>0</v>
          </cell>
          <cell r="X334">
            <v>0</v>
          </cell>
          <cell r="Y334">
            <v>0</v>
          </cell>
          <cell r="AD334">
            <v>0</v>
          </cell>
          <cell r="AG334">
            <v>0</v>
          </cell>
          <cell r="AH334">
            <v>0</v>
          </cell>
          <cell r="AI334">
            <v>0</v>
          </cell>
          <cell r="AJ334">
            <v>0</v>
          </cell>
          <cell r="AK334">
            <v>0</v>
          </cell>
          <cell r="AL334">
            <v>0</v>
          </cell>
          <cell r="AM334">
            <v>0</v>
          </cell>
          <cell r="AN334">
            <v>0</v>
          </cell>
          <cell r="AO334">
            <v>0</v>
          </cell>
          <cell r="AP334">
            <v>1</v>
          </cell>
          <cell r="AQ334">
            <v>0</v>
          </cell>
          <cell r="AR334">
            <v>0</v>
          </cell>
        </row>
        <row r="335">
          <cell r="U335">
            <v>-1335473</v>
          </cell>
          <cell r="X335">
            <v>-1335473</v>
          </cell>
          <cell r="Y335">
            <v>0</v>
          </cell>
          <cell r="AD335">
            <v>-1335473</v>
          </cell>
          <cell r="AG335">
            <v>467415.55</v>
          </cell>
          <cell r="AH335">
            <v>0</v>
          </cell>
          <cell r="AI335">
            <v>0</v>
          </cell>
          <cell r="AJ335">
            <v>467415.55</v>
          </cell>
          <cell r="AK335">
            <v>0</v>
          </cell>
          <cell r="AL335">
            <v>0</v>
          </cell>
          <cell r="AM335">
            <v>0</v>
          </cell>
          <cell r="AN335">
            <v>0</v>
          </cell>
          <cell r="AO335">
            <v>467415.55</v>
          </cell>
          <cell r="AQ335">
            <v>0</v>
          </cell>
          <cell r="AR335">
            <v>467415.55</v>
          </cell>
        </row>
        <row r="336">
          <cell r="U336">
            <v>-1756675</v>
          </cell>
          <cell r="X336">
            <v>-1756675</v>
          </cell>
          <cell r="Y336">
            <v>0</v>
          </cell>
          <cell r="AD336">
            <v>-1756675</v>
          </cell>
          <cell r="AG336">
            <v>614836.25</v>
          </cell>
          <cell r="AH336">
            <v>0</v>
          </cell>
          <cell r="AI336">
            <v>0</v>
          </cell>
          <cell r="AJ336">
            <v>614836.25</v>
          </cell>
          <cell r="AK336">
            <v>0</v>
          </cell>
          <cell r="AL336">
            <v>0</v>
          </cell>
          <cell r="AM336">
            <v>0</v>
          </cell>
          <cell r="AN336">
            <v>0</v>
          </cell>
          <cell r="AO336">
            <v>614836.25</v>
          </cell>
          <cell r="AQ336">
            <v>0</v>
          </cell>
          <cell r="AR336">
            <v>614836.25</v>
          </cell>
        </row>
        <row r="337">
          <cell r="U337">
            <v>0</v>
          </cell>
          <cell r="X337">
            <v>0</v>
          </cell>
          <cell r="Y337">
            <v>0</v>
          </cell>
          <cell r="AD337">
            <v>0</v>
          </cell>
          <cell r="AG337">
            <v>0</v>
          </cell>
          <cell r="AH337">
            <v>0</v>
          </cell>
          <cell r="AI337">
            <v>0</v>
          </cell>
          <cell r="AJ337">
            <v>0</v>
          </cell>
          <cell r="AK337">
            <v>0</v>
          </cell>
          <cell r="AL337">
            <v>0</v>
          </cell>
          <cell r="AM337">
            <v>0</v>
          </cell>
          <cell r="AN337">
            <v>0</v>
          </cell>
          <cell r="AO337">
            <v>0</v>
          </cell>
        </row>
        <row r="338">
          <cell r="U338">
            <v>0</v>
          </cell>
          <cell r="X338">
            <v>0</v>
          </cell>
          <cell r="Y338">
            <v>0</v>
          </cell>
          <cell r="AD338">
            <v>0</v>
          </cell>
          <cell r="AG338">
            <v>0</v>
          </cell>
          <cell r="AH338">
            <v>0</v>
          </cell>
          <cell r="AI338">
            <v>0</v>
          </cell>
          <cell r="AJ338">
            <v>0</v>
          </cell>
          <cell r="AK338">
            <v>0</v>
          </cell>
          <cell r="AL338">
            <v>0</v>
          </cell>
          <cell r="AM338">
            <v>0</v>
          </cell>
          <cell r="AN338">
            <v>0</v>
          </cell>
          <cell r="AO338">
            <v>0</v>
          </cell>
        </row>
        <row r="339">
          <cell r="U339">
            <v>0</v>
          </cell>
          <cell r="X339">
            <v>0</v>
          </cell>
          <cell r="Y339">
            <v>0</v>
          </cell>
          <cell r="AD339">
            <v>0</v>
          </cell>
          <cell r="AG339">
            <v>0</v>
          </cell>
          <cell r="AH339">
            <v>0</v>
          </cell>
          <cell r="AI339">
            <v>0</v>
          </cell>
          <cell r="AJ339">
            <v>0</v>
          </cell>
          <cell r="AK339">
            <v>0</v>
          </cell>
          <cell r="AL339">
            <v>0</v>
          </cell>
          <cell r="AM339">
            <v>0</v>
          </cell>
          <cell r="AN339">
            <v>0</v>
          </cell>
          <cell r="AO339">
            <v>0</v>
          </cell>
        </row>
        <row r="340">
          <cell r="U340">
            <v>0</v>
          </cell>
          <cell r="X340">
            <v>0</v>
          </cell>
          <cell r="Y340">
            <v>0</v>
          </cell>
          <cell r="AD340">
            <v>0</v>
          </cell>
          <cell r="AG340">
            <v>0</v>
          </cell>
          <cell r="AH340">
            <v>0</v>
          </cell>
          <cell r="AI340">
            <v>0</v>
          </cell>
          <cell r="AJ340">
            <v>0</v>
          </cell>
          <cell r="AK340">
            <v>0</v>
          </cell>
          <cell r="AL340">
            <v>0</v>
          </cell>
          <cell r="AM340">
            <v>0</v>
          </cell>
          <cell r="AN340">
            <v>0</v>
          </cell>
          <cell r="AO340">
            <v>0</v>
          </cell>
        </row>
        <row r="341">
          <cell r="U341">
            <v>0</v>
          </cell>
          <cell r="X341">
            <v>0</v>
          </cell>
          <cell r="Y341">
            <v>0</v>
          </cell>
          <cell r="AD341">
            <v>0</v>
          </cell>
          <cell r="AG341">
            <v>0</v>
          </cell>
          <cell r="AJ341">
            <v>0</v>
          </cell>
          <cell r="AK341">
            <v>0</v>
          </cell>
          <cell r="AL341">
            <v>0</v>
          </cell>
          <cell r="AM341">
            <v>0</v>
          </cell>
          <cell r="AN341">
            <v>0</v>
          </cell>
          <cell r="AO341">
            <v>0</v>
          </cell>
          <cell r="AQ341">
            <v>0</v>
          </cell>
          <cell r="AR341">
            <v>0</v>
          </cell>
        </row>
        <row r="342">
          <cell r="AL342">
            <v>0</v>
          </cell>
          <cell r="AM342">
            <v>0</v>
          </cell>
        </row>
        <row r="343">
          <cell r="U343">
            <v>-4606281</v>
          </cell>
          <cell r="V343">
            <v>0</v>
          </cell>
          <cell r="W343">
            <v>0</v>
          </cell>
          <cell r="X343">
            <v>-4606281</v>
          </cell>
          <cell r="Y343">
            <v>0</v>
          </cell>
          <cell r="Z343">
            <v>0</v>
          </cell>
          <cell r="AA343">
            <v>0</v>
          </cell>
          <cell r="AB343">
            <v>0</v>
          </cell>
          <cell r="AD343">
            <v>-4606281</v>
          </cell>
          <cell r="AE343">
            <v>0</v>
          </cell>
          <cell r="AF343">
            <v>0</v>
          </cell>
          <cell r="AG343">
            <v>1612198.35</v>
          </cell>
          <cell r="AH343">
            <v>0</v>
          </cell>
          <cell r="AI343">
            <v>0</v>
          </cell>
          <cell r="AJ343">
            <v>1612198.35</v>
          </cell>
          <cell r="AK343">
            <v>0</v>
          </cell>
          <cell r="AL343">
            <v>0</v>
          </cell>
          <cell r="AM343">
            <v>0</v>
          </cell>
          <cell r="AN343">
            <v>0</v>
          </cell>
          <cell r="AO343">
            <v>1612198.35</v>
          </cell>
          <cell r="AQ343">
            <v>0</v>
          </cell>
          <cell r="AR343">
            <v>1612198.35</v>
          </cell>
        </row>
        <row r="344">
          <cell r="AG344">
            <v>-1612198.3499999999</v>
          </cell>
          <cell r="AO344">
            <v>-1612198.3499999999</v>
          </cell>
        </row>
        <row r="345">
          <cell r="X345">
            <v>0</v>
          </cell>
          <cell r="AD345">
            <v>0</v>
          </cell>
          <cell r="AN345">
            <v>0</v>
          </cell>
          <cell r="AO345">
            <v>0</v>
          </cell>
          <cell r="AQ345">
            <v>0</v>
          </cell>
          <cell r="AR345">
            <v>0</v>
          </cell>
        </row>
        <row r="346">
          <cell r="X346">
            <v>0</v>
          </cell>
          <cell r="AD346">
            <v>0</v>
          </cell>
          <cell r="AN346">
            <v>0</v>
          </cell>
          <cell r="AO346">
            <v>0</v>
          </cell>
          <cell r="AQ346">
            <v>0</v>
          </cell>
          <cell r="AR346">
            <v>0</v>
          </cell>
        </row>
        <row r="347">
          <cell r="X347">
            <v>0</v>
          </cell>
          <cell r="AD347">
            <v>0</v>
          </cell>
          <cell r="AN347">
            <v>0</v>
          </cell>
          <cell r="AO347">
            <v>0</v>
          </cell>
          <cell r="AQ347">
            <v>0</v>
          </cell>
          <cell r="AR347">
            <v>0</v>
          </cell>
        </row>
        <row r="348">
          <cell r="X348">
            <v>0</v>
          </cell>
          <cell r="AD348">
            <v>0</v>
          </cell>
          <cell r="AO348">
            <v>0</v>
          </cell>
          <cell r="AQ348">
            <v>0</v>
          </cell>
          <cell r="AR348">
            <v>0</v>
          </cell>
        </row>
        <row r="349">
          <cell r="U349">
            <v>0</v>
          </cell>
          <cell r="Y349">
            <v>0</v>
          </cell>
          <cell r="Z349">
            <v>0</v>
          </cell>
          <cell r="AA349">
            <v>0</v>
          </cell>
          <cell r="AB349">
            <v>0</v>
          </cell>
          <cell r="AD349">
            <v>0</v>
          </cell>
          <cell r="AE349">
            <v>0</v>
          </cell>
          <cell r="AF349">
            <v>0</v>
          </cell>
          <cell r="AK349">
            <v>0</v>
          </cell>
          <cell r="AL349">
            <v>0</v>
          </cell>
          <cell r="AM349">
            <v>0</v>
          </cell>
          <cell r="AN349">
            <v>0</v>
          </cell>
          <cell r="AO349">
            <v>0</v>
          </cell>
          <cell r="AQ349">
            <v>0</v>
          </cell>
          <cell r="AR349">
            <v>0</v>
          </cell>
        </row>
        <row r="350">
          <cell r="U350">
            <v>-4606281</v>
          </cell>
          <cell r="V350">
            <v>0</v>
          </cell>
          <cell r="W350">
            <v>0</v>
          </cell>
          <cell r="X350">
            <v>-4606281</v>
          </cell>
          <cell r="Y350">
            <v>0</v>
          </cell>
          <cell r="Z350">
            <v>0</v>
          </cell>
          <cell r="AA350">
            <v>0</v>
          </cell>
          <cell r="AB350">
            <v>0</v>
          </cell>
          <cell r="AD350">
            <v>-4606281</v>
          </cell>
          <cell r="AE350">
            <v>0</v>
          </cell>
          <cell r="AF350">
            <v>0</v>
          </cell>
          <cell r="AG350">
            <v>1612198.35</v>
          </cell>
          <cell r="AH350">
            <v>0</v>
          </cell>
          <cell r="AI350">
            <v>0</v>
          </cell>
          <cell r="AJ350">
            <v>1612198.35</v>
          </cell>
          <cell r="AK350">
            <v>0</v>
          </cell>
          <cell r="AL350">
            <v>0</v>
          </cell>
          <cell r="AM350">
            <v>0</v>
          </cell>
          <cell r="AN350">
            <v>0</v>
          </cell>
          <cell r="AO350">
            <v>1612198.35</v>
          </cell>
          <cell r="AQ350">
            <v>0</v>
          </cell>
          <cell r="AR350">
            <v>1612198.35</v>
          </cell>
        </row>
        <row r="352">
          <cell r="AO352">
            <v>-1612198.3499999999</v>
          </cell>
        </row>
        <row r="356">
          <cell r="U356">
            <v>-4606281</v>
          </cell>
          <cell r="V356">
            <v>0</v>
          </cell>
          <cell r="W356">
            <v>0</v>
          </cell>
          <cell r="X356">
            <v>-4606281</v>
          </cell>
          <cell r="Y356">
            <v>0</v>
          </cell>
          <cell r="Z356">
            <v>0</v>
          </cell>
          <cell r="AA356">
            <v>0</v>
          </cell>
          <cell r="AB356">
            <v>0</v>
          </cell>
          <cell r="AC356">
            <v>0</v>
          </cell>
          <cell r="AD356">
            <v>-4606281</v>
          </cell>
          <cell r="AE356">
            <v>0</v>
          </cell>
          <cell r="AF356">
            <v>0</v>
          </cell>
          <cell r="AG356">
            <v>1612198.35</v>
          </cell>
          <cell r="AH356">
            <v>0</v>
          </cell>
          <cell r="AI356">
            <v>0</v>
          </cell>
          <cell r="AJ356">
            <v>1612198.35</v>
          </cell>
          <cell r="AK356">
            <v>0</v>
          </cell>
          <cell r="AL356">
            <v>0</v>
          </cell>
          <cell r="AM356">
            <v>0</v>
          </cell>
          <cell r="AN356">
            <v>0</v>
          </cell>
          <cell r="AO356">
            <v>2.3283064365386963E-10</v>
          </cell>
          <cell r="AP356">
            <v>0</v>
          </cell>
          <cell r="AQ356">
            <v>0</v>
          </cell>
          <cell r="AR356">
            <v>1612198.35</v>
          </cell>
        </row>
        <row r="376">
          <cell r="V376">
            <v>0</v>
          </cell>
          <cell r="W376">
            <v>0</v>
          </cell>
        </row>
        <row r="377">
          <cell r="AQ377">
            <v>0</v>
          </cell>
          <cell r="AR377">
            <v>0</v>
          </cell>
        </row>
        <row r="378">
          <cell r="X378">
            <v>0</v>
          </cell>
        </row>
        <row r="379">
          <cell r="X379">
            <v>0</v>
          </cell>
        </row>
        <row r="380">
          <cell r="U380">
            <v>0</v>
          </cell>
          <cell r="X380">
            <v>0</v>
          </cell>
          <cell r="Y380">
            <v>0</v>
          </cell>
          <cell r="AD380">
            <v>0</v>
          </cell>
          <cell r="AG380">
            <v>0</v>
          </cell>
          <cell r="AH380">
            <v>0</v>
          </cell>
          <cell r="AI380">
            <v>0</v>
          </cell>
          <cell r="AJ380">
            <v>0</v>
          </cell>
          <cell r="AK380">
            <v>0</v>
          </cell>
          <cell r="AL380">
            <v>0</v>
          </cell>
          <cell r="AM380">
            <v>0</v>
          </cell>
          <cell r="AN380">
            <v>0</v>
          </cell>
          <cell r="AO380">
            <v>0</v>
          </cell>
          <cell r="AP380">
            <v>1</v>
          </cell>
          <cell r="AQ380">
            <v>0</v>
          </cell>
          <cell r="AR380">
            <v>0</v>
          </cell>
        </row>
        <row r="381">
          <cell r="U381">
            <v>-577677</v>
          </cell>
          <cell r="W381">
            <v>577677</v>
          </cell>
          <cell r="X381">
            <v>0</v>
          </cell>
          <cell r="Y381">
            <v>0</v>
          </cell>
          <cell r="AD381">
            <v>0</v>
          </cell>
          <cell r="AG381">
            <v>202186.95</v>
          </cell>
          <cell r="AH381">
            <v>0</v>
          </cell>
          <cell r="AI381">
            <v>-202186.94999999998</v>
          </cell>
          <cell r="AJ381">
            <v>0</v>
          </cell>
          <cell r="AK381">
            <v>0</v>
          </cell>
          <cell r="AL381">
            <v>0</v>
          </cell>
          <cell r="AM381">
            <v>0</v>
          </cell>
          <cell r="AN381">
            <v>0</v>
          </cell>
          <cell r="AO381">
            <v>0</v>
          </cell>
          <cell r="AQ381">
            <v>0</v>
          </cell>
          <cell r="AR381">
            <v>0</v>
          </cell>
        </row>
        <row r="382">
          <cell r="U382">
            <v>-200000</v>
          </cell>
          <cell r="W382">
            <v>889249</v>
          </cell>
          <cell r="X382">
            <v>689249</v>
          </cell>
          <cell r="Y382">
            <v>-689249</v>
          </cell>
          <cell r="AD382">
            <v>0</v>
          </cell>
          <cell r="AG382">
            <v>70000</v>
          </cell>
          <cell r="AH382">
            <v>0</v>
          </cell>
          <cell r="AI382">
            <v>-311237.14999999997</v>
          </cell>
          <cell r="AJ382">
            <v>-241237.14999999997</v>
          </cell>
          <cell r="AK382">
            <v>241237.15</v>
          </cell>
          <cell r="AL382">
            <v>0</v>
          </cell>
          <cell r="AM382">
            <v>0</v>
          </cell>
          <cell r="AN382">
            <v>0</v>
          </cell>
          <cell r="AO382">
            <v>2.9103830456733704E-11</v>
          </cell>
        </row>
        <row r="383">
          <cell r="U383">
            <v>0</v>
          </cell>
          <cell r="W383">
            <v>-1466926</v>
          </cell>
          <cell r="X383">
            <v>-1466926</v>
          </cell>
          <cell r="Y383">
            <v>277749</v>
          </cell>
          <cell r="AD383">
            <v>-1189177</v>
          </cell>
          <cell r="AG383">
            <v>0</v>
          </cell>
          <cell r="AH383">
            <v>0</v>
          </cell>
          <cell r="AI383">
            <v>513424.1</v>
          </cell>
          <cell r="AJ383">
            <v>513424.1</v>
          </cell>
          <cell r="AK383">
            <v>-97212.15</v>
          </cell>
          <cell r="AL383">
            <v>0</v>
          </cell>
          <cell r="AM383">
            <v>0</v>
          </cell>
          <cell r="AN383">
            <v>0</v>
          </cell>
          <cell r="AO383">
            <v>416211.94999999995</v>
          </cell>
        </row>
        <row r="384">
          <cell r="U384">
            <v>0</v>
          </cell>
          <cell r="X384">
            <v>0</v>
          </cell>
          <cell r="Y384">
            <v>-89485</v>
          </cell>
          <cell r="AD384">
            <v>-89485</v>
          </cell>
          <cell r="AG384">
            <v>0</v>
          </cell>
          <cell r="AH384">
            <v>0</v>
          </cell>
          <cell r="AI384">
            <v>0</v>
          </cell>
          <cell r="AJ384">
            <v>0</v>
          </cell>
          <cell r="AK384">
            <v>31319.749999999996</v>
          </cell>
          <cell r="AL384">
            <v>0</v>
          </cell>
          <cell r="AM384">
            <v>0</v>
          </cell>
          <cell r="AN384">
            <v>0</v>
          </cell>
          <cell r="AO384">
            <v>31319.749999999996</v>
          </cell>
          <cell r="AQ384">
            <v>0</v>
          </cell>
          <cell r="AR384">
            <v>31319.749999999996</v>
          </cell>
        </row>
        <row r="385">
          <cell r="U385">
            <v>-146251</v>
          </cell>
          <cell r="X385">
            <v>-146251</v>
          </cell>
          <cell r="Y385">
            <v>0</v>
          </cell>
          <cell r="AD385">
            <v>-146251</v>
          </cell>
          <cell r="AG385">
            <v>51187.85</v>
          </cell>
          <cell r="AH385">
            <v>0</v>
          </cell>
          <cell r="AI385">
            <v>0</v>
          </cell>
          <cell r="AJ385">
            <v>51187.85</v>
          </cell>
          <cell r="AK385">
            <v>0</v>
          </cell>
          <cell r="AL385">
            <v>0</v>
          </cell>
          <cell r="AM385">
            <v>0</v>
          </cell>
          <cell r="AO385">
            <v>51187.85</v>
          </cell>
        </row>
        <row r="386">
          <cell r="U386">
            <v>95616</v>
          </cell>
          <cell r="X386">
            <v>95616</v>
          </cell>
          <cell r="Y386">
            <v>1</v>
          </cell>
          <cell r="AD386">
            <v>95617</v>
          </cell>
          <cell r="AG386">
            <v>-33465.599999999999</v>
          </cell>
          <cell r="AH386">
            <v>0</v>
          </cell>
          <cell r="AI386">
            <v>0</v>
          </cell>
          <cell r="AJ386">
            <v>-33465.599999999999</v>
          </cell>
          <cell r="AK386">
            <v>-0.35</v>
          </cell>
          <cell r="AL386">
            <v>0</v>
          </cell>
          <cell r="AM386">
            <v>0</v>
          </cell>
          <cell r="AO386">
            <v>-33465.949999999997</v>
          </cell>
        </row>
        <row r="387">
          <cell r="U387">
            <v>-539000</v>
          </cell>
          <cell r="X387">
            <v>-539000</v>
          </cell>
          <cell r="Y387">
            <v>-576000</v>
          </cell>
          <cell r="AD387">
            <v>-1115000</v>
          </cell>
          <cell r="AG387">
            <v>188650</v>
          </cell>
          <cell r="AH387">
            <v>0</v>
          </cell>
          <cell r="AI387">
            <v>0</v>
          </cell>
          <cell r="AJ387">
            <v>188650</v>
          </cell>
          <cell r="AK387">
            <v>201600</v>
          </cell>
          <cell r="AL387">
            <v>0</v>
          </cell>
          <cell r="AM387">
            <v>0</v>
          </cell>
          <cell r="AO387">
            <v>390250</v>
          </cell>
        </row>
        <row r="388">
          <cell r="U388">
            <v>-76000</v>
          </cell>
          <cell r="X388">
            <v>-76000</v>
          </cell>
          <cell r="Y388">
            <v>0</v>
          </cell>
          <cell r="AD388">
            <v>-76000</v>
          </cell>
          <cell r="AG388">
            <v>26600</v>
          </cell>
          <cell r="AH388">
            <v>0</v>
          </cell>
          <cell r="AI388">
            <v>0</v>
          </cell>
          <cell r="AJ388">
            <v>26600</v>
          </cell>
          <cell r="AK388">
            <v>0</v>
          </cell>
          <cell r="AL388">
            <v>0</v>
          </cell>
          <cell r="AM388">
            <v>0</v>
          </cell>
          <cell r="AO388">
            <v>26600</v>
          </cell>
        </row>
        <row r="389">
          <cell r="U389">
            <v>-1846359</v>
          </cell>
          <cell r="X389">
            <v>-1846359</v>
          </cell>
          <cell r="Y389">
            <v>0</v>
          </cell>
          <cell r="AD389">
            <v>-1846359</v>
          </cell>
          <cell r="AG389">
            <v>646225.65</v>
          </cell>
          <cell r="AH389">
            <v>0</v>
          </cell>
          <cell r="AI389">
            <v>0</v>
          </cell>
          <cell r="AJ389">
            <v>646225.65</v>
          </cell>
          <cell r="AK389">
            <v>0</v>
          </cell>
          <cell r="AL389">
            <v>0</v>
          </cell>
          <cell r="AM389">
            <v>0</v>
          </cell>
          <cell r="AN389">
            <v>0</v>
          </cell>
          <cell r="AO389">
            <v>646225.65</v>
          </cell>
        </row>
        <row r="390">
          <cell r="U390">
            <v>-1783948</v>
          </cell>
          <cell r="X390">
            <v>-1783948</v>
          </cell>
          <cell r="Y390">
            <v>22819</v>
          </cell>
          <cell r="AD390">
            <v>-1761129</v>
          </cell>
          <cell r="AG390">
            <v>624381.80000000005</v>
          </cell>
          <cell r="AH390">
            <v>0</v>
          </cell>
          <cell r="AI390">
            <v>0</v>
          </cell>
          <cell r="AJ390">
            <v>624381.80000000005</v>
          </cell>
          <cell r="AK390">
            <v>-7986.65</v>
          </cell>
          <cell r="AL390">
            <v>0</v>
          </cell>
          <cell r="AM390">
            <v>0</v>
          </cell>
          <cell r="AN390">
            <v>0</v>
          </cell>
          <cell r="AO390">
            <v>616395.15</v>
          </cell>
        </row>
        <row r="391">
          <cell r="U391">
            <v>3464924</v>
          </cell>
          <cell r="V391">
            <v>-322000</v>
          </cell>
          <cell r="X391">
            <v>3142924</v>
          </cell>
          <cell r="Y391">
            <v>-793571</v>
          </cell>
          <cell r="AD391">
            <v>2349353</v>
          </cell>
          <cell r="AG391">
            <v>-1212723.3999999999</v>
          </cell>
          <cell r="AH391">
            <v>112700</v>
          </cell>
          <cell r="AI391">
            <v>0</v>
          </cell>
          <cell r="AJ391">
            <v>-1100023.3999999999</v>
          </cell>
          <cell r="AK391">
            <v>277749.84999999998</v>
          </cell>
          <cell r="AL391">
            <v>0</v>
          </cell>
          <cell r="AM391">
            <v>0</v>
          </cell>
          <cell r="AN391">
            <v>0</v>
          </cell>
          <cell r="AO391">
            <v>-822273.54999999993</v>
          </cell>
        </row>
        <row r="392">
          <cell r="U392">
            <v>0</v>
          </cell>
          <cell r="X392">
            <v>0</v>
          </cell>
          <cell r="Y392">
            <v>-61000</v>
          </cell>
          <cell r="AD392">
            <v>-61000</v>
          </cell>
          <cell r="AG392">
            <v>0</v>
          </cell>
          <cell r="AH392">
            <v>0</v>
          </cell>
          <cell r="AI392">
            <v>0</v>
          </cell>
          <cell r="AJ392">
            <v>0</v>
          </cell>
          <cell r="AK392">
            <v>21350</v>
          </cell>
          <cell r="AL392">
            <v>0</v>
          </cell>
          <cell r="AM392">
            <v>0</v>
          </cell>
          <cell r="AN392">
            <v>0</v>
          </cell>
          <cell r="AO392">
            <v>21350</v>
          </cell>
        </row>
        <row r="393">
          <cell r="U393">
            <v>-379000</v>
          </cell>
          <cell r="X393">
            <v>-379000</v>
          </cell>
          <cell r="Y393">
            <v>0</v>
          </cell>
          <cell r="AD393">
            <v>-379000</v>
          </cell>
          <cell r="AG393">
            <v>132650</v>
          </cell>
          <cell r="AH393">
            <v>0</v>
          </cell>
          <cell r="AI393">
            <v>0</v>
          </cell>
          <cell r="AJ393">
            <v>132650</v>
          </cell>
          <cell r="AK393">
            <v>0</v>
          </cell>
          <cell r="AL393">
            <v>0</v>
          </cell>
          <cell r="AM393">
            <v>0</v>
          </cell>
          <cell r="AN393">
            <v>0</v>
          </cell>
          <cell r="AO393">
            <v>132650</v>
          </cell>
        </row>
        <row r="394">
          <cell r="U394">
            <v>-3941376.62</v>
          </cell>
          <cell r="V394">
            <v>322000</v>
          </cell>
          <cell r="X394">
            <v>-3619376.62</v>
          </cell>
          <cell r="Y394">
            <v>-45195</v>
          </cell>
          <cell r="AD394">
            <v>-3664571.62</v>
          </cell>
          <cell r="AG394">
            <v>1379481.817</v>
          </cell>
          <cell r="AH394">
            <v>-112700</v>
          </cell>
          <cell r="AI394">
            <v>0</v>
          </cell>
          <cell r="AJ394">
            <v>1266781.817</v>
          </cell>
          <cell r="AK394">
            <v>15818.249999999998</v>
          </cell>
          <cell r="AL394">
            <v>0</v>
          </cell>
          <cell r="AM394">
            <v>0</v>
          </cell>
          <cell r="AN394">
            <v>0</v>
          </cell>
          <cell r="AO394">
            <v>1282600.067</v>
          </cell>
        </row>
        <row r="395">
          <cell r="U395">
            <v>143805</v>
          </cell>
          <cell r="X395">
            <v>143805</v>
          </cell>
          <cell r="Y395">
            <v>-143805</v>
          </cell>
          <cell r="AD395">
            <v>0</v>
          </cell>
          <cell r="AG395">
            <v>-50331.75</v>
          </cell>
          <cell r="AH395">
            <v>0</v>
          </cell>
          <cell r="AI395">
            <v>0</v>
          </cell>
          <cell r="AJ395">
            <v>-50331.75</v>
          </cell>
          <cell r="AK395">
            <v>50331.75</v>
          </cell>
          <cell r="AL395">
            <v>0</v>
          </cell>
          <cell r="AM395">
            <v>0</v>
          </cell>
          <cell r="AN395">
            <v>0</v>
          </cell>
          <cell r="AO395">
            <v>0</v>
          </cell>
        </row>
        <row r="396">
          <cell r="U396">
            <v>-1361669</v>
          </cell>
          <cell r="X396">
            <v>-1361669</v>
          </cell>
          <cell r="Y396">
            <v>98500</v>
          </cell>
          <cell r="AD396">
            <v>-1263169</v>
          </cell>
          <cell r="AG396">
            <v>476584.15</v>
          </cell>
          <cell r="AH396">
            <v>0</v>
          </cell>
          <cell r="AI396">
            <v>0</v>
          </cell>
          <cell r="AJ396">
            <v>476584.15</v>
          </cell>
          <cell r="AK396">
            <v>-34475</v>
          </cell>
          <cell r="AL396">
            <v>0</v>
          </cell>
          <cell r="AM396">
            <v>0</v>
          </cell>
          <cell r="AN396">
            <v>0</v>
          </cell>
          <cell r="AO396">
            <v>442109.15</v>
          </cell>
          <cell r="AQ396">
            <v>0</v>
          </cell>
          <cell r="AR396">
            <v>442109.15</v>
          </cell>
        </row>
        <row r="397">
          <cell r="U397">
            <v>-28437</v>
          </cell>
          <cell r="X397">
            <v>-28437</v>
          </cell>
          <cell r="Y397">
            <v>0</v>
          </cell>
          <cell r="AD397">
            <v>-28437</v>
          </cell>
          <cell r="AG397">
            <v>9952.9500000000007</v>
          </cell>
          <cell r="AH397">
            <v>0</v>
          </cell>
          <cell r="AI397">
            <v>0</v>
          </cell>
          <cell r="AJ397">
            <v>9952.9500000000007</v>
          </cell>
          <cell r="AK397">
            <v>0</v>
          </cell>
          <cell r="AL397">
            <v>0</v>
          </cell>
          <cell r="AM397">
            <v>0</v>
          </cell>
          <cell r="AN397">
            <v>0</v>
          </cell>
          <cell r="AO397">
            <v>9952.9500000000007</v>
          </cell>
        </row>
        <row r="398">
          <cell r="U398">
            <v>-4448503</v>
          </cell>
          <cell r="X398">
            <v>-4448503</v>
          </cell>
          <cell r="Y398">
            <v>0</v>
          </cell>
          <cell r="AD398">
            <v>-4448503</v>
          </cell>
          <cell r="AG398">
            <v>1556976.05</v>
          </cell>
          <cell r="AH398">
            <v>0</v>
          </cell>
          <cell r="AI398">
            <v>0</v>
          </cell>
          <cell r="AJ398">
            <v>1556976.05</v>
          </cell>
          <cell r="AK398">
            <v>0</v>
          </cell>
          <cell r="AL398">
            <v>0</v>
          </cell>
          <cell r="AM398">
            <v>0</v>
          </cell>
          <cell r="AN398">
            <v>0</v>
          </cell>
          <cell r="AO398">
            <v>1556976.05</v>
          </cell>
        </row>
        <row r="399">
          <cell r="U399">
            <v>0</v>
          </cell>
          <cell r="X399">
            <v>0</v>
          </cell>
          <cell r="Y399">
            <v>-727253</v>
          </cell>
          <cell r="AD399">
            <v>-727253</v>
          </cell>
          <cell r="AG399">
            <v>0</v>
          </cell>
          <cell r="AH399">
            <v>0</v>
          </cell>
          <cell r="AI399">
            <v>0</v>
          </cell>
          <cell r="AJ399">
            <v>0</v>
          </cell>
          <cell r="AK399">
            <v>254538.55</v>
          </cell>
          <cell r="AL399">
            <v>0</v>
          </cell>
          <cell r="AM399">
            <v>0</v>
          </cell>
          <cell r="AN399">
            <v>0</v>
          </cell>
          <cell r="AO399">
            <v>254538.55</v>
          </cell>
        </row>
        <row r="400">
          <cell r="U400">
            <v>0</v>
          </cell>
          <cell r="Y400">
            <v>0</v>
          </cell>
          <cell r="AD400">
            <v>0</v>
          </cell>
          <cell r="AG400">
            <v>0</v>
          </cell>
          <cell r="AJ400">
            <v>0</v>
          </cell>
          <cell r="AK400">
            <v>0</v>
          </cell>
          <cell r="AN400">
            <v>0</v>
          </cell>
          <cell r="AO400">
            <v>0</v>
          </cell>
        </row>
        <row r="401">
          <cell r="U401">
            <v>0</v>
          </cell>
          <cell r="Y401">
            <v>0</v>
          </cell>
          <cell r="AD401">
            <v>0</v>
          </cell>
          <cell r="AG401">
            <v>0</v>
          </cell>
          <cell r="AJ401">
            <v>0</v>
          </cell>
          <cell r="AK401">
            <v>0</v>
          </cell>
          <cell r="AN401">
            <v>0</v>
          </cell>
          <cell r="AO401">
            <v>0</v>
          </cell>
        </row>
        <row r="402">
          <cell r="U402">
            <v>0</v>
          </cell>
          <cell r="Y402">
            <v>0</v>
          </cell>
          <cell r="AD402">
            <v>0</v>
          </cell>
          <cell r="AG402">
            <v>0</v>
          </cell>
          <cell r="AJ402">
            <v>0</v>
          </cell>
          <cell r="AK402">
            <v>0</v>
          </cell>
          <cell r="AN402">
            <v>0</v>
          </cell>
          <cell r="AO402">
            <v>0</v>
          </cell>
        </row>
        <row r="403">
          <cell r="U403">
            <v>0</v>
          </cell>
          <cell r="Y403">
            <v>0</v>
          </cell>
          <cell r="AD403">
            <v>0</v>
          </cell>
          <cell r="AG403">
            <v>0</v>
          </cell>
          <cell r="AJ403">
            <v>0</v>
          </cell>
          <cell r="AK403">
            <v>0</v>
          </cell>
          <cell r="AN403">
            <v>0</v>
          </cell>
          <cell r="AO403">
            <v>0</v>
          </cell>
        </row>
        <row r="404">
          <cell r="U404">
            <v>-11623875.620000001</v>
          </cell>
          <cell r="V404">
            <v>0</v>
          </cell>
          <cell r="W404">
            <v>0</v>
          </cell>
          <cell r="X404">
            <v>-11623875.620000001</v>
          </cell>
          <cell r="Y404">
            <v>-2726489</v>
          </cell>
          <cell r="Z404">
            <v>0</v>
          </cell>
          <cell r="AA404">
            <v>0</v>
          </cell>
          <cell r="AB404">
            <v>0</v>
          </cell>
          <cell r="AD404">
            <v>-14350364.620000001</v>
          </cell>
          <cell r="AE404">
            <v>0</v>
          </cell>
          <cell r="AF404">
            <v>0</v>
          </cell>
          <cell r="AG404">
            <v>4068356.4670000002</v>
          </cell>
          <cell r="AH404">
            <v>0</v>
          </cell>
          <cell r="AI404">
            <v>0</v>
          </cell>
          <cell r="AJ404">
            <v>4068356.4670000002</v>
          </cell>
          <cell r="AK404">
            <v>954271.14999999991</v>
          </cell>
          <cell r="AL404">
            <v>0</v>
          </cell>
          <cell r="AM404">
            <v>0</v>
          </cell>
          <cell r="AN404">
            <v>0</v>
          </cell>
          <cell r="AO404">
            <v>5022627.6170000006</v>
          </cell>
          <cell r="AQ404">
            <v>0</v>
          </cell>
          <cell r="AR404">
            <v>473428.9</v>
          </cell>
        </row>
        <row r="405">
          <cell r="AD405">
            <v>-242521.16207799999</v>
          </cell>
          <cell r="AG405">
            <v>-4068356.4670000002</v>
          </cell>
        </row>
        <row r="406">
          <cell r="AO406">
            <v>-5022627.6169999996</v>
          </cell>
        </row>
        <row r="411">
          <cell r="U411">
            <v>-11623875.620000001</v>
          </cell>
          <cell r="V411">
            <v>0</v>
          </cell>
          <cell r="W411">
            <v>0</v>
          </cell>
          <cell r="X411">
            <v>-11623875.620000001</v>
          </cell>
          <cell r="Y411">
            <v>-2726489</v>
          </cell>
          <cell r="Z411">
            <v>0</v>
          </cell>
          <cell r="AA411">
            <v>0</v>
          </cell>
          <cell r="AB411">
            <v>0</v>
          </cell>
          <cell r="AC411">
            <v>0</v>
          </cell>
          <cell r="AD411">
            <v>-14350364.620000001</v>
          </cell>
          <cell r="AE411">
            <v>0</v>
          </cell>
          <cell r="AF411">
            <v>0</v>
          </cell>
          <cell r="AG411">
            <v>4068356.4670000002</v>
          </cell>
          <cell r="AH411">
            <v>0</v>
          </cell>
          <cell r="AI411">
            <v>0</v>
          </cell>
          <cell r="AJ411">
            <v>4068356.4670000002</v>
          </cell>
          <cell r="AK411">
            <v>954271.14999999991</v>
          </cell>
          <cell r="AL411">
            <v>0</v>
          </cell>
          <cell r="AM411">
            <v>0</v>
          </cell>
          <cell r="AN411">
            <v>0</v>
          </cell>
          <cell r="AO411">
            <v>9.3132257461547852E-10</v>
          </cell>
          <cell r="AP411">
            <v>0</v>
          </cell>
          <cell r="AQ411">
            <v>0</v>
          </cell>
          <cell r="AR411">
            <v>473428.9</v>
          </cell>
        </row>
        <row r="427">
          <cell r="V427">
            <v>0</v>
          </cell>
          <cell r="W427">
            <v>0</v>
          </cell>
        </row>
        <row r="428">
          <cell r="AQ428">
            <v>0</v>
          </cell>
          <cell r="AR428">
            <v>0</v>
          </cell>
        </row>
        <row r="429">
          <cell r="X429">
            <v>0</v>
          </cell>
        </row>
        <row r="430">
          <cell r="X430">
            <v>0</v>
          </cell>
        </row>
        <row r="431">
          <cell r="U431">
            <v>-6076</v>
          </cell>
          <cell r="X431">
            <v>-6076</v>
          </cell>
          <cell r="Y431">
            <v>0</v>
          </cell>
          <cell r="AD431">
            <v>-6076</v>
          </cell>
          <cell r="AG431">
            <v>2126.6</v>
          </cell>
          <cell r="AH431">
            <v>0</v>
          </cell>
          <cell r="AI431">
            <v>0</v>
          </cell>
          <cell r="AJ431">
            <v>2126.6</v>
          </cell>
          <cell r="AK431">
            <v>0</v>
          </cell>
          <cell r="AL431">
            <v>0</v>
          </cell>
          <cell r="AM431">
            <v>0</v>
          </cell>
          <cell r="AN431">
            <v>0</v>
          </cell>
          <cell r="AO431">
            <v>2126.6</v>
          </cell>
          <cell r="AP431">
            <v>1</v>
          </cell>
          <cell r="AQ431">
            <v>2126.6</v>
          </cell>
          <cell r="AR431">
            <v>0</v>
          </cell>
        </row>
        <row r="432">
          <cell r="U432">
            <v>0</v>
          </cell>
          <cell r="X432">
            <v>0</v>
          </cell>
          <cell r="Y432">
            <v>0</v>
          </cell>
          <cell r="AD432">
            <v>0</v>
          </cell>
          <cell r="AG432">
            <v>0</v>
          </cell>
          <cell r="AH432">
            <v>0</v>
          </cell>
          <cell r="AI432">
            <v>0</v>
          </cell>
          <cell r="AJ432">
            <v>0</v>
          </cell>
          <cell r="AK432">
            <v>0</v>
          </cell>
          <cell r="AL432">
            <v>0</v>
          </cell>
          <cell r="AM432">
            <v>0</v>
          </cell>
          <cell r="AN432">
            <v>0</v>
          </cell>
          <cell r="AO432">
            <v>0</v>
          </cell>
          <cell r="AQ432">
            <v>0</v>
          </cell>
          <cell r="AR432">
            <v>0</v>
          </cell>
        </row>
        <row r="433">
          <cell r="U433">
            <v>-15000</v>
          </cell>
          <cell r="X433">
            <v>-15000</v>
          </cell>
          <cell r="Y433">
            <v>0</v>
          </cell>
          <cell r="AD433">
            <v>-15000</v>
          </cell>
          <cell r="AG433">
            <v>5250</v>
          </cell>
          <cell r="AH433">
            <v>0</v>
          </cell>
          <cell r="AI433">
            <v>0</v>
          </cell>
          <cell r="AJ433">
            <v>5250</v>
          </cell>
          <cell r="AK433">
            <v>0</v>
          </cell>
          <cell r="AL433">
            <v>0</v>
          </cell>
          <cell r="AM433">
            <v>0</v>
          </cell>
          <cell r="AN433">
            <v>0</v>
          </cell>
          <cell r="AO433">
            <v>5250</v>
          </cell>
          <cell r="AQ433">
            <v>0</v>
          </cell>
          <cell r="AR433">
            <v>5250</v>
          </cell>
        </row>
        <row r="434">
          <cell r="U434">
            <v>0</v>
          </cell>
          <cell r="X434">
            <v>0</v>
          </cell>
          <cell r="Y434">
            <v>0</v>
          </cell>
          <cell r="AD434">
            <v>0</v>
          </cell>
          <cell r="AG434">
            <v>0</v>
          </cell>
          <cell r="AH434">
            <v>0</v>
          </cell>
          <cell r="AI434">
            <v>0</v>
          </cell>
          <cell r="AJ434">
            <v>0</v>
          </cell>
          <cell r="AK434">
            <v>0</v>
          </cell>
          <cell r="AL434">
            <v>0</v>
          </cell>
          <cell r="AM434">
            <v>0</v>
          </cell>
          <cell r="AN434">
            <v>0</v>
          </cell>
          <cell r="AO434">
            <v>0</v>
          </cell>
        </row>
        <row r="435">
          <cell r="U435">
            <v>-2265313</v>
          </cell>
          <cell r="X435">
            <v>-2265313</v>
          </cell>
          <cell r="Y435">
            <v>676101</v>
          </cell>
          <cell r="AD435">
            <v>-1589212</v>
          </cell>
          <cell r="AG435">
            <v>792859.55</v>
          </cell>
          <cell r="AH435">
            <v>0</v>
          </cell>
          <cell r="AI435">
            <v>0</v>
          </cell>
          <cell r="AJ435">
            <v>792859.55</v>
          </cell>
          <cell r="AK435">
            <v>-236635.34999999998</v>
          </cell>
          <cell r="AL435">
            <v>0</v>
          </cell>
          <cell r="AM435">
            <v>0</v>
          </cell>
          <cell r="AN435">
            <v>0</v>
          </cell>
          <cell r="AO435">
            <v>556224.20000000007</v>
          </cell>
        </row>
        <row r="436">
          <cell r="U436">
            <v>0</v>
          </cell>
          <cell r="X436">
            <v>0</v>
          </cell>
          <cell r="Y436">
            <v>0</v>
          </cell>
          <cell r="AD436">
            <v>0</v>
          </cell>
          <cell r="AG436">
            <v>0</v>
          </cell>
          <cell r="AH436">
            <v>0</v>
          </cell>
          <cell r="AI436">
            <v>0</v>
          </cell>
          <cell r="AJ436">
            <v>0</v>
          </cell>
          <cell r="AK436">
            <v>0</v>
          </cell>
          <cell r="AL436">
            <v>0</v>
          </cell>
          <cell r="AM436">
            <v>0</v>
          </cell>
          <cell r="AN436">
            <v>0</v>
          </cell>
          <cell r="AO436">
            <v>0</v>
          </cell>
        </row>
        <row r="437">
          <cell r="U437">
            <v>0</v>
          </cell>
          <cell r="X437">
            <v>0</v>
          </cell>
          <cell r="Y437">
            <v>0</v>
          </cell>
          <cell r="AD437">
            <v>0</v>
          </cell>
          <cell r="AG437">
            <v>0</v>
          </cell>
          <cell r="AH437">
            <v>0</v>
          </cell>
          <cell r="AI437">
            <v>0</v>
          </cell>
          <cell r="AJ437">
            <v>0</v>
          </cell>
          <cell r="AK437">
            <v>0</v>
          </cell>
          <cell r="AL437">
            <v>0</v>
          </cell>
          <cell r="AM437">
            <v>0</v>
          </cell>
          <cell r="AN437">
            <v>0</v>
          </cell>
          <cell r="AO437">
            <v>0</v>
          </cell>
        </row>
        <row r="438">
          <cell r="U438">
            <v>0</v>
          </cell>
          <cell r="X438">
            <v>0</v>
          </cell>
          <cell r="Y438">
            <v>0</v>
          </cell>
          <cell r="AD438">
            <v>0</v>
          </cell>
          <cell r="AG438">
            <v>0</v>
          </cell>
          <cell r="AJ438">
            <v>0</v>
          </cell>
          <cell r="AK438">
            <v>0</v>
          </cell>
          <cell r="AL438">
            <v>0</v>
          </cell>
          <cell r="AM438">
            <v>0</v>
          </cell>
          <cell r="AN438">
            <v>0</v>
          </cell>
          <cell r="AO438">
            <v>0</v>
          </cell>
        </row>
        <row r="439">
          <cell r="U439">
            <v>0</v>
          </cell>
          <cell r="X439">
            <v>0</v>
          </cell>
          <cell r="Y439">
            <v>0</v>
          </cell>
          <cell r="AD439">
            <v>0</v>
          </cell>
          <cell r="AG439">
            <v>0</v>
          </cell>
          <cell r="AJ439">
            <v>0</v>
          </cell>
          <cell r="AK439">
            <v>0</v>
          </cell>
          <cell r="AL439">
            <v>0</v>
          </cell>
          <cell r="AM439">
            <v>0</v>
          </cell>
          <cell r="AN439">
            <v>0</v>
          </cell>
          <cell r="AO439">
            <v>0</v>
          </cell>
        </row>
        <row r="440">
          <cell r="U440">
            <v>0</v>
          </cell>
          <cell r="X440">
            <v>0</v>
          </cell>
          <cell r="Y440">
            <v>0</v>
          </cell>
          <cell r="AD440">
            <v>0</v>
          </cell>
          <cell r="AG440">
            <v>0</v>
          </cell>
          <cell r="AJ440">
            <v>0</v>
          </cell>
          <cell r="AK440">
            <v>0</v>
          </cell>
          <cell r="AL440">
            <v>0</v>
          </cell>
          <cell r="AM440">
            <v>0</v>
          </cell>
          <cell r="AN440">
            <v>0</v>
          </cell>
          <cell r="AO440">
            <v>0</v>
          </cell>
        </row>
        <row r="441">
          <cell r="U441">
            <v>0</v>
          </cell>
          <cell r="X441">
            <v>0</v>
          </cell>
          <cell r="Y441">
            <v>0</v>
          </cell>
          <cell r="AD441">
            <v>0</v>
          </cell>
          <cell r="AG441">
            <v>0</v>
          </cell>
          <cell r="AJ441">
            <v>0</v>
          </cell>
          <cell r="AK441">
            <v>0</v>
          </cell>
          <cell r="AL441">
            <v>0</v>
          </cell>
          <cell r="AM441">
            <v>0</v>
          </cell>
          <cell r="AN441">
            <v>0</v>
          </cell>
          <cell r="AO441">
            <v>0</v>
          </cell>
          <cell r="AQ441">
            <v>0</v>
          </cell>
          <cell r="AR441">
            <v>0</v>
          </cell>
        </row>
        <row r="442">
          <cell r="AL442">
            <v>0</v>
          </cell>
          <cell r="AM442">
            <v>0</v>
          </cell>
        </row>
        <row r="443">
          <cell r="U443">
            <v>-2286389</v>
          </cell>
          <cell r="V443">
            <v>0</v>
          </cell>
          <cell r="W443">
            <v>0</v>
          </cell>
          <cell r="X443">
            <v>-2286389</v>
          </cell>
          <cell r="Y443">
            <v>676101</v>
          </cell>
          <cell r="Z443">
            <v>0</v>
          </cell>
          <cell r="AA443">
            <v>0</v>
          </cell>
          <cell r="AB443">
            <v>0</v>
          </cell>
          <cell r="AD443">
            <v>-1610288</v>
          </cell>
          <cell r="AE443">
            <v>0</v>
          </cell>
          <cell r="AF443">
            <v>0</v>
          </cell>
          <cell r="AG443">
            <v>800236.15</v>
          </cell>
          <cell r="AH443">
            <v>0</v>
          </cell>
          <cell r="AI443">
            <v>0</v>
          </cell>
          <cell r="AJ443">
            <v>800236.15</v>
          </cell>
          <cell r="AK443">
            <v>-236635.34999999998</v>
          </cell>
          <cell r="AL443">
            <v>0</v>
          </cell>
          <cell r="AM443">
            <v>0</v>
          </cell>
          <cell r="AN443">
            <v>0</v>
          </cell>
          <cell r="AO443">
            <v>563600.80000000005</v>
          </cell>
          <cell r="AQ443">
            <v>2126.6</v>
          </cell>
          <cell r="AR443">
            <v>5250</v>
          </cell>
        </row>
        <row r="444">
          <cell r="AD444">
            <v>-27213.867199999997</v>
          </cell>
          <cell r="AG444">
            <v>-800236.14999999991</v>
          </cell>
        </row>
        <row r="445">
          <cell r="AO445">
            <v>-563600.79999999993</v>
          </cell>
        </row>
        <row r="450">
          <cell r="U450">
            <v>-2286389</v>
          </cell>
          <cell r="V450">
            <v>0</v>
          </cell>
          <cell r="W450">
            <v>0</v>
          </cell>
          <cell r="X450">
            <v>-2286389</v>
          </cell>
          <cell r="Y450">
            <v>676101</v>
          </cell>
          <cell r="Z450">
            <v>0</v>
          </cell>
          <cell r="AA450">
            <v>0</v>
          </cell>
          <cell r="AB450">
            <v>0</v>
          </cell>
          <cell r="AC450">
            <v>0</v>
          </cell>
          <cell r="AD450">
            <v>-1610288</v>
          </cell>
          <cell r="AE450">
            <v>0</v>
          </cell>
          <cell r="AF450">
            <v>0</v>
          </cell>
          <cell r="AG450">
            <v>800236.15</v>
          </cell>
          <cell r="AH450">
            <v>0</v>
          </cell>
          <cell r="AI450">
            <v>0</v>
          </cell>
          <cell r="AJ450">
            <v>800236.15</v>
          </cell>
          <cell r="AK450">
            <v>-236635.34999999998</v>
          </cell>
          <cell r="AL450">
            <v>0</v>
          </cell>
          <cell r="AM450">
            <v>0</v>
          </cell>
          <cell r="AN450">
            <v>0</v>
          </cell>
          <cell r="AO450">
            <v>1.1641532182693481E-10</v>
          </cell>
          <cell r="AP450">
            <v>0</v>
          </cell>
          <cell r="AQ450">
            <v>2126.6</v>
          </cell>
          <cell r="AR450">
            <v>5250</v>
          </cell>
        </row>
        <row r="456">
          <cell r="AL456">
            <v>0</v>
          </cell>
          <cell r="AM456">
            <v>0</v>
          </cell>
        </row>
        <row r="463">
          <cell r="V463">
            <v>0</v>
          </cell>
          <cell r="W463">
            <v>0</v>
          </cell>
        </row>
        <row r="465">
          <cell r="X465">
            <v>0</v>
          </cell>
        </row>
        <row r="466">
          <cell r="X466">
            <v>0</v>
          </cell>
        </row>
        <row r="467">
          <cell r="U467">
            <v>-778419</v>
          </cell>
          <cell r="X467">
            <v>-778419</v>
          </cell>
          <cell r="Y467">
            <v>0</v>
          </cell>
          <cell r="AD467">
            <v>-778419</v>
          </cell>
          <cell r="AE467" t="e">
            <v>#REF!</v>
          </cell>
          <cell r="AF467" t="e">
            <v>#REF!</v>
          </cell>
          <cell r="AG467">
            <v>272446.65000000002</v>
          </cell>
          <cell r="AH467">
            <v>0</v>
          </cell>
          <cell r="AI467">
            <v>0</v>
          </cell>
          <cell r="AJ467">
            <v>272446.65000000002</v>
          </cell>
          <cell r="AK467">
            <v>0</v>
          </cell>
          <cell r="AL467">
            <v>0</v>
          </cell>
          <cell r="AM467">
            <v>0</v>
          </cell>
          <cell r="AN467">
            <v>0</v>
          </cell>
          <cell r="AO467">
            <v>272446.65000000002</v>
          </cell>
        </row>
        <row r="468">
          <cell r="U468">
            <v>0</v>
          </cell>
          <cell r="X468">
            <v>0</v>
          </cell>
          <cell r="Y468">
            <v>0</v>
          </cell>
          <cell r="AD468">
            <v>0</v>
          </cell>
          <cell r="AE468" t="e">
            <v>#REF!</v>
          </cell>
          <cell r="AF468" t="e">
            <v>#REF!</v>
          </cell>
          <cell r="AG468">
            <v>0</v>
          </cell>
          <cell r="AH468">
            <v>0</v>
          </cell>
          <cell r="AI468">
            <v>0</v>
          </cell>
          <cell r="AJ468">
            <v>0</v>
          </cell>
          <cell r="AK468">
            <v>0</v>
          </cell>
          <cell r="AL468">
            <v>0</v>
          </cell>
          <cell r="AM468">
            <v>0</v>
          </cell>
          <cell r="AN468">
            <v>0</v>
          </cell>
          <cell r="AO468">
            <v>0</v>
          </cell>
          <cell r="AQ468">
            <v>0</v>
          </cell>
          <cell r="AR468">
            <v>0</v>
          </cell>
        </row>
        <row r="469">
          <cell r="U469">
            <v>-2306</v>
          </cell>
          <cell r="X469">
            <v>-2306</v>
          </cell>
          <cell r="Y469">
            <v>56442</v>
          </cell>
          <cell r="AD469">
            <v>54136</v>
          </cell>
          <cell r="AE469" t="e">
            <v>#REF!</v>
          </cell>
          <cell r="AF469" t="e">
            <v>#REF!</v>
          </cell>
          <cell r="AG469">
            <v>807.1</v>
          </cell>
          <cell r="AH469">
            <v>0</v>
          </cell>
          <cell r="AI469">
            <v>0</v>
          </cell>
          <cell r="AJ469">
            <v>807.1</v>
          </cell>
          <cell r="AK469">
            <v>-19754.699999999997</v>
          </cell>
          <cell r="AL469">
            <v>0</v>
          </cell>
          <cell r="AM469">
            <v>0</v>
          </cell>
          <cell r="AN469">
            <v>0</v>
          </cell>
          <cell r="AO469">
            <v>-18947.599999999999</v>
          </cell>
          <cell r="AQ469">
            <v>0</v>
          </cell>
          <cell r="AR469">
            <v>-18947.599999999999</v>
          </cell>
        </row>
        <row r="470">
          <cell r="U470">
            <v>0</v>
          </cell>
          <cell r="X470">
            <v>0</v>
          </cell>
          <cell r="Y470">
            <v>0</v>
          </cell>
          <cell r="AD470">
            <v>0</v>
          </cell>
          <cell r="AE470" t="e">
            <v>#REF!</v>
          </cell>
          <cell r="AF470" t="e">
            <v>#REF!</v>
          </cell>
          <cell r="AG470">
            <v>0</v>
          </cell>
          <cell r="AH470">
            <v>0</v>
          </cell>
          <cell r="AI470">
            <v>0</v>
          </cell>
          <cell r="AJ470">
            <v>0</v>
          </cell>
          <cell r="AK470">
            <v>0</v>
          </cell>
          <cell r="AL470">
            <v>0</v>
          </cell>
          <cell r="AM470">
            <v>0</v>
          </cell>
          <cell r="AN470">
            <v>0</v>
          </cell>
          <cell r="AO470">
            <v>0</v>
          </cell>
          <cell r="AQ470">
            <v>0</v>
          </cell>
          <cell r="AR470">
            <v>0</v>
          </cell>
        </row>
        <row r="471">
          <cell r="U471">
            <v>0</v>
          </cell>
          <cell r="X471">
            <v>0</v>
          </cell>
          <cell r="Y471">
            <v>0</v>
          </cell>
          <cell r="AD471">
            <v>0</v>
          </cell>
          <cell r="AE471" t="e">
            <v>#REF!</v>
          </cell>
          <cell r="AF471" t="e">
            <v>#REF!</v>
          </cell>
          <cell r="AG471">
            <v>0</v>
          </cell>
          <cell r="AH471">
            <v>0</v>
          </cell>
          <cell r="AI471">
            <v>0</v>
          </cell>
          <cell r="AJ471">
            <v>0</v>
          </cell>
          <cell r="AK471">
            <v>0</v>
          </cell>
          <cell r="AL471">
            <v>0</v>
          </cell>
          <cell r="AM471">
            <v>0</v>
          </cell>
          <cell r="AN471">
            <v>0</v>
          </cell>
          <cell r="AO471">
            <v>0</v>
          </cell>
          <cell r="AQ471">
            <v>0</v>
          </cell>
          <cell r="AR471">
            <v>0</v>
          </cell>
        </row>
        <row r="472">
          <cell r="U472">
            <v>0</v>
          </cell>
          <cell r="X472">
            <v>0</v>
          </cell>
          <cell r="Y472">
            <v>0</v>
          </cell>
          <cell r="AD472">
            <v>0</v>
          </cell>
          <cell r="AE472" t="e">
            <v>#REF!</v>
          </cell>
          <cell r="AF472" t="e">
            <v>#REF!</v>
          </cell>
          <cell r="AG472">
            <v>0</v>
          </cell>
          <cell r="AH472">
            <v>0</v>
          </cell>
          <cell r="AI472">
            <v>0</v>
          </cell>
          <cell r="AJ472">
            <v>0</v>
          </cell>
          <cell r="AK472">
            <v>0</v>
          </cell>
          <cell r="AL472">
            <v>0</v>
          </cell>
          <cell r="AM472">
            <v>0</v>
          </cell>
          <cell r="AN472">
            <v>0</v>
          </cell>
          <cell r="AO472">
            <v>0</v>
          </cell>
          <cell r="AQ472">
            <v>0</v>
          </cell>
          <cell r="AR472">
            <v>0</v>
          </cell>
        </row>
        <row r="473">
          <cell r="U473">
            <v>0</v>
          </cell>
          <cell r="X473">
            <v>0</v>
          </cell>
          <cell r="Y473">
            <v>0</v>
          </cell>
          <cell r="AD473">
            <v>0</v>
          </cell>
          <cell r="AE473" t="e">
            <v>#REF!</v>
          </cell>
          <cell r="AF473" t="e">
            <v>#REF!</v>
          </cell>
          <cell r="AG473">
            <v>0</v>
          </cell>
          <cell r="AH473">
            <v>0</v>
          </cell>
          <cell r="AI473">
            <v>0</v>
          </cell>
          <cell r="AJ473">
            <v>0</v>
          </cell>
          <cell r="AK473">
            <v>0</v>
          </cell>
          <cell r="AL473">
            <v>0</v>
          </cell>
          <cell r="AM473">
            <v>0</v>
          </cell>
          <cell r="AN473">
            <v>0</v>
          </cell>
          <cell r="AO473">
            <v>0</v>
          </cell>
          <cell r="AQ473">
            <v>0</v>
          </cell>
          <cell r="AR473">
            <v>0</v>
          </cell>
        </row>
        <row r="474">
          <cell r="U474">
            <v>0</v>
          </cell>
          <cell r="X474">
            <v>0</v>
          </cell>
          <cell r="Y474">
            <v>0</v>
          </cell>
          <cell r="AD474">
            <v>0</v>
          </cell>
          <cell r="AE474" t="e">
            <v>#REF!</v>
          </cell>
          <cell r="AF474" t="e">
            <v>#REF!</v>
          </cell>
          <cell r="AG474">
            <v>0</v>
          </cell>
          <cell r="AH474">
            <v>0</v>
          </cell>
          <cell r="AI474">
            <v>0</v>
          </cell>
          <cell r="AJ474">
            <v>0</v>
          </cell>
          <cell r="AK474">
            <v>0</v>
          </cell>
          <cell r="AL474">
            <v>0</v>
          </cell>
          <cell r="AM474">
            <v>0</v>
          </cell>
          <cell r="AN474">
            <v>0</v>
          </cell>
          <cell r="AO474">
            <v>0</v>
          </cell>
          <cell r="AQ474">
            <v>0</v>
          </cell>
          <cell r="AR474">
            <v>0</v>
          </cell>
        </row>
        <row r="475">
          <cell r="U475">
            <v>0</v>
          </cell>
          <cell r="X475">
            <v>0</v>
          </cell>
          <cell r="Y475">
            <v>0</v>
          </cell>
          <cell r="AD475">
            <v>0</v>
          </cell>
          <cell r="AE475" t="e">
            <v>#REF!</v>
          </cell>
          <cell r="AF475" t="e">
            <v>#REF!</v>
          </cell>
          <cell r="AG475">
            <v>0</v>
          </cell>
          <cell r="AH475">
            <v>0</v>
          </cell>
          <cell r="AI475">
            <v>0</v>
          </cell>
          <cell r="AJ475">
            <v>0</v>
          </cell>
          <cell r="AK475">
            <v>0</v>
          </cell>
          <cell r="AL475">
            <v>0</v>
          </cell>
          <cell r="AM475">
            <v>0</v>
          </cell>
          <cell r="AN475">
            <v>0</v>
          </cell>
          <cell r="AO475">
            <v>0</v>
          </cell>
        </row>
        <row r="476">
          <cell r="U476">
            <v>0</v>
          </cell>
          <cell r="X476">
            <v>0</v>
          </cell>
          <cell r="Y476">
            <v>0</v>
          </cell>
          <cell r="AD476">
            <v>0</v>
          </cell>
          <cell r="AE476" t="e">
            <v>#REF!</v>
          </cell>
          <cell r="AF476" t="e">
            <v>#REF!</v>
          </cell>
          <cell r="AG476">
            <v>0</v>
          </cell>
          <cell r="AH476">
            <v>0</v>
          </cell>
          <cell r="AI476">
            <v>0</v>
          </cell>
          <cell r="AJ476">
            <v>0</v>
          </cell>
          <cell r="AK476">
            <v>0</v>
          </cell>
          <cell r="AL476">
            <v>0</v>
          </cell>
          <cell r="AM476">
            <v>0</v>
          </cell>
          <cell r="AN476">
            <v>0</v>
          </cell>
          <cell r="AO476">
            <v>0</v>
          </cell>
        </row>
        <row r="477">
          <cell r="U477">
            <v>0</v>
          </cell>
          <cell r="X477">
            <v>0</v>
          </cell>
          <cell r="Y477">
            <v>0</v>
          </cell>
          <cell r="AD477">
            <v>0</v>
          </cell>
          <cell r="AE477" t="e">
            <v>#REF!</v>
          </cell>
          <cell r="AF477" t="e">
            <v>#REF!</v>
          </cell>
          <cell r="AG477">
            <v>0</v>
          </cell>
          <cell r="AJ477">
            <v>0</v>
          </cell>
          <cell r="AK477">
            <v>0</v>
          </cell>
          <cell r="AL477">
            <v>0</v>
          </cell>
          <cell r="AM477">
            <v>0</v>
          </cell>
          <cell r="AN477">
            <v>0</v>
          </cell>
          <cell r="AO477">
            <v>0</v>
          </cell>
        </row>
        <row r="479">
          <cell r="U479">
            <v>-780725</v>
          </cell>
          <cell r="V479">
            <v>0</v>
          </cell>
          <cell r="W479">
            <v>0</v>
          </cell>
          <cell r="X479">
            <v>-780725</v>
          </cell>
          <cell r="Y479">
            <v>56442</v>
          </cell>
          <cell r="Z479">
            <v>0</v>
          </cell>
          <cell r="AA479">
            <v>0</v>
          </cell>
          <cell r="AB479">
            <v>0</v>
          </cell>
          <cell r="AD479">
            <v>-724283</v>
          </cell>
          <cell r="AE479" t="e">
            <v>#REF!</v>
          </cell>
          <cell r="AF479" t="e">
            <v>#REF!</v>
          </cell>
          <cell r="AG479">
            <v>273253.75</v>
          </cell>
          <cell r="AH479">
            <v>0</v>
          </cell>
          <cell r="AI479">
            <v>0</v>
          </cell>
          <cell r="AJ479">
            <v>273253.75</v>
          </cell>
          <cell r="AK479">
            <v>-19754.699999999997</v>
          </cell>
          <cell r="AL479">
            <v>0</v>
          </cell>
          <cell r="AM479">
            <v>0</v>
          </cell>
          <cell r="AN479">
            <v>0</v>
          </cell>
          <cell r="AO479">
            <v>253499.05000000002</v>
          </cell>
          <cell r="AQ479">
            <v>0</v>
          </cell>
          <cell r="AR479">
            <v>-18947.599999999999</v>
          </cell>
        </row>
        <row r="480">
          <cell r="AD480">
            <v>-12240.382699999998</v>
          </cell>
        </row>
        <row r="481">
          <cell r="AQ481">
            <v>0</v>
          </cell>
          <cell r="AR481">
            <v>0</v>
          </cell>
        </row>
        <row r="482">
          <cell r="AQ482">
            <v>0</v>
          </cell>
          <cell r="AR482">
            <v>0</v>
          </cell>
        </row>
        <row r="483">
          <cell r="AO483">
            <v>0</v>
          </cell>
          <cell r="AQ483">
            <v>0</v>
          </cell>
          <cell r="AR483">
            <v>0</v>
          </cell>
        </row>
        <row r="485">
          <cell r="AN485">
            <v>0</v>
          </cell>
          <cell r="AO485">
            <v>0</v>
          </cell>
          <cell r="AR485">
            <v>0</v>
          </cell>
        </row>
        <row r="488">
          <cell r="U488">
            <v>-780725</v>
          </cell>
          <cell r="X488">
            <v>-780725</v>
          </cell>
          <cell r="Y488">
            <v>56442</v>
          </cell>
          <cell r="Z488">
            <v>0</v>
          </cell>
          <cell r="AA488">
            <v>0</v>
          </cell>
          <cell r="AB488">
            <v>0</v>
          </cell>
          <cell r="AC488">
            <v>0</v>
          </cell>
          <cell r="AD488">
            <v>-724283</v>
          </cell>
          <cell r="AG488">
            <v>273253.75</v>
          </cell>
          <cell r="AJ488">
            <v>273253.75</v>
          </cell>
          <cell r="AK488">
            <v>-19754.699999999997</v>
          </cell>
          <cell r="AL488">
            <v>0</v>
          </cell>
          <cell r="AM488">
            <v>0</v>
          </cell>
          <cell r="AN488">
            <v>0</v>
          </cell>
          <cell r="AO488">
            <v>253499.05000000002</v>
          </cell>
          <cell r="AQ488">
            <v>0</v>
          </cell>
          <cell r="AR488">
            <v>-18947.599999999999</v>
          </cell>
        </row>
        <row r="489">
          <cell r="U489">
            <v>-780725</v>
          </cell>
          <cell r="V489">
            <v>0</v>
          </cell>
          <cell r="W489">
            <v>0</v>
          </cell>
          <cell r="X489">
            <v>-780725</v>
          </cell>
          <cell r="Y489">
            <v>56442</v>
          </cell>
          <cell r="Z489">
            <v>0</v>
          </cell>
          <cell r="AA489">
            <v>0</v>
          </cell>
          <cell r="AB489">
            <v>0</v>
          </cell>
          <cell r="AC489">
            <v>0</v>
          </cell>
          <cell r="AD489">
            <v>-724283</v>
          </cell>
          <cell r="AE489" t="e">
            <v>#REF!</v>
          </cell>
          <cell r="AF489" t="e">
            <v>#REF!</v>
          </cell>
          <cell r="AG489">
            <v>273253.75</v>
          </cell>
          <cell r="AH489">
            <v>0</v>
          </cell>
          <cell r="AI489">
            <v>0</v>
          </cell>
          <cell r="AJ489">
            <v>273253.75</v>
          </cell>
          <cell r="AK489">
            <v>-19754.699999999997</v>
          </cell>
          <cell r="AL489">
            <v>0</v>
          </cell>
          <cell r="AM489">
            <v>0</v>
          </cell>
          <cell r="AN489">
            <v>0</v>
          </cell>
          <cell r="AO489">
            <v>253499.05000000002</v>
          </cell>
          <cell r="AP489">
            <v>0</v>
          </cell>
          <cell r="AQ489">
            <v>0</v>
          </cell>
          <cell r="AR489">
            <v>-18947.599999999999</v>
          </cell>
        </row>
        <row r="490">
          <cell r="AO490">
            <v>-253499.05</v>
          </cell>
        </row>
        <row r="501">
          <cell r="V501">
            <v>0</v>
          </cell>
          <cell r="W501">
            <v>0</v>
          </cell>
        </row>
        <row r="502">
          <cell r="AQ502">
            <v>0</v>
          </cell>
          <cell r="AR502">
            <v>0</v>
          </cell>
        </row>
        <row r="503">
          <cell r="X503">
            <v>0</v>
          </cell>
        </row>
        <row r="504">
          <cell r="X504">
            <v>0</v>
          </cell>
        </row>
        <row r="505">
          <cell r="U505">
            <v>-5000</v>
          </cell>
          <cell r="X505">
            <v>-5000</v>
          </cell>
          <cell r="Y505">
            <v>0</v>
          </cell>
          <cell r="AD505">
            <v>-5000</v>
          </cell>
          <cell r="AF505">
            <v>1750</v>
          </cell>
          <cell r="AG505">
            <v>1750</v>
          </cell>
          <cell r="AJ505">
            <v>1750</v>
          </cell>
          <cell r="AK505">
            <v>0</v>
          </cell>
          <cell r="AL505">
            <v>0</v>
          </cell>
          <cell r="AM505">
            <v>0</v>
          </cell>
          <cell r="AN505">
            <v>0</v>
          </cell>
          <cell r="AO505">
            <v>1750</v>
          </cell>
        </row>
        <row r="506">
          <cell r="U506">
            <v>0</v>
          </cell>
          <cell r="X506">
            <v>0</v>
          </cell>
          <cell r="Y506">
            <v>0</v>
          </cell>
          <cell r="AD506">
            <v>0</v>
          </cell>
          <cell r="AF506">
            <v>0</v>
          </cell>
          <cell r="AG506">
            <v>0</v>
          </cell>
          <cell r="AJ506">
            <v>0</v>
          </cell>
          <cell r="AK506">
            <v>0</v>
          </cell>
          <cell r="AL506">
            <v>0</v>
          </cell>
          <cell r="AM506">
            <v>0</v>
          </cell>
          <cell r="AN506">
            <v>0</v>
          </cell>
          <cell r="AO506">
            <v>0</v>
          </cell>
        </row>
        <row r="507">
          <cell r="U507">
            <v>-1236</v>
          </cell>
          <cell r="X507">
            <v>-1236</v>
          </cell>
          <cell r="Y507">
            <v>-6180</v>
          </cell>
          <cell r="AD507">
            <v>-7416</v>
          </cell>
          <cell r="AF507">
            <v>432.6</v>
          </cell>
          <cell r="AG507">
            <v>432.6</v>
          </cell>
          <cell r="AJ507">
            <v>432.6</v>
          </cell>
          <cell r="AK507">
            <v>2163</v>
          </cell>
          <cell r="AL507">
            <v>0</v>
          </cell>
          <cell r="AM507">
            <v>0</v>
          </cell>
          <cell r="AN507">
            <v>0</v>
          </cell>
          <cell r="AO507">
            <v>2595.6</v>
          </cell>
          <cell r="AP507">
            <v>1</v>
          </cell>
          <cell r="AQ507">
            <v>2595.6</v>
          </cell>
          <cell r="AR507">
            <v>0</v>
          </cell>
        </row>
        <row r="508">
          <cell r="U508">
            <v>0</v>
          </cell>
          <cell r="X508">
            <v>0</v>
          </cell>
          <cell r="Y508">
            <v>0</v>
          </cell>
          <cell r="AD508">
            <v>0</v>
          </cell>
          <cell r="AF508">
            <v>0</v>
          </cell>
          <cell r="AG508">
            <v>0</v>
          </cell>
          <cell r="AJ508">
            <v>0</v>
          </cell>
          <cell r="AK508">
            <v>0</v>
          </cell>
          <cell r="AL508">
            <v>0</v>
          </cell>
          <cell r="AM508">
            <v>0</v>
          </cell>
          <cell r="AN508">
            <v>0</v>
          </cell>
          <cell r="AO508">
            <v>0</v>
          </cell>
        </row>
        <row r="509">
          <cell r="U509">
            <v>0</v>
          </cell>
          <cell r="X509">
            <v>0</v>
          </cell>
          <cell r="Y509">
            <v>0</v>
          </cell>
          <cell r="AD509">
            <v>0</v>
          </cell>
          <cell r="AF509">
            <v>0</v>
          </cell>
          <cell r="AG509">
            <v>0</v>
          </cell>
          <cell r="AJ509">
            <v>0</v>
          </cell>
          <cell r="AK509">
            <v>0</v>
          </cell>
          <cell r="AL509">
            <v>0</v>
          </cell>
          <cell r="AM509">
            <v>0</v>
          </cell>
          <cell r="AN509">
            <v>0</v>
          </cell>
          <cell r="AO509">
            <v>0</v>
          </cell>
        </row>
        <row r="510">
          <cell r="U510">
            <v>0</v>
          </cell>
          <cell r="X510">
            <v>0</v>
          </cell>
          <cell r="Y510">
            <v>0</v>
          </cell>
          <cell r="AD510">
            <v>0</v>
          </cell>
          <cell r="AF510">
            <v>0</v>
          </cell>
          <cell r="AG510">
            <v>0</v>
          </cell>
          <cell r="AK510">
            <v>0</v>
          </cell>
          <cell r="AL510">
            <v>0</v>
          </cell>
          <cell r="AM510">
            <v>0</v>
          </cell>
          <cell r="AN510">
            <v>0</v>
          </cell>
          <cell r="AO510">
            <v>0</v>
          </cell>
        </row>
        <row r="511">
          <cell r="U511">
            <v>0</v>
          </cell>
          <cell r="X511">
            <v>0</v>
          </cell>
          <cell r="Y511">
            <v>0</v>
          </cell>
          <cell r="AD511">
            <v>0</v>
          </cell>
          <cell r="AF511">
            <v>0</v>
          </cell>
          <cell r="AG511">
            <v>0</v>
          </cell>
          <cell r="AK511">
            <v>0</v>
          </cell>
          <cell r="AL511">
            <v>0</v>
          </cell>
          <cell r="AM511">
            <v>0</v>
          </cell>
          <cell r="AN511">
            <v>0</v>
          </cell>
          <cell r="AO511">
            <v>0</v>
          </cell>
        </row>
        <row r="512">
          <cell r="AL512">
            <v>0</v>
          </cell>
          <cell r="AM512">
            <v>0</v>
          </cell>
        </row>
        <row r="513">
          <cell r="U513">
            <v>-6236</v>
          </cell>
          <cell r="V513">
            <v>0</v>
          </cell>
          <cell r="W513">
            <v>0</v>
          </cell>
          <cell r="X513">
            <v>-6236</v>
          </cell>
          <cell r="Y513">
            <v>-6180</v>
          </cell>
          <cell r="Z513">
            <v>0</v>
          </cell>
          <cell r="AA513">
            <v>0</v>
          </cell>
          <cell r="AB513">
            <v>0</v>
          </cell>
          <cell r="AD513">
            <v>-12416</v>
          </cell>
          <cell r="AE513">
            <v>0</v>
          </cell>
          <cell r="AF513">
            <v>2182.6</v>
          </cell>
          <cell r="AG513">
            <v>2182.6</v>
          </cell>
          <cell r="AH513">
            <v>0</v>
          </cell>
          <cell r="AI513">
            <v>0</v>
          </cell>
          <cell r="AJ513">
            <v>2182.6</v>
          </cell>
          <cell r="AK513">
            <v>2163</v>
          </cell>
          <cell r="AL513">
            <v>0</v>
          </cell>
          <cell r="AM513">
            <v>0</v>
          </cell>
          <cell r="AN513">
            <v>0</v>
          </cell>
          <cell r="AO513">
            <v>4345.6000000000004</v>
          </cell>
          <cell r="AQ513">
            <v>2595.6</v>
          </cell>
          <cell r="AR513">
            <v>0</v>
          </cell>
        </row>
        <row r="514">
          <cell r="AG514">
            <v>-2182.6</v>
          </cell>
        </row>
        <row r="515">
          <cell r="AO515">
            <v>-4345.5999999999995</v>
          </cell>
        </row>
        <row r="520">
          <cell r="U520">
            <v>-6236</v>
          </cell>
          <cell r="V520">
            <v>0</v>
          </cell>
          <cell r="W520">
            <v>0</v>
          </cell>
          <cell r="X520">
            <v>-6236</v>
          </cell>
          <cell r="Y520">
            <v>-6180</v>
          </cell>
          <cell r="Z520">
            <v>0</v>
          </cell>
          <cell r="AA520">
            <v>0</v>
          </cell>
          <cell r="AB520">
            <v>0</v>
          </cell>
          <cell r="AC520">
            <v>0</v>
          </cell>
          <cell r="AD520">
            <v>-12416</v>
          </cell>
          <cell r="AE520">
            <v>0</v>
          </cell>
          <cell r="AF520">
            <v>2182.6</v>
          </cell>
          <cell r="AG520">
            <v>2182.6</v>
          </cell>
          <cell r="AH520">
            <v>0</v>
          </cell>
          <cell r="AI520">
            <v>0</v>
          </cell>
          <cell r="AJ520">
            <v>2182.6</v>
          </cell>
          <cell r="AK520">
            <v>2163</v>
          </cell>
          <cell r="AL520">
            <v>0</v>
          </cell>
          <cell r="AM520">
            <v>0</v>
          </cell>
          <cell r="AN520">
            <v>0</v>
          </cell>
          <cell r="AO520">
            <v>9.0949470177292824E-13</v>
          </cell>
          <cell r="AP520">
            <v>0</v>
          </cell>
          <cell r="AQ520">
            <v>2595.6</v>
          </cell>
          <cell r="AR520">
            <v>0</v>
          </cell>
        </row>
        <row r="521">
          <cell r="AD521">
            <v>-209.83039999999997</v>
          </cell>
        </row>
        <row r="535">
          <cell r="V535">
            <v>0</v>
          </cell>
          <cell r="W535">
            <v>0</v>
          </cell>
        </row>
        <row r="536">
          <cell r="AQ536">
            <v>0</v>
          </cell>
          <cell r="AR536">
            <v>0</v>
          </cell>
        </row>
        <row r="537">
          <cell r="X537">
            <v>0</v>
          </cell>
        </row>
        <row r="538">
          <cell r="X538">
            <v>0</v>
          </cell>
        </row>
        <row r="539">
          <cell r="U539">
            <v>0</v>
          </cell>
          <cell r="X539">
            <v>0</v>
          </cell>
          <cell r="Y539">
            <v>0</v>
          </cell>
          <cell r="AD539">
            <v>0</v>
          </cell>
          <cell r="AF539">
            <v>0</v>
          </cell>
          <cell r="AG539">
            <v>0</v>
          </cell>
          <cell r="AK539">
            <v>0</v>
          </cell>
          <cell r="AL539">
            <v>0</v>
          </cell>
          <cell r="AM539">
            <v>0</v>
          </cell>
          <cell r="AN539">
            <v>0</v>
          </cell>
          <cell r="AO539">
            <v>0</v>
          </cell>
          <cell r="AP539">
            <v>1</v>
          </cell>
          <cell r="AQ539">
            <v>0</v>
          </cell>
          <cell r="AR539">
            <v>0</v>
          </cell>
        </row>
        <row r="540">
          <cell r="U540">
            <v>-1079523</v>
          </cell>
          <cell r="X540">
            <v>-1079523</v>
          </cell>
          <cell r="Y540">
            <v>85598</v>
          </cell>
          <cell r="AD540">
            <v>-993925</v>
          </cell>
          <cell r="AF540">
            <v>377833.05</v>
          </cell>
          <cell r="AG540">
            <v>377833.05</v>
          </cell>
          <cell r="AJ540">
            <v>377833.05</v>
          </cell>
          <cell r="AK540">
            <v>-29959.3</v>
          </cell>
          <cell r="AL540">
            <v>0</v>
          </cell>
          <cell r="AM540">
            <v>0</v>
          </cell>
          <cell r="AN540">
            <v>0</v>
          </cell>
          <cell r="AO540">
            <v>347873.75</v>
          </cell>
        </row>
        <row r="541">
          <cell r="U541">
            <v>0</v>
          </cell>
          <cell r="X541">
            <v>0</v>
          </cell>
          <cell r="Y541">
            <v>0</v>
          </cell>
          <cell r="AD541">
            <v>0</v>
          </cell>
          <cell r="AF541">
            <v>0</v>
          </cell>
          <cell r="AG541">
            <v>0</v>
          </cell>
          <cell r="AJ541">
            <v>0</v>
          </cell>
          <cell r="AK541">
            <v>0</v>
          </cell>
          <cell r="AL541">
            <v>0</v>
          </cell>
          <cell r="AM541">
            <v>0</v>
          </cell>
          <cell r="AN541">
            <v>0</v>
          </cell>
          <cell r="AO541">
            <v>0</v>
          </cell>
        </row>
        <row r="542">
          <cell r="U542">
            <v>0</v>
          </cell>
          <cell r="X542">
            <v>0</v>
          </cell>
          <cell r="Y542">
            <v>0</v>
          </cell>
          <cell r="AD542">
            <v>0</v>
          </cell>
          <cell r="AF542">
            <v>0</v>
          </cell>
          <cell r="AG542">
            <v>0</v>
          </cell>
          <cell r="AJ542">
            <v>0</v>
          </cell>
          <cell r="AK542">
            <v>0</v>
          </cell>
          <cell r="AL542">
            <v>0</v>
          </cell>
          <cell r="AM542">
            <v>0</v>
          </cell>
          <cell r="AN542">
            <v>0</v>
          </cell>
          <cell r="AO542">
            <v>0</v>
          </cell>
        </row>
        <row r="543">
          <cell r="U543">
            <v>0</v>
          </cell>
          <cell r="X543">
            <v>0</v>
          </cell>
          <cell r="Y543">
            <v>0</v>
          </cell>
          <cell r="AD543">
            <v>0</v>
          </cell>
          <cell r="AF543">
            <v>0</v>
          </cell>
          <cell r="AG543">
            <v>0</v>
          </cell>
          <cell r="AK543">
            <v>0</v>
          </cell>
          <cell r="AL543">
            <v>0</v>
          </cell>
          <cell r="AM543">
            <v>0</v>
          </cell>
          <cell r="AN543">
            <v>0</v>
          </cell>
          <cell r="AO543">
            <v>0</v>
          </cell>
        </row>
        <row r="544">
          <cell r="U544">
            <v>0</v>
          </cell>
          <cell r="X544">
            <v>0</v>
          </cell>
          <cell r="Y544">
            <v>0</v>
          </cell>
          <cell r="AD544">
            <v>0</v>
          </cell>
          <cell r="AF544">
            <v>0</v>
          </cell>
          <cell r="AG544">
            <v>0</v>
          </cell>
          <cell r="AK544">
            <v>0</v>
          </cell>
          <cell r="AL544">
            <v>0</v>
          </cell>
          <cell r="AM544">
            <v>0</v>
          </cell>
          <cell r="AN544">
            <v>0</v>
          </cell>
          <cell r="AO544">
            <v>0</v>
          </cell>
        </row>
        <row r="545">
          <cell r="U545">
            <v>0</v>
          </cell>
          <cell r="X545">
            <v>0</v>
          </cell>
          <cell r="Y545">
            <v>0</v>
          </cell>
          <cell r="AD545">
            <v>0</v>
          </cell>
          <cell r="AF545">
            <v>0</v>
          </cell>
          <cell r="AG545">
            <v>0</v>
          </cell>
          <cell r="AK545">
            <v>0</v>
          </cell>
          <cell r="AL545">
            <v>0</v>
          </cell>
          <cell r="AM545">
            <v>0</v>
          </cell>
          <cell r="AN545">
            <v>0</v>
          </cell>
          <cell r="AO545">
            <v>0</v>
          </cell>
        </row>
        <row r="546">
          <cell r="AL546">
            <v>0</v>
          </cell>
          <cell r="AM546">
            <v>0</v>
          </cell>
        </row>
        <row r="547">
          <cell r="U547">
            <v>-1079523</v>
          </cell>
          <cell r="V547">
            <v>0</v>
          </cell>
          <cell r="W547">
            <v>0</v>
          </cell>
          <cell r="X547">
            <v>-1079523</v>
          </cell>
          <cell r="Y547">
            <v>85598</v>
          </cell>
          <cell r="Z547">
            <v>0</v>
          </cell>
          <cell r="AA547">
            <v>0</v>
          </cell>
          <cell r="AB547">
            <v>0</v>
          </cell>
          <cell r="AD547">
            <v>-993925</v>
          </cell>
          <cell r="AE547">
            <v>0</v>
          </cell>
          <cell r="AF547">
            <v>377833.05</v>
          </cell>
          <cell r="AG547">
            <v>377833.05</v>
          </cell>
          <cell r="AH547">
            <v>0</v>
          </cell>
          <cell r="AI547">
            <v>0</v>
          </cell>
          <cell r="AJ547">
            <v>377833.05</v>
          </cell>
          <cell r="AK547">
            <v>-29959.3</v>
          </cell>
          <cell r="AL547">
            <v>0</v>
          </cell>
          <cell r="AM547">
            <v>0</v>
          </cell>
          <cell r="AN547">
            <v>0</v>
          </cell>
          <cell r="AO547">
            <v>347873.75</v>
          </cell>
          <cell r="AQ547">
            <v>0</v>
          </cell>
          <cell r="AR547">
            <v>0</v>
          </cell>
        </row>
        <row r="548">
          <cell r="AD548">
            <v>-19878.5</v>
          </cell>
          <cell r="AG548">
            <v>-377833.05</v>
          </cell>
        </row>
        <row r="554">
          <cell r="U554">
            <v>-1079523</v>
          </cell>
          <cell r="V554">
            <v>0</v>
          </cell>
          <cell r="W554">
            <v>0</v>
          </cell>
          <cell r="X554">
            <v>-1079523</v>
          </cell>
          <cell r="Y554">
            <v>85598</v>
          </cell>
          <cell r="Z554">
            <v>0</v>
          </cell>
          <cell r="AA554">
            <v>0</v>
          </cell>
          <cell r="AB554">
            <v>0</v>
          </cell>
          <cell r="AC554">
            <v>0</v>
          </cell>
          <cell r="AD554">
            <v>-993925</v>
          </cell>
          <cell r="AE554">
            <v>0</v>
          </cell>
          <cell r="AF554">
            <v>377833.05</v>
          </cell>
          <cell r="AG554">
            <v>377833.05</v>
          </cell>
          <cell r="AH554">
            <v>0</v>
          </cell>
          <cell r="AI554">
            <v>0</v>
          </cell>
          <cell r="AJ554">
            <v>377833.05</v>
          </cell>
          <cell r="AK554">
            <v>-29959.3</v>
          </cell>
          <cell r="AL554">
            <v>0</v>
          </cell>
          <cell r="AM554">
            <v>0</v>
          </cell>
          <cell r="AN554">
            <v>0</v>
          </cell>
          <cell r="AO554">
            <v>347873.75</v>
          </cell>
          <cell r="AP554">
            <v>0</v>
          </cell>
          <cell r="AQ554">
            <v>0</v>
          </cell>
          <cell r="AR554">
            <v>0</v>
          </cell>
        </row>
        <row r="557">
          <cell r="AE557" t="e">
            <v>#REF!</v>
          </cell>
          <cell r="AF557" t="e">
            <v>#REF!</v>
          </cell>
        </row>
        <row r="558">
          <cell r="AE558" t="e">
            <v>#REF!</v>
          </cell>
          <cell r="AF558" t="e">
            <v>#REF!</v>
          </cell>
        </row>
        <row r="559">
          <cell r="AE559" t="e">
            <v>#REF!</v>
          </cell>
          <cell r="AF559" t="e">
            <v>#REF!</v>
          </cell>
        </row>
        <row r="560">
          <cell r="AE560" t="e">
            <v>#REF!</v>
          </cell>
          <cell r="AF560" t="e">
            <v>#REF!</v>
          </cell>
        </row>
        <row r="561">
          <cell r="AE561" t="e">
            <v>#REF!</v>
          </cell>
          <cell r="AF561" t="e">
            <v>#REF!</v>
          </cell>
        </row>
        <row r="562">
          <cell r="AE562" t="e">
            <v>#REF!</v>
          </cell>
          <cell r="AF562" t="e">
            <v>#REF!</v>
          </cell>
        </row>
        <row r="563">
          <cell r="AE563" t="e">
            <v>#REF!</v>
          </cell>
          <cell r="AF563" t="e">
            <v>#REF!</v>
          </cell>
        </row>
        <row r="564">
          <cell r="AE564" t="e">
            <v>#REF!</v>
          </cell>
          <cell r="AF564" t="e">
            <v>#REF!</v>
          </cell>
        </row>
        <row r="565">
          <cell r="AE565" t="e">
            <v>#REF!</v>
          </cell>
          <cell r="AF565" t="e">
            <v>#REF!</v>
          </cell>
        </row>
        <row r="566">
          <cell r="AE566" t="e">
            <v>#REF!</v>
          </cell>
          <cell r="AF566" t="e">
            <v>#REF!</v>
          </cell>
        </row>
        <row r="567">
          <cell r="AE567" t="e">
            <v>#REF!</v>
          </cell>
          <cell r="AF567" t="e">
            <v>#REF!</v>
          </cell>
        </row>
        <row r="568">
          <cell r="V568">
            <v>0</v>
          </cell>
          <cell r="W568">
            <v>0</v>
          </cell>
        </row>
        <row r="569">
          <cell r="AQ569">
            <v>0</v>
          </cell>
          <cell r="AR569">
            <v>0</v>
          </cell>
        </row>
        <row r="570">
          <cell r="X570">
            <v>0</v>
          </cell>
        </row>
        <row r="571">
          <cell r="X571">
            <v>0</v>
          </cell>
          <cell r="AE571" t="e">
            <v>#REF!</v>
          </cell>
          <cell r="AF571" t="e">
            <v>#REF!</v>
          </cell>
          <cell r="AP571" t="e">
            <v>#REF!</v>
          </cell>
          <cell r="AQ571" t="e">
            <v>#REF!</v>
          </cell>
          <cell r="AR571" t="e">
            <v>#REF!</v>
          </cell>
        </row>
        <row r="572">
          <cell r="U572">
            <v>0</v>
          </cell>
          <cell r="X572">
            <v>0</v>
          </cell>
          <cell r="Y572">
            <v>0</v>
          </cell>
          <cell r="AD572">
            <v>0</v>
          </cell>
          <cell r="AE572" t="e">
            <v>#REF!</v>
          </cell>
          <cell r="AF572" t="e">
            <v>#REF!</v>
          </cell>
          <cell r="AG572">
            <v>0</v>
          </cell>
          <cell r="AJ572">
            <v>0</v>
          </cell>
          <cell r="AK572">
            <v>0</v>
          </cell>
          <cell r="AN572">
            <v>0</v>
          </cell>
          <cell r="AO572">
            <v>0</v>
          </cell>
          <cell r="AP572" t="e">
            <v>#REF!</v>
          </cell>
          <cell r="AQ572" t="e">
            <v>#REF!</v>
          </cell>
          <cell r="AR572" t="e">
            <v>#REF!</v>
          </cell>
        </row>
        <row r="573">
          <cell r="U573">
            <v>-14684130</v>
          </cell>
          <cell r="X573">
            <v>-14684130</v>
          </cell>
          <cell r="Y573">
            <v>0</v>
          </cell>
          <cell r="AD573">
            <v>-14684130</v>
          </cell>
          <cell r="AE573" t="e">
            <v>#REF!</v>
          </cell>
          <cell r="AF573" t="e">
            <v>#REF!</v>
          </cell>
          <cell r="AG573">
            <v>5139445.5</v>
          </cell>
          <cell r="AH573">
            <v>0</v>
          </cell>
          <cell r="AI573">
            <v>0</v>
          </cell>
          <cell r="AJ573">
            <v>5139445.5</v>
          </cell>
          <cell r="AK573">
            <v>0</v>
          </cell>
          <cell r="AN573">
            <v>0</v>
          </cell>
          <cell r="AO573">
            <v>5139445.5</v>
          </cell>
          <cell r="AP573" t="e">
            <v>#REF!</v>
          </cell>
          <cell r="AQ573" t="e">
            <v>#REF!</v>
          </cell>
          <cell r="AR573" t="e">
            <v>#REF!</v>
          </cell>
        </row>
        <row r="574">
          <cell r="U574">
            <v>0</v>
          </cell>
          <cell r="X574">
            <v>0</v>
          </cell>
          <cell r="Y574">
            <v>0</v>
          </cell>
          <cell r="AD574">
            <v>0</v>
          </cell>
          <cell r="AE574" t="e">
            <v>#REF!</v>
          </cell>
          <cell r="AF574" t="e">
            <v>#REF!</v>
          </cell>
          <cell r="AG574">
            <v>0</v>
          </cell>
          <cell r="AJ574">
            <v>0</v>
          </cell>
          <cell r="AK574">
            <v>0</v>
          </cell>
          <cell r="AN574">
            <v>0</v>
          </cell>
          <cell r="AO574">
            <v>0</v>
          </cell>
          <cell r="AP574" t="e">
            <v>#REF!</v>
          </cell>
          <cell r="AQ574" t="e">
            <v>#REF!</v>
          </cell>
          <cell r="AR574" t="e">
            <v>#REF!</v>
          </cell>
        </row>
        <row r="575">
          <cell r="U575">
            <v>-22271</v>
          </cell>
          <cell r="X575">
            <v>-22271</v>
          </cell>
          <cell r="Y575">
            <v>30190</v>
          </cell>
          <cell r="AD575">
            <v>7919</v>
          </cell>
          <cell r="AE575" t="e">
            <v>#REF!</v>
          </cell>
          <cell r="AF575" t="e">
            <v>#REF!</v>
          </cell>
          <cell r="AG575">
            <v>7794.85</v>
          </cell>
          <cell r="AH575">
            <v>0</v>
          </cell>
          <cell r="AI575">
            <v>0</v>
          </cell>
          <cell r="AJ575">
            <v>7794.85</v>
          </cell>
          <cell r="AK575">
            <v>-10566.5</v>
          </cell>
          <cell r="AN575">
            <v>0</v>
          </cell>
          <cell r="AO575">
            <v>-2771.6499999999996</v>
          </cell>
          <cell r="AP575" t="e">
            <v>#REF!</v>
          </cell>
          <cell r="AQ575" t="e">
            <v>#REF!</v>
          </cell>
          <cell r="AR575" t="e">
            <v>#REF!</v>
          </cell>
        </row>
        <row r="576">
          <cell r="U576">
            <v>0</v>
          </cell>
          <cell r="X576">
            <v>0</v>
          </cell>
          <cell r="Y576">
            <v>0</v>
          </cell>
          <cell r="AD576">
            <v>0</v>
          </cell>
          <cell r="AE576" t="e">
            <v>#REF!</v>
          </cell>
          <cell r="AF576" t="e">
            <v>#REF!</v>
          </cell>
          <cell r="AG576">
            <v>0</v>
          </cell>
          <cell r="AH576">
            <v>0</v>
          </cell>
          <cell r="AI576">
            <v>0</v>
          </cell>
          <cell r="AJ576">
            <v>0</v>
          </cell>
          <cell r="AK576">
            <v>0</v>
          </cell>
          <cell r="AN576">
            <v>0</v>
          </cell>
          <cell r="AO576">
            <v>0</v>
          </cell>
          <cell r="AP576" t="e">
            <v>#REF!</v>
          </cell>
          <cell r="AQ576" t="e">
            <v>#REF!</v>
          </cell>
          <cell r="AR576" t="e">
            <v>#REF!</v>
          </cell>
        </row>
        <row r="577">
          <cell r="U577">
            <v>0</v>
          </cell>
          <cell r="X577">
            <v>0</v>
          </cell>
          <cell r="Y577">
            <v>0</v>
          </cell>
          <cell r="AD577">
            <v>0</v>
          </cell>
          <cell r="AE577" t="e">
            <v>#REF!</v>
          </cell>
          <cell r="AF577" t="e">
            <v>#REF!</v>
          </cell>
          <cell r="AG577">
            <v>0</v>
          </cell>
          <cell r="AH577">
            <v>0</v>
          </cell>
          <cell r="AI577">
            <v>0</v>
          </cell>
          <cell r="AJ577">
            <v>0</v>
          </cell>
          <cell r="AK577">
            <v>0</v>
          </cell>
          <cell r="AN577">
            <v>0</v>
          </cell>
          <cell r="AO577">
            <v>0</v>
          </cell>
          <cell r="AP577" t="e">
            <v>#REF!</v>
          </cell>
          <cell r="AQ577" t="e">
            <v>#REF!</v>
          </cell>
          <cell r="AR577" t="e">
            <v>#REF!</v>
          </cell>
        </row>
        <row r="578">
          <cell r="U578">
            <v>-109288</v>
          </cell>
          <cell r="X578">
            <v>-109288</v>
          </cell>
          <cell r="Y578">
            <v>0</v>
          </cell>
          <cell r="AD578">
            <v>-109288</v>
          </cell>
          <cell r="AE578" t="e">
            <v>#REF!</v>
          </cell>
          <cell r="AF578" t="e">
            <v>#REF!</v>
          </cell>
          <cell r="AG578">
            <v>38250.800000000003</v>
          </cell>
          <cell r="AH578">
            <v>0</v>
          </cell>
          <cell r="AI578">
            <v>0</v>
          </cell>
          <cell r="AJ578">
            <v>38250.800000000003</v>
          </cell>
          <cell r="AK578">
            <v>0</v>
          </cell>
          <cell r="AN578">
            <v>0</v>
          </cell>
          <cell r="AO578">
            <v>38250.800000000003</v>
          </cell>
          <cell r="AP578" t="e">
            <v>#REF!</v>
          </cell>
          <cell r="AQ578" t="e">
            <v>#REF!</v>
          </cell>
          <cell r="AR578" t="e">
            <v>#REF!</v>
          </cell>
        </row>
        <row r="579">
          <cell r="U579">
            <v>0.61999999999534339</v>
          </cell>
          <cell r="X579">
            <v>0.61999999999534339</v>
          </cell>
          <cell r="Y579">
            <v>0.38000000000465661</v>
          </cell>
          <cell r="AD579">
            <v>1</v>
          </cell>
          <cell r="AE579" t="e">
            <v>#REF!</v>
          </cell>
          <cell r="AF579" t="e">
            <v>#REF!</v>
          </cell>
          <cell r="AG579">
            <v>-0.21700000000419095</v>
          </cell>
          <cell r="AH579">
            <v>0</v>
          </cell>
          <cell r="AI579">
            <v>0</v>
          </cell>
          <cell r="AJ579">
            <v>-0.21700000000419095</v>
          </cell>
          <cell r="AK579">
            <v>-0.13300000000162981</v>
          </cell>
          <cell r="AN579">
            <v>0</v>
          </cell>
          <cell r="AO579">
            <v>-0.35000000000582077</v>
          </cell>
          <cell r="AP579" t="e">
            <v>#REF!</v>
          </cell>
          <cell r="AQ579" t="e">
            <v>#REF!</v>
          </cell>
          <cell r="AR579" t="e">
            <v>#REF!</v>
          </cell>
        </row>
        <row r="580">
          <cell r="U580">
            <v>0</v>
          </cell>
          <cell r="X580">
            <v>0</v>
          </cell>
          <cell r="Y580">
            <v>0</v>
          </cell>
          <cell r="AD580">
            <v>0</v>
          </cell>
          <cell r="AE580" t="e">
            <v>#REF!</v>
          </cell>
          <cell r="AF580" t="e">
            <v>#REF!</v>
          </cell>
          <cell r="AG580">
            <v>0</v>
          </cell>
          <cell r="AJ580">
            <v>0</v>
          </cell>
          <cell r="AK580">
            <v>0</v>
          </cell>
          <cell r="AN580">
            <v>0</v>
          </cell>
          <cell r="AO580">
            <v>0</v>
          </cell>
          <cell r="AP580" t="e">
            <v>#REF!</v>
          </cell>
          <cell r="AQ580" t="e">
            <v>#REF!</v>
          </cell>
          <cell r="AR580" t="e">
            <v>#REF!</v>
          </cell>
        </row>
        <row r="581">
          <cell r="U581">
            <v>0</v>
          </cell>
          <cell r="X581">
            <v>0</v>
          </cell>
          <cell r="Y581">
            <v>0</v>
          </cell>
          <cell r="AD581">
            <v>0</v>
          </cell>
          <cell r="AE581" t="e">
            <v>#REF!</v>
          </cell>
          <cell r="AF581" t="e">
            <v>#REF!</v>
          </cell>
          <cell r="AG581">
            <v>0</v>
          </cell>
          <cell r="AH581">
            <v>0</v>
          </cell>
          <cell r="AI581">
            <v>0</v>
          </cell>
          <cell r="AJ581">
            <v>0</v>
          </cell>
          <cell r="AK581">
            <v>0</v>
          </cell>
          <cell r="AN581">
            <v>0</v>
          </cell>
          <cell r="AO581">
            <v>0</v>
          </cell>
          <cell r="AP581" t="e">
            <v>#REF!</v>
          </cell>
          <cell r="AQ581" t="e">
            <v>#REF!</v>
          </cell>
          <cell r="AR581" t="e">
            <v>#REF!</v>
          </cell>
        </row>
        <row r="582">
          <cell r="U582">
            <v>0</v>
          </cell>
          <cell r="X582">
            <v>0</v>
          </cell>
          <cell r="Y582">
            <v>0</v>
          </cell>
          <cell r="AD582">
            <v>0</v>
          </cell>
          <cell r="AE582" t="e">
            <v>#REF!</v>
          </cell>
          <cell r="AF582" t="e">
            <v>#REF!</v>
          </cell>
          <cell r="AG582">
            <v>0</v>
          </cell>
          <cell r="AH582">
            <v>0</v>
          </cell>
          <cell r="AI582">
            <v>0</v>
          </cell>
          <cell r="AJ582">
            <v>0</v>
          </cell>
          <cell r="AK582">
            <v>0</v>
          </cell>
          <cell r="AN582">
            <v>0</v>
          </cell>
          <cell r="AO582">
            <v>0</v>
          </cell>
          <cell r="AP582" t="e">
            <v>#REF!</v>
          </cell>
          <cell r="AQ582" t="e">
            <v>#REF!</v>
          </cell>
          <cell r="AR582" t="e">
            <v>#REF!</v>
          </cell>
        </row>
        <row r="583">
          <cell r="U583">
            <v>0</v>
          </cell>
          <cell r="X583">
            <v>0</v>
          </cell>
          <cell r="Y583">
            <v>0</v>
          </cell>
          <cell r="AD583">
            <v>0</v>
          </cell>
          <cell r="AE583" t="e">
            <v>#REF!</v>
          </cell>
          <cell r="AF583" t="e">
            <v>#REF!</v>
          </cell>
          <cell r="AG583">
            <v>0</v>
          </cell>
          <cell r="AH583">
            <v>0</v>
          </cell>
          <cell r="AI583">
            <v>0</v>
          </cell>
          <cell r="AJ583">
            <v>0</v>
          </cell>
          <cell r="AK583">
            <v>0</v>
          </cell>
          <cell r="AN583">
            <v>0</v>
          </cell>
          <cell r="AO583">
            <v>0</v>
          </cell>
          <cell r="AP583" t="e">
            <v>#REF!</v>
          </cell>
          <cell r="AQ583" t="e">
            <v>#REF!</v>
          </cell>
          <cell r="AR583" t="e">
            <v>#REF!</v>
          </cell>
        </row>
        <row r="584">
          <cell r="U584">
            <v>0</v>
          </cell>
          <cell r="X584">
            <v>0</v>
          </cell>
          <cell r="Y584">
            <v>0</v>
          </cell>
          <cell r="AD584">
            <v>0</v>
          </cell>
          <cell r="AE584" t="e">
            <v>#REF!</v>
          </cell>
          <cell r="AF584" t="e">
            <v>#REF!</v>
          </cell>
          <cell r="AG584">
            <v>0</v>
          </cell>
          <cell r="AH584">
            <v>0</v>
          </cell>
          <cell r="AI584">
            <v>0</v>
          </cell>
          <cell r="AK584">
            <v>0</v>
          </cell>
          <cell r="AN584">
            <v>0</v>
          </cell>
          <cell r="AO584">
            <v>0</v>
          </cell>
          <cell r="AP584" t="e">
            <v>#REF!</v>
          </cell>
          <cell r="AQ584" t="e">
            <v>#REF!</v>
          </cell>
          <cell r="AR584" t="e">
            <v>#REF!</v>
          </cell>
        </row>
        <row r="585">
          <cell r="U585">
            <v>0</v>
          </cell>
          <cell r="X585">
            <v>0</v>
          </cell>
          <cell r="Y585">
            <v>0</v>
          </cell>
          <cell r="AD585">
            <v>0</v>
          </cell>
          <cell r="AE585" t="e">
            <v>#REF!</v>
          </cell>
          <cell r="AF585" t="e">
            <v>#REF!</v>
          </cell>
          <cell r="AG585">
            <v>0</v>
          </cell>
          <cell r="AK585">
            <v>0</v>
          </cell>
          <cell r="AN585">
            <v>0</v>
          </cell>
          <cell r="AO585">
            <v>0</v>
          </cell>
          <cell r="AP585" t="e">
            <v>#REF!</v>
          </cell>
          <cell r="AQ585" t="e">
            <v>#REF!</v>
          </cell>
          <cell r="AR585" t="e">
            <v>#REF!</v>
          </cell>
        </row>
        <row r="586">
          <cell r="AE586" t="e">
            <v>#REF!</v>
          </cell>
          <cell r="AF586" t="e">
            <v>#REF!</v>
          </cell>
          <cell r="AP586" t="e">
            <v>#REF!</v>
          </cell>
          <cell r="AQ586" t="e">
            <v>#REF!</v>
          </cell>
          <cell r="AR586" t="e">
            <v>#REF!</v>
          </cell>
        </row>
        <row r="587">
          <cell r="U587">
            <v>-14815688.380000001</v>
          </cell>
          <cell r="V587">
            <v>0</v>
          </cell>
          <cell r="W587">
            <v>0</v>
          </cell>
          <cell r="X587">
            <v>-14815688.380000001</v>
          </cell>
          <cell r="Y587">
            <v>30190.380000000005</v>
          </cell>
          <cell r="Z587">
            <v>0</v>
          </cell>
          <cell r="AA587">
            <v>0</v>
          </cell>
          <cell r="AB587">
            <v>0</v>
          </cell>
          <cell r="AD587">
            <v>-14785498</v>
          </cell>
          <cell r="AE587" t="e">
            <v>#REF!</v>
          </cell>
          <cell r="AF587" t="e">
            <v>#REF!</v>
          </cell>
          <cell r="AG587">
            <v>5185490.9329999993</v>
          </cell>
          <cell r="AH587">
            <v>0</v>
          </cell>
          <cell r="AI587">
            <v>0</v>
          </cell>
          <cell r="AJ587">
            <v>5185490.9329999993</v>
          </cell>
          <cell r="AK587">
            <v>-10566.633000000002</v>
          </cell>
          <cell r="AL587">
            <v>0</v>
          </cell>
          <cell r="AM587">
            <v>0</v>
          </cell>
          <cell r="AN587">
            <v>0</v>
          </cell>
          <cell r="AO587">
            <v>5174924.3</v>
          </cell>
          <cell r="AQ587" t="e">
            <v>#REF!</v>
          </cell>
          <cell r="AR587" t="e">
            <v>#REF!</v>
          </cell>
        </row>
        <row r="588">
          <cell r="AD588">
            <v>-249874.91619999998</v>
          </cell>
          <cell r="AE588" t="e">
            <v>#REF!</v>
          </cell>
          <cell r="AF588" t="e">
            <v>#REF!</v>
          </cell>
          <cell r="AG588">
            <v>-5185490.9330000002</v>
          </cell>
          <cell r="AP588" t="e">
            <v>#REF!</v>
          </cell>
          <cell r="AQ588" t="e">
            <v>#REF!</v>
          </cell>
          <cell r="AR588" t="e">
            <v>#REF!</v>
          </cell>
        </row>
        <row r="589">
          <cell r="X589">
            <v>0</v>
          </cell>
          <cell r="AE589" t="e">
            <v>#REF!</v>
          </cell>
          <cell r="AF589" t="e">
            <v>#REF!</v>
          </cell>
          <cell r="AO589">
            <v>-5174924.3</v>
          </cell>
          <cell r="AP589" t="e">
            <v>#REF!</v>
          </cell>
          <cell r="AQ589" t="e">
            <v>#REF!</v>
          </cell>
          <cell r="AR589" t="e">
            <v>#REF!</v>
          </cell>
        </row>
        <row r="590">
          <cell r="X590">
            <v>0</v>
          </cell>
          <cell r="AE590" t="e">
            <v>#REF!</v>
          </cell>
          <cell r="AF590" t="e">
            <v>#REF!</v>
          </cell>
          <cell r="AP590" t="e">
            <v>#REF!</v>
          </cell>
          <cell r="AQ590" t="e">
            <v>#REF!</v>
          </cell>
          <cell r="AR590" t="e">
            <v>#REF!</v>
          </cell>
        </row>
        <row r="591">
          <cell r="X591">
            <v>0</v>
          </cell>
          <cell r="AE591" t="e">
            <v>#REF!</v>
          </cell>
          <cell r="AF591" t="e">
            <v>#REF!</v>
          </cell>
          <cell r="AP591" t="e">
            <v>#REF!</v>
          </cell>
          <cell r="AQ591" t="e">
            <v>#REF!</v>
          </cell>
          <cell r="AR591" t="e">
            <v>#REF!</v>
          </cell>
        </row>
        <row r="592">
          <cell r="AE592" t="e">
            <v>#REF!</v>
          </cell>
          <cell r="AF592" t="e">
            <v>#REF!</v>
          </cell>
        </row>
        <row r="593">
          <cell r="AE593" t="e">
            <v>#REF!</v>
          </cell>
          <cell r="AF593" t="e">
            <v>#REF!</v>
          </cell>
          <cell r="AP593" t="e">
            <v>#REF!</v>
          </cell>
          <cell r="AQ593" t="e">
            <v>#REF!</v>
          </cell>
          <cell r="AR593" t="e">
            <v>#REF!</v>
          </cell>
        </row>
        <row r="594">
          <cell r="U594">
            <v>-14815688.380000001</v>
          </cell>
          <cell r="V594">
            <v>0</v>
          </cell>
          <cell r="W594">
            <v>0</v>
          </cell>
          <cell r="X594">
            <v>-14815688.380000001</v>
          </cell>
          <cell r="Y594">
            <v>30190.380000000005</v>
          </cell>
          <cell r="Z594">
            <v>0</v>
          </cell>
          <cell r="AA594">
            <v>0</v>
          </cell>
          <cell r="AB594">
            <v>0</v>
          </cell>
          <cell r="AC594">
            <v>0</v>
          </cell>
          <cell r="AD594">
            <v>-14785498</v>
          </cell>
          <cell r="AE594" t="e">
            <v>#REF!</v>
          </cell>
          <cell r="AF594" t="e">
            <v>#REF!</v>
          </cell>
          <cell r="AG594">
            <v>5185490.9329999993</v>
          </cell>
          <cell r="AH594">
            <v>0</v>
          </cell>
          <cell r="AI594">
            <v>0</v>
          </cell>
          <cell r="AJ594">
            <v>5185490.9329999993</v>
          </cell>
          <cell r="AK594">
            <v>-10566.633000000002</v>
          </cell>
          <cell r="AL594">
            <v>0</v>
          </cell>
          <cell r="AM594">
            <v>0</v>
          </cell>
          <cell r="AN594">
            <v>0</v>
          </cell>
          <cell r="AO594">
            <v>0</v>
          </cell>
          <cell r="AP594" t="e">
            <v>#REF!</v>
          </cell>
          <cell r="AQ594" t="e">
            <v>#REF!</v>
          </cell>
          <cell r="AR594" t="e">
            <v>#REF!</v>
          </cell>
        </row>
        <row r="595">
          <cell r="AD595">
            <v>-249874.91619999998</v>
          </cell>
        </row>
        <row r="597">
          <cell r="Y597">
            <v>510.21742200000006</v>
          </cell>
        </row>
        <row r="608">
          <cell r="X608">
            <v>0</v>
          </cell>
        </row>
        <row r="609">
          <cell r="X609">
            <v>0</v>
          </cell>
        </row>
        <row r="610">
          <cell r="U610">
            <v>54637270</v>
          </cell>
          <cell r="X610">
            <v>54637270</v>
          </cell>
          <cell r="Y610">
            <v>0</v>
          </cell>
          <cell r="AD610">
            <v>54637270</v>
          </cell>
          <cell r="AE610" t="e">
            <v>#REF!</v>
          </cell>
          <cell r="AF610" t="e">
            <v>#REF!</v>
          </cell>
          <cell r="AG610">
            <v>-19123044.5</v>
          </cell>
          <cell r="AH610">
            <v>0</v>
          </cell>
          <cell r="AI610">
            <v>0</v>
          </cell>
          <cell r="AJ610">
            <v>-19123044.5</v>
          </cell>
          <cell r="AK610">
            <v>0</v>
          </cell>
          <cell r="AL610">
            <v>0</v>
          </cell>
          <cell r="AM610">
            <v>0</v>
          </cell>
          <cell r="AN610">
            <v>0</v>
          </cell>
          <cell r="AO610">
            <v>-19123044.5</v>
          </cell>
          <cell r="AQ610">
            <v>0</v>
          </cell>
          <cell r="AR610">
            <v>-19123044.5</v>
          </cell>
        </row>
        <row r="611">
          <cell r="U611">
            <v>-4631084</v>
          </cell>
          <cell r="X611">
            <v>-4631084</v>
          </cell>
          <cell r="Y611">
            <v>0</v>
          </cell>
          <cell r="AD611">
            <v>-4631084</v>
          </cell>
          <cell r="AG611">
            <v>1620879.4</v>
          </cell>
          <cell r="AH611">
            <v>0</v>
          </cell>
          <cell r="AI611">
            <v>0</v>
          </cell>
          <cell r="AJ611">
            <v>1620879.4</v>
          </cell>
          <cell r="AK611">
            <v>0</v>
          </cell>
          <cell r="AL611">
            <v>0</v>
          </cell>
          <cell r="AM611">
            <v>0</v>
          </cell>
          <cell r="AN611">
            <v>0</v>
          </cell>
          <cell r="AO611">
            <v>1620879.4</v>
          </cell>
        </row>
        <row r="612">
          <cell r="U612">
            <v>-4462517</v>
          </cell>
          <cell r="X612">
            <v>-4462517</v>
          </cell>
          <cell r="Y612">
            <v>-7107</v>
          </cell>
          <cell r="AD612">
            <v>-4469624</v>
          </cell>
          <cell r="AG612">
            <v>1561880.95</v>
          </cell>
          <cell r="AH612">
            <v>0</v>
          </cell>
          <cell r="AI612">
            <v>0</v>
          </cell>
          <cell r="AJ612">
            <v>1561880.95</v>
          </cell>
          <cell r="AK612">
            <v>2487.4499999999998</v>
          </cell>
          <cell r="AL612">
            <v>0</v>
          </cell>
          <cell r="AM612">
            <v>0</v>
          </cell>
          <cell r="AN612">
            <v>0</v>
          </cell>
          <cell r="AO612">
            <v>1564368.4</v>
          </cell>
        </row>
        <row r="613">
          <cell r="U613">
            <v>0</v>
          </cell>
          <cell r="X613">
            <v>0</v>
          </cell>
          <cell r="Y613">
            <v>0</v>
          </cell>
          <cell r="AD613">
            <v>0</v>
          </cell>
          <cell r="AG613">
            <v>0</v>
          </cell>
          <cell r="AH613">
            <v>0</v>
          </cell>
          <cell r="AI613">
            <v>0</v>
          </cell>
          <cell r="AJ613">
            <v>0</v>
          </cell>
          <cell r="AK613">
            <v>0</v>
          </cell>
          <cell r="AL613">
            <v>0</v>
          </cell>
          <cell r="AM613">
            <v>0</v>
          </cell>
          <cell r="AN613">
            <v>0</v>
          </cell>
          <cell r="AO613">
            <v>0</v>
          </cell>
        </row>
        <row r="614">
          <cell r="U614">
            <v>3839591</v>
          </cell>
          <cell r="X614">
            <v>3839591</v>
          </cell>
          <cell r="Y614">
            <v>-16953</v>
          </cell>
          <cell r="AD614">
            <v>3822638</v>
          </cell>
          <cell r="AG614">
            <v>-1343856.85</v>
          </cell>
          <cell r="AH614">
            <v>0</v>
          </cell>
          <cell r="AI614">
            <v>0</v>
          </cell>
          <cell r="AJ614">
            <v>-1343856.85</v>
          </cell>
          <cell r="AK614">
            <v>5933.5499999999993</v>
          </cell>
          <cell r="AL614">
            <v>0</v>
          </cell>
          <cell r="AM614">
            <v>0</v>
          </cell>
          <cell r="AN614">
            <v>0</v>
          </cell>
          <cell r="AO614">
            <v>-1337923.3</v>
          </cell>
          <cell r="AQ614">
            <v>0</v>
          </cell>
          <cell r="AR614">
            <v>-1337923.3</v>
          </cell>
        </row>
        <row r="615">
          <cell r="U615">
            <v>-1</v>
          </cell>
          <cell r="X615">
            <v>-1</v>
          </cell>
          <cell r="Y615">
            <v>0</v>
          </cell>
          <cell r="AD615">
            <v>-1</v>
          </cell>
          <cell r="AG615">
            <v>0.35000000000582077</v>
          </cell>
          <cell r="AH615">
            <v>0</v>
          </cell>
          <cell r="AI615">
            <v>0</v>
          </cell>
          <cell r="AJ615">
            <v>0.35000000000582077</v>
          </cell>
          <cell r="AK615">
            <v>0</v>
          </cell>
          <cell r="AL615">
            <v>0</v>
          </cell>
          <cell r="AM615">
            <v>0</v>
          </cell>
          <cell r="AN615">
            <v>0</v>
          </cell>
          <cell r="AO615">
            <v>0.35000000000582077</v>
          </cell>
        </row>
        <row r="616">
          <cell r="U616">
            <v>0</v>
          </cell>
          <cell r="X616">
            <v>0</v>
          </cell>
          <cell r="Y616">
            <v>0</v>
          </cell>
          <cell r="AD616">
            <v>0</v>
          </cell>
          <cell r="AG616">
            <v>0</v>
          </cell>
          <cell r="AH616">
            <v>0</v>
          </cell>
          <cell r="AI616">
            <v>0</v>
          </cell>
          <cell r="AJ616">
            <v>0</v>
          </cell>
          <cell r="AK616">
            <v>0</v>
          </cell>
          <cell r="AL616">
            <v>0</v>
          </cell>
          <cell r="AM616">
            <v>0</v>
          </cell>
          <cell r="AN616">
            <v>0</v>
          </cell>
          <cell r="AO616">
            <v>0</v>
          </cell>
          <cell r="AQ616">
            <v>0</v>
          </cell>
          <cell r="AR616">
            <v>0</v>
          </cell>
        </row>
        <row r="617">
          <cell r="U617">
            <v>0</v>
          </cell>
          <cell r="X617">
            <v>0</v>
          </cell>
          <cell r="Y617">
            <v>0</v>
          </cell>
          <cell r="AD617">
            <v>0</v>
          </cell>
          <cell r="AE617" t="e">
            <v>#REF!</v>
          </cell>
          <cell r="AF617" t="e">
            <v>#REF!</v>
          </cell>
          <cell r="AG617">
            <v>0</v>
          </cell>
          <cell r="AH617">
            <v>0</v>
          </cell>
          <cell r="AI617">
            <v>0</v>
          </cell>
          <cell r="AJ617">
            <v>0</v>
          </cell>
          <cell r="AK617">
            <v>0</v>
          </cell>
          <cell r="AL617">
            <v>0</v>
          </cell>
          <cell r="AM617">
            <v>0</v>
          </cell>
          <cell r="AN617">
            <v>0</v>
          </cell>
          <cell r="AO617">
            <v>0</v>
          </cell>
          <cell r="AQ617">
            <v>0</v>
          </cell>
          <cell r="AR617">
            <v>0</v>
          </cell>
        </row>
        <row r="618">
          <cell r="U618">
            <v>-526443</v>
          </cell>
          <cell r="X618">
            <v>-526443</v>
          </cell>
          <cell r="Y618">
            <v>0</v>
          </cell>
          <cell r="AD618">
            <v>-526443</v>
          </cell>
          <cell r="AG618">
            <v>184255.05</v>
          </cell>
          <cell r="AH618">
            <v>0</v>
          </cell>
          <cell r="AI618">
            <v>0</v>
          </cell>
          <cell r="AJ618">
            <v>184255.05</v>
          </cell>
          <cell r="AK618">
            <v>0</v>
          </cell>
          <cell r="AL618">
            <v>0</v>
          </cell>
          <cell r="AM618">
            <v>0</v>
          </cell>
          <cell r="AN618">
            <v>0</v>
          </cell>
          <cell r="AO618">
            <v>184255.05</v>
          </cell>
          <cell r="AQ618">
            <v>0</v>
          </cell>
          <cell r="AR618">
            <v>184255.05</v>
          </cell>
        </row>
        <row r="619">
          <cell r="U619">
            <v>0</v>
          </cell>
          <cell r="X619">
            <v>0</v>
          </cell>
          <cell r="Y619">
            <v>1580646</v>
          </cell>
          <cell r="AC619">
            <v>-6</v>
          </cell>
          <cell r="AD619">
            <v>1580646</v>
          </cell>
          <cell r="AG619">
            <v>0</v>
          </cell>
          <cell r="AH619">
            <v>0</v>
          </cell>
          <cell r="AI619">
            <v>0</v>
          </cell>
          <cell r="AJ619">
            <v>0</v>
          </cell>
          <cell r="AK619">
            <v>-553226.1</v>
          </cell>
          <cell r="AL619">
            <v>0</v>
          </cell>
          <cell r="AM619">
            <v>0</v>
          </cell>
          <cell r="AN619">
            <v>0</v>
          </cell>
          <cell r="AO619">
            <v>-553226.1</v>
          </cell>
          <cell r="AQ619">
            <v>0</v>
          </cell>
          <cell r="AR619">
            <v>-553226.1</v>
          </cell>
        </row>
        <row r="620">
          <cell r="U620">
            <v>-191131</v>
          </cell>
          <cell r="X620">
            <v>-191131</v>
          </cell>
          <cell r="Y620">
            <v>0</v>
          </cell>
          <cell r="AD620">
            <v>-191131</v>
          </cell>
          <cell r="AG620">
            <v>66895.850000000006</v>
          </cell>
          <cell r="AH620">
            <v>0</v>
          </cell>
          <cell r="AI620">
            <v>0</v>
          </cell>
          <cell r="AJ620">
            <v>66895.850000000006</v>
          </cell>
          <cell r="AK620">
            <v>0</v>
          </cell>
          <cell r="AL620">
            <v>0</v>
          </cell>
          <cell r="AM620">
            <v>0</v>
          </cell>
          <cell r="AN620">
            <v>0</v>
          </cell>
          <cell r="AO620">
            <v>66895.850000000006</v>
          </cell>
          <cell r="AQ620">
            <v>0</v>
          </cell>
          <cell r="AR620">
            <v>66895.850000000006</v>
          </cell>
        </row>
        <row r="621">
          <cell r="U621">
            <v>-10000</v>
          </cell>
          <cell r="X621">
            <v>-10000</v>
          </cell>
          <cell r="Y621">
            <v>0</v>
          </cell>
          <cell r="AD621">
            <v>-10000</v>
          </cell>
          <cell r="AE621" t="e">
            <v>#REF!</v>
          </cell>
          <cell r="AF621" t="e">
            <v>#REF!</v>
          </cell>
          <cell r="AG621">
            <v>3500</v>
          </cell>
          <cell r="AH621">
            <v>0</v>
          </cell>
          <cell r="AI621">
            <v>0</v>
          </cell>
          <cell r="AJ621">
            <v>3500</v>
          </cell>
          <cell r="AK621">
            <v>0</v>
          </cell>
          <cell r="AL621">
            <v>0</v>
          </cell>
          <cell r="AM621">
            <v>0</v>
          </cell>
          <cell r="AN621">
            <v>0</v>
          </cell>
          <cell r="AO621">
            <v>3500</v>
          </cell>
          <cell r="AQ621">
            <v>0</v>
          </cell>
          <cell r="AR621">
            <v>3500</v>
          </cell>
        </row>
        <row r="622">
          <cell r="U622">
            <v>-11194862</v>
          </cell>
          <cell r="X622">
            <v>-11194862</v>
          </cell>
          <cell r="Y622">
            <v>-2227243</v>
          </cell>
          <cell r="AD622">
            <v>-13422105</v>
          </cell>
          <cell r="AE622" t="e">
            <v>#REF!</v>
          </cell>
          <cell r="AF622" t="e">
            <v>#REF!</v>
          </cell>
          <cell r="AG622">
            <v>3918201.7</v>
          </cell>
          <cell r="AH622">
            <v>0</v>
          </cell>
          <cell r="AI622">
            <v>0</v>
          </cell>
          <cell r="AJ622">
            <v>3918201.7</v>
          </cell>
          <cell r="AK622">
            <v>779535.04999999993</v>
          </cell>
          <cell r="AL622">
            <v>0</v>
          </cell>
          <cell r="AM622">
            <v>0</v>
          </cell>
          <cell r="AN622">
            <v>0</v>
          </cell>
          <cell r="AO622">
            <v>4697736.75</v>
          </cell>
          <cell r="AQ622">
            <v>0</v>
          </cell>
          <cell r="AR622">
            <v>4697736.75</v>
          </cell>
        </row>
        <row r="623">
          <cell r="U623">
            <v>-24415528</v>
          </cell>
          <cell r="X623">
            <v>-24415528</v>
          </cell>
          <cell r="Y623">
            <v>1486243</v>
          </cell>
          <cell r="AD623">
            <v>-22929285</v>
          </cell>
          <cell r="AE623" t="e">
            <v>#REF!</v>
          </cell>
          <cell r="AF623" t="e">
            <v>#REF!</v>
          </cell>
          <cell r="AG623">
            <v>8545434.7999999989</v>
          </cell>
          <cell r="AH623">
            <v>0</v>
          </cell>
          <cell r="AI623">
            <v>0</v>
          </cell>
          <cell r="AJ623">
            <v>8545434.7999999989</v>
          </cell>
          <cell r="AK623">
            <v>-520185.05</v>
          </cell>
          <cell r="AL623">
            <v>0</v>
          </cell>
          <cell r="AM623">
            <v>0</v>
          </cell>
          <cell r="AN623">
            <v>0</v>
          </cell>
          <cell r="AO623">
            <v>8025249.7499999991</v>
          </cell>
          <cell r="AQ623">
            <v>0</v>
          </cell>
          <cell r="AR623">
            <v>8025249.7499999991</v>
          </cell>
        </row>
        <row r="624">
          <cell r="U624">
            <v>-7793</v>
          </cell>
          <cell r="X624">
            <v>-7793</v>
          </cell>
          <cell r="Y624">
            <v>0</v>
          </cell>
          <cell r="AD624">
            <v>-7793</v>
          </cell>
          <cell r="AE624" t="e">
            <v>#REF!</v>
          </cell>
          <cell r="AF624" t="e">
            <v>#REF!</v>
          </cell>
          <cell r="AG624">
            <v>2727.55</v>
          </cell>
          <cell r="AH624">
            <v>0</v>
          </cell>
          <cell r="AI624">
            <v>0</v>
          </cell>
          <cell r="AJ624">
            <v>2727.55</v>
          </cell>
          <cell r="AK624">
            <v>0</v>
          </cell>
          <cell r="AL624">
            <v>0</v>
          </cell>
          <cell r="AM624">
            <v>0</v>
          </cell>
          <cell r="AN624">
            <v>0</v>
          </cell>
          <cell r="AO624">
            <v>2727.55</v>
          </cell>
          <cell r="AQ624">
            <v>0</v>
          </cell>
          <cell r="AR624">
            <v>2727.55</v>
          </cell>
        </row>
        <row r="625">
          <cell r="U625">
            <v>-2346790</v>
          </cell>
          <cell r="X625">
            <v>-2346790</v>
          </cell>
          <cell r="Y625">
            <v>-2649453</v>
          </cell>
          <cell r="AD625">
            <v>-4996243</v>
          </cell>
          <cell r="AE625" t="e">
            <v>#REF!</v>
          </cell>
          <cell r="AF625" t="e">
            <v>#REF!</v>
          </cell>
          <cell r="AG625">
            <v>821376.5</v>
          </cell>
          <cell r="AH625">
            <v>0</v>
          </cell>
          <cell r="AI625">
            <v>0</v>
          </cell>
          <cell r="AJ625">
            <v>821376.5</v>
          </cell>
          <cell r="AK625">
            <v>927308.54999999993</v>
          </cell>
          <cell r="AL625">
            <v>0</v>
          </cell>
          <cell r="AM625">
            <v>0</v>
          </cell>
          <cell r="AN625">
            <v>0</v>
          </cell>
          <cell r="AO625">
            <v>1748685.0499999998</v>
          </cell>
          <cell r="AQ625">
            <v>0</v>
          </cell>
          <cell r="AR625">
            <v>1748685.0499999998</v>
          </cell>
        </row>
        <row r="626">
          <cell r="U626">
            <v>-25070</v>
          </cell>
          <cell r="X626">
            <v>-25070</v>
          </cell>
          <cell r="Y626">
            <v>0</v>
          </cell>
          <cell r="AD626">
            <v>-25070</v>
          </cell>
          <cell r="AE626" t="e">
            <v>#REF!</v>
          </cell>
          <cell r="AF626" t="e">
            <v>#REF!</v>
          </cell>
          <cell r="AG626">
            <v>8774.5</v>
          </cell>
          <cell r="AH626">
            <v>0</v>
          </cell>
          <cell r="AI626">
            <v>0</v>
          </cell>
          <cell r="AJ626">
            <v>8774.5</v>
          </cell>
          <cell r="AK626">
            <v>0</v>
          </cell>
          <cell r="AL626">
            <v>0</v>
          </cell>
          <cell r="AM626">
            <v>0</v>
          </cell>
          <cell r="AN626">
            <v>0</v>
          </cell>
          <cell r="AO626">
            <v>8774.5</v>
          </cell>
          <cell r="AQ626">
            <v>0</v>
          </cell>
          <cell r="AR626">
            <v>8774.5</v>
          </cell>
        </row>
        <row r="627">
          <cell r="U627">
            <v>296068</v>
          </cell>
          <cell r="X627">
            <v>296068</v>
          </cell>
          <cell r="Y627">
            <v>-19630</v>
          </cell>
          <cell r="AD627">
            <v>276438</v>
          </cell>
          <cell r="AE627" t="e">
            <v>#REF!</v>
          </cell>
          <cell r="AF627" t="e">
            <v>#REF!</v>
          </cell>
          <cell r="AG627">
            <v>-103623.8</v>
          </cell>
          <cell r="AH627">
            <v>0</v>
          </cell>
          <cell r="AI627">
            <v>0</v>
          </cell>
          <cell r="AJ627">
            <v>-103623.8</v>
          </cell>
          <cell r="AK627">
            <v>6870.5</v>
          </cell>
          <cell r="AL627">
            <v>0</v>
          </cell>
          <cell r="AM627">
            <v>0</v>
          </cell>
          <cell r="AN627">
            <v>0</v>
          </cell>
          <cell r="AO627">
            <v>-96753.3</v>
          </cell>
          <cell r="AQ627">
            <v>0</v>
          </cell>
          <cell r="AR627">
            <v>-96753.3</v>
          </cell>
        </row>
        <row r="628">
          <cell r="U628">
            <v>0</v>
          </cell>
          <cell r="X628">
            <v>0</v>
          </cell>
          <cell r="Y628">
            <v>49514</v>
          </cell>
          <cell r="AD628">
            <v>49514</v>
          </cell>
          <cell r="AG628">
            <v>0</v>
          </cell>
          <cell r="AH628">
            <v>0</v>
          </cell>
          <cell r="AI628">
            <v>0</v>
          </cell>
          <cell r="AJ628">
            <v>0</v>
          </cell>
          <cell r="AK628">
            <v>-17329.899999999998</v>
          </cell>
          <cell r="AL628">
            <v>0</v>
          </cell>
          <cell r="AM628">
            <v>0</v>
          </cell>
          <cell r="AN628">
            <v>0</v>
          </cell>
          <cell r="AO628">
            <v>-17329.899999999998</v>
          </cell>
        </row>
        <row r="629">
          <cell r="U629">
            <v>0</v>
          </cell>
          <cell r="X629">
            <v>0</v>
          </cell>
          <cell r="Y629">
            <v>0</v>
          </cell>
          <cell r="AD629">
            <v>0</v>
          </cell>
          <cell r="AG629">
            <v>0</v>
          </cell>
          <cell r="AH629">
            <v>0</v>
          </cell>
          <cell r="AI629">
            <v>0</v>
          </cell>
          <cell r="AJ629">
            <v>0</v>
          </cell>
          <cell r="AK629">
            <v>0</v>
          </cell>
          <cell r="AL629">
            <v>0</v>
          </cell>
          <cell r="AM629">
            <v>0</v>
          </cell>
          <cell r="AN629">
            <v>0</v>
          </cell>
          <cell r="AO629">
            <v>0</v>
          </cell>
        </row>
        <row r="630">
          <cell r="U630">
            <v>0</v>
          </cell>
          <cell r="X630">
            <v>0</v>
          </cell>
          <cell r="Y630">
            <v>0</v>
          </cell>
          <cell r="AD630">
            <v>0</v>
          </cell>
          <cell r="AG630">
            <v>0</v>
          </cell>
          <cell r="AH630">
            <v>0</v>
          </cell>
          <cell r="AI630">
            <v>0</v>
          </cell>
          <cell r="AJ630">
            <v>0</v>
          </cell>
          <cell r="AK630">
            <v>0</v>
          </cell>
          <cell r="AL630">
            <v>0</v>
          </cell>
          <cell r="AM630">
            <v>0</v>
          </cell>
          <cell r="AN630">
            <v>0</v>
          </cell>
          <cell r="AO630">
            <v>0</v>
          </cell>
        </row>
        <row r="631">
          <cell r="U631">
            <v>0</v>
          </cell>
          <cell r="X631">
            <v>0</v>
          </cell>
          <cell r="Y631">
            <v>0</v>
          </cell>
          <cell r="AD631">
            <v>0</v>
          </cell>
          <cell r="AG631">
            <v>0</v>
          </cell>
          <cell r="AH631">
            <v>0</v>
          </cell>
          <cell r="AI631">
            <v>0</v>
          </cell>
          <cell r="AJ631">
            <v>0</v>
          </cell>
          <cell r="AK631">
            <v>0</v>
          </cell>
          <cell r="AL631">
            <v>0</v>
          </cell>
          <cell r="AM631">
            <v>0</v>
          </cell>
          <cell r="AN631">
            <v>0</v>
          </cell>
          <cell r="AO631">
            <v>0</v>
          </cell>
        </row>
        <row r="632">
          <cell r="U632">
            <v>17318</v>
          </cell>
          <cell r="X632">
            <v>17318</v>
          </cell>
          <cell r="Y632">
            <v>12141</v>
          </cell>
          <cell r="AD632">
            <v>29459</v>
          </cell>
          <cell r="AG632">
            <v>-6061.3</v>
          </cell>
          <cell r="AH632">
            <v>0</v>
          </cell>
          <cell r="AI632">
            <v>0</v>
          </cell>
          <cell r="AJ632">
            <v>-6061.3</v>
          </cell>
          <cell r="AK632">
            <v>-4249.3499999999995</v>
          </cell>
          <cell r="AL632">
            <v>0</v>
          </cell>
          <cell r="AM632">
            <v>0</v>
          </cell>
          <cell r="AN632">
            <v>0</v>
          </cell>
          <cell r="AO632">
            <v>-10310.65</v>
          </cell>
        </row>
        <row r="633">
          <cell r="U633">
            <v>0</v>
          </cell>
          <cell r="X633">
            <v>0</v>
          </cell>
          <cell r="Y633">
            <v>0</v>
          </cell>
          <cell r="AD633">
            <v>0</v>
          </cell>
          <cell r="AE633" t="e">
            <v>#REF!</v>
          </cell>
          <cell r="AF633" t="e">
            <v>#REF!</v>
          </cell>
          <cell r="AG633">
            <v>0</v>
          </cell>
          <cell r="AH633">
            <v>0</v>
          </cell>
          <cell r="AI633">
            <v>0</v>
          </cell>
          <cell r="AJ633">
            <v>0</v>
          </cell>
          <cell r="AK633">
            <v>0</v>
          </cell>
          <cell r="AL633">
            <v>0</v>
          </cell>
          <cell r="AM633">
            <v>0</v>
          </cell>
          <cell r="AN633">
            <v>0</v>
          </cell>
          <cell r="AO633">
            <v>0</v>
          </cell>
          <cell r="AQ633">
            <v>0</v>
          </cell>
          <cell r="AR633">
            <v>0</v>
          </cell>
        </row>
        <row r="634">
          <cell r="U634">
            <v>-300000</v>
          </cell>
          <cell r="X634">
            <v>-300000</v>
          </cell>
          <cell r="Y634">
            <v>0</v>
          </cell>
          <cell r="AD634">
            <v>-300000</v>
          </cell>
          <cell r="AE634" t="e">
            <v>#REF!</v>
          </cell>
          <cell r="AF634" t="e">
            <v>#REF!</v>
          </cell>
          <cell r="AG634">
            <v>105000</v>
          </cell>
          <cell r="AH634">
            <v>0</v>
          </cell>
          <cell r="AI634">
            <v>0</v>
          </cell>
          <cell r="AJ634">
            <v>105000</v>
          </cell>
          <cell r="AK634">
            <v>0</v>
          </cell>
          <cell r="AL634">
            <v>0</v>
          </cell>
          <cell r="AM634">
            <v>0</v>
          </cell>
          <cell r="AN634">
            <v>0</v>
          </cell>
          <cell r="AO634">
            <v>105000</v>
          </cell>
          <cell r="AQ634">
            <v>0</v>
          </cell>
          <cell r="AR634">
            <v>105000</v>
          </cell>
        </row>
        <row r="635">
          <cell r="U635">
            <v>0</v>
          </cell>
          <cell r="X635">
            <v>0</v>
          </cell>
          <cell r="Y635">
            <v>0</v>
          </cell>
          <cell r="AD635">
            <v>0</v>
          </cell>
          <cell r="AE635" t="e">
            <v>#REF!</v>
          </cell>
          <cell r="AF635" t="e">
            <v>#REF!</v>
          </cell>
          <cell r="AG635">
            <v>0</v>
          </cell>
          <cell r="AH635">
            <v>0</v>
          </cell>
          <cell r="AI635">
            <v>0</v>
          </cell>
          <cell r="AJ635">
            <v>0</v>
          </cell>
          <cell r="AK635">
            <v>0</v>
          </cell>
          <cell r="AL635">
            <v>0</v>
          </cell>
          <cell r="AM635">
            <v>0</v>
          </cell>
          <cell r="AN635">
            <v>0</v>
          </cell>
          <cell r="AO635">
            <v>0</v>
          </cell>
          <cell r="AQ635">
            <v>0</v>
          </cell>
          <cell r="AR635">
            <v>0</v>
          </cell>
        </row>
        <row r="636">
          <cell r="U636">
            <v>26702</v>
          </cell>
          <cell r="X636">
            <v>26702</v>
          </cell>
          <cell r="Y636">
            <v>0</v>
          </cell>
          <cell r="AD636">
            <v>26702</v>
          </cell>
          <cell r="AE636" t="e">
            <v>#REF!</v>
          </cell>
          <cell r="AF636" t="e">
            <v>#REF!</v>
          </cell>
          <cell r="AG636">
            <v>-9345.7000000000007</v>
          </cell>
          <cell r="AH636">
            <v>0</v>
          </cell>
          <cell r="AI636">
            <v>0</v>
          </cell>
          <cell r="AJ636">
            <v>-9345.7000000000007</v>
          </cell>
          <cell r="AK636">
            <v>0</v>
          </cell>
          <cell r="AL636">
            <v>0</v>
          </cell>
          <cell r="AM636">
            <v>0</v>
          </cell>
          <cell r="AN636">
            <v>0</v>
          </cell>
          <cell r="AO636">
            <v>-9345.7000000000007</v>
          </cell>
          <cell r="AQ636">
            <v>0</v>
          </cell>
          <cell r="AR636">
            <v>-9345.7000000000007</v>
          </cell>
        </row>
        <row r="637">
          <cell r="U637">
            <v>-7310</v>
          </cell>
          <cell r="X637">
            <v>-7310</v>
          </cell>
          <cell r="Y637">
            <v>0</v>
          </cell>
          <cell r="AD637">
            <v>-7310</v>
          </cell>
          <cell r="AE637" t="e">
            <v>#REF!</v>
          </cell>
          <cell r="AF637" t="e">
            <v>#REF!</v>
          </cell>
          <cell r="AG637">
            <v>2558.5</v>
          </cell>
          <cell r="AH637">
            <v>0</v>
          </cell>
          <cell r="AI637">
            <v>0</v>
          </cell>
          <cell r="AJ637">
            <v>2558.5</v>
          </cell>
          <cell r="AK637">
            <v>0</v>
          </cell>
          <cell r="AL637">
            <v>0</v>
          </cell>
          <cell r="AM637">
            <v>0</v>
          </cell>
          <cell r="AN637">
            <v>0</v>
          </cell>
          <cell r="AO637">
            <v>2558.5</v>
          </cell>
          <cell r="AQ637">
            <v>0</v>
          </cell>
          <cell r="AR637">
            <v>2558.5</v>
          </cell>
        </row>
        <row r="638">
          <cell r="U638">
            <v>-351531</v>
          </cell>
          <cell r="X638">
            <v>-351531</v>
          </cell>
          <cell r="Y638">
            <v>0</v>
          </cell>
          <cell r="AD638">
            <v>-351531</v>
          </cell>
          <cell r="AE638" t="e">
            <v>#REF!</v>
          </cell>
          <cell r="AF638" t="e">
            <v>#REF!</v>
          </cell>
          <cell r="AG638">
            <v>123035.85</v>
          </cell>
          <cell r="AH638">
            <v>0</v>
          </cell>
          <cell r="AI638">
            <v>0</v>
          </cell>
          <cell r="AJ638">
            <v>123035.85</v>
          </cell>
          <cell r="AK638">
            <v>0</v>
          </cell>
          <cell r="AL638">
            <v>0</v>
          </cell>
          <cell r="AM638">
            <v>0</v>
          </cell>
          <cell r="AN638">
            <v>0</v>
          </cell>
          <cell r="AO638">
            <v>123035.85</v>
          </cell>
          <cell r="AQ638">
            <v>0</v>
          </cell>
          <cell r="AR638">
            <v>123035.85</v>
          </cell>
        </row>
        <row r="639">
          <cell r="U639">
            <v>1367511</v>
          </cell>
          <cell r="X639">
            <v>1367511</v>
          </cell>
          <cell r="Y639">
            <v>0</v>
          </cell>
          <cell r="Z639">
            <v>0</v>
          </cell>
          <cell r="AA639">
            <v>0</v>
          </cell>
          <cell r="AD639">
            <v>1367511</v>
          </cell>
          <cell r="AG639">
            <v>-478628.85</v>
          </cell>
          <cell r="AH639">
            <v>0</v>
          </cell>
          <cell r="AI639">
            <v>0</v>
          </cell>
          <cell r="AJ639">
            <v>-478628.85</v>
          </cell>
          <cell r="AK639">
            <v>0</v>
          </cell>
          <cell r="AL639">
            <v>0</v>
          </cell>
          <cell r="AM639">
            <v>0</v>
          </cell>
          <cell r="AN639">
            <v>0</v>
          </cell>
          <cell r="AO639">
            <v>-478628.85</v>
          </cell>
        </row>
        <row r="640">
          <cell r="U640">
            <v>-12304</v>
          </cell>
          <cell r="X640">
            <v>-12304</v>
          </cell>
          <cell r="Y640">
            <v>0</v>
          </cell>
          <cell r="AD640">
            <v>-12304</v>
          </cell>
          <cell r="AG640">
            <v>4305.7</v>
          </cell>
          <cell r="AJ640">
            <v>4305.7</v>
          </cell>
          <cell r="AK640">
            <v>0</v>
          </cell>
          <cell r="AL640">
            <v>0</v>
          </cell>
          <cell r="AM640">
            <v>0</v>
          </cell>
          <cell r="AN640">
            <v>0</v>
          </cell>
          <cell r="AO640">
            <v>4305.7</v>
          </cell>
        </row>
        <row r="641">
          <cell r="U641">
            <v>0</v>
          </cell>
          <cell r="X641">
            <v>0</v>
          </cell>
          <cell r="Y641">
            <v>0</v>
          </cell>
          <cell r="AD641">
            <v>0</v>
          </cell>
          <cell r="AG641">
            <v>0</v>
          </cell>
          <cell r="AJ641">
            <v>0</v>
          </cell>
          <cell r="AK641">
            <v>0</v>
          </cell>
          <cell r="AL641">
            <v>0</v>
          </cell>
          <cell r="AM641">
            <v>0</v>
          </cell>
          <cell r="AN641">
            <v>0</v>
          </cell>
          <cell r="AO641">
            <v>0</v>
          </cell>
        </row>
        <row r="642">
          <cell r="U642">
            <v>0</v>
          </cell>
          <cell r="X642">
            <v>0</v>
          </cell>
          <cell r="Y642">
            <v>0</v>
          </cell>
          <cell r="AD642">
            <v>0</v>
          </cell>
          <cell r="AG642">
            <v>0</v>
          </cell>
          <cell r="AK642">
            <v>0</v>
          </cell>
          <cell r="AL642">
            <v>0</v>
          </cell>
          <cell r="AM642">
            <v>0</v>
          </cell>
          <cell r="AN642">
            <v>0</v>
          </cell>
          <cell r="AO642">
            <v>0</v>
          </cell>
        </row>
        <row r="644">
          <cell r="U644">
            <v>11702096</v>
          </cell>
          <cell r="V644">
            <v>0</v>
          </cell>
          <cell r="W644">
            <v>0</v>
          </cell>
          <cell r="X644">
            <v>11702096</v>
          </cell>
          <cell r="Y644">
            <v>-1791842</v>
          </cell>
          <cell r="Z644">
            <v>0</v>
          </cell>
          <cell r="AA644">
            <v>0</v>
          </cell>
          <cell r="AB644">
            <v>0</v>
          </cell>
          <cell r="AD644">
            <v>9910254</v>
          </cell>
          <cell r="AE644" t="e">
            <v>#REF!</v>
          </cell>
          <cell r="AF644" t="e">
            <v>#REF!</v>
          </cell>
          <cell r="AG644">
            <v>-4095734.3000000017</v>
          </cell>
          <cell r="AH644">
            <v>0</v>
          </cell>
          <cell r="AI644">
            <v>0</v>
          </cell>
          <cell r="AJ644">
            <v>-4095734.3000000017</v>
          </cell>
          <cell r="AK644">
            <v>627144.69999999995</v>
          </cell>
          <cell r="AL644">
            <v>0</v>
          </cell>
          <cell r="AM644">
            <v>0</v>
          </cell>
          <cell r="AN644">
            <v>0</v>
          </cell>
          <cell r="AO644">
            <v>-3468589.5999999987</v>
          </cell>
          <cell r="AQ644">
            <v>0</v>
          </cell>
          <cell r="AR644">
            <v>-6151874.0500000017</v>
          </cell>
        </row>
        <row r="645">
          <cell r="AG645">
            <v>4095733.5999999996</v>
          </cell>
        </row>
        <row r="646">
          <cell r="X646">
            <v>0</v>
          </cell>
          <cell r="AO646">
            <v>3468588.9</v>
          </cell>
        </row>
        <row r="647">
          <cell r="X647">
            <v>0</v>
          </cell>
          <cell r="Y647">
            <v>0</v>
          </cell>
          <cell r="AD647">
            <v>0</v>
          </cell>
          <cell r="AG647">
            <v>0</v>
          </cell>
          <cell r="AK647">
            <v>0</v>
          </cell>
          <cell r="AO647">
            <v>0</v>
          </cell>
        </row>
        <row r="650">
          <cell r="U650">
            <v>11702096</v>
          </cell>
          <cell r="Y650">
            <v>-1791842</v>
          </cell>
          <cell r="AD650">
            <v>9910254</v>
          </cell>
        </row>
        <row r="651">
          <cell r="U651">
            <v>11702096</v>
          </cell>
          <cell r="V651">
            <v>0</v>
          </cell>
          <cell r="W651">
            <v>0</v>
          </cell>
          <cell r="X651">
            <v>11702096</v>
          </cell>
          <cell r="Y651">
            <v>-1791842</v>
          </cell>
          <cell r="AA651">
            <v>0</v>
          </cell>
          <cell r="AB651">
            <v>0</v>
          </cell>
          <cell r="AC651">
            <v>0</v>
          </cell>
          <cell r="AD651">
            <v>9910254</v>
          </cell>
          <cell r="AE651" t="e">
            <v>#REF!</v>
          </cell>
          <cell r="AF651" t="e">
            <v>#REF!</v>
          </cell>
          <cell r="AG651">
            <v>-4095734.3000000017</v>
          </cell>
          <cell r="AH651">
            <v>0</v>
          </cell>
          <cell r="AI651">
            <v>0</v>
          </cell>
          <cell r="AJ651">
            <v>-4095734.3000000017</v>
          </cell>
          <cell r="AK651">
            <v>627144.69999999995</v>
          </cell>
          <cell r="AL651">
            <v>0</v>
          </cell>
          <cell r="AM651">
            <v>0</v>
          </cell>
          <cell r="AN651">
            <v>0</v>
          </cell>
          <cell r="AO651">
            <v>-0.69999999878928065</v>
          </cell>
          <cell r="AP651">
            <v>0</v>
          </cell>
          <cell r="AQ651">
            <v>0</v>
          </cell>
          <cell r="AR651">
            <v>-6151874.0500000017</v>
          </cell>
        </row>
        <row r="652">
          <cell r="Y652" t="str">
            <v>a = 2001 reclass</v>
          </cell>
        </row>
        <row r="668">
          <cell r="X668">
            <v>0</v>
          </cell>
          <cell r="AQ668">
            <v>0</v>
          </cell>
        </row>
        <row r="669">
          <cell r="X669">
            <v>0</v>
          </cell>
        </row>
        <row r="670">
          <cell r="X670">
            <v>0</v>
          </cell>
        </row>
        <row r="671">
          <cell r="U671">
            <v>0</v>
          </cell>
          <cell r="X671">
            <v>0</v>
          </cell>
          <cell r="Y671">
            <v>0</v>
          </cell>
          <cell r="AD671">
            <v>0</v>
          </cell>
          <cell r="AG671">
            <v>0</v>
          </cell>
          <cell r="AH671">
            <v>0</v>
          </cell>
          <cell r="AI671">
            <v>0</v>
          </cell>
          <cell r="AJ671">
            <v>0</v>
          </cell>
          <cell r="AK671">
            <v>0</v>
          </cell>
          <cell r="AL671">
            <v>0</v>
          </cell>
          <cell r="AM671">
            <v>0</v>
          </cell>
          <cell r="AN671">
            <v>0</v>
          </cell>
          <cell r="AO671">
            <v>0</v>
          </cell>
        </row>
        <row r="672">
          <cell r="U672">
            <v>500000</v>
          </cell>
          <cell r="X672">
            <v>500000</v>
          </cell>
          <cell r="Y672">
            <v>0</v>
          </cell>
          <cell r="AD672">
            <v>500000</v>
          </cell>
          <cell r="AG672">
            <v>-175000</v>
          </cell>
          <cell r="AH672">
            <v>0</v>
          </cell>
          <cell r="AI672">
            <v>0</v>
          </cell>
          <cell r="AJ672">
            <v>-175000</v>
          </cell>
          <cell r="AK672">
            <v>0</v>
          </cell>
          <cell r="AL672">
            <v>0</v>
          </cell>
          <cell r="AM672">
            <v>0</v>
          </cell>
          <cell r="AN672">
            <v>0</v>
          </cell>
          <cell r="AO672">
            <v>-175000</v>
          </cell>
          <cell r="AP672">
            <v>1</v>
          </cell>
        </row>
        <row r="673">
          <cell r="U673">
            <v>-10336304</v>
          </cell>
          <cell r="X673">
            <v>-10336304</v>
          </cell>
          <cell r="Y673">
            <v>0</v>
          </cell>
          <cell r="AD673">
            <v>-10336304</v>
          </cell>
          <cell r="AG673">
            <v>3617706.4</v>
          </cell>
          <cell r="AH673">
            <v>0</v>
          </cell>
          <cell r="AI673">
            <v>0</v>
          </cell>
          <cell r="AJ673">
            <v>3617706.4</v>
          </cell>
          <cell r="AK673">
            <v>0</v>
          </cell>
          <cell r="AL673">
            <v>0</v>
          </cell>
          <cell r="AM673">
            <v>0</v>
          </cell>
          <cell r="AN673">
            <v>0</v>
          </cell>
          <cell r="AO673">
            <v>3617706.4</v>
          </cell>
        </row>
        <row r="674">
          <cell r="U674">
            <v>0</v>
          </cell>
          <cell r="X674">
            <v>0</v>
          </cell>
          <cell r="Y674">
            <v>0</v>
          </cell>
          <cell r="AD674">
            <v>0</v>
          </cell>
          <cell r="AG674">
            <v>0</v>
          </cell>
          <cell r="AH674">
            <v>0</v>
          </cell>
          <cell r="AI674">
            <v>0</v>
          </cell>
          <cell r="AJ674">
            <v>0</v>
          </cell>
          <cell r="AK674">
            <v>0</v>
          </cell>
          <cell r="AL674">
            <v>0</v>
          </cell>
          <cell r="AM674">
            <v>0</v>
          </cell>
          <cell r="AN674">
            <v>0</v>
          </cell>
          <cell r="AO674">
            <v>0</v>
          </cell>
          <cell r="AP674">
            <v>1</v>
          </cell>
        </row>
        <row r="675">
          <cell r="U675">
            <v>772833</v>
          </cell>
          <cell r="X675">
            <v>772833</v>
          </cell>
          <cell r="Y675">
            <v>-39961</v>
          </cell>
          <cell r="AD675">
            <v>732872</v>
          </cell>
          <cell r="AG675">
            <v>-270491.55</v>
          </cell>
          <cell r="AH675">
            <v>0</v>
          </cell>
          <cell r="AI675">
            <v>0</v>
          </cell>
          <cell r="AJ675">
            <v>-270491.55</v>
          </cell>
          <cell r="AK675">
            <v>13986.349999999999</v>
          </cell>
          <cell r="AL675">
            <v>0</v>
          </cell>
          <cell r="AM675">
            <v>0</v>
          </cell>
          <cell r="AN675">
            <v>0</v>
          </cell>
          <cell r="AO675">
            <v>-256505.19999999998</v>
          </cell>
        </row>
        <row r="676">
          <cell r="U676">
            <v>260000</v>
          </cell>
          <cell r="X676">
            <v>260000</v>
          </cell>
          <cell r="Y676">
            <v>0</v>
          </cell>
          <cell r="AD676">
            <v>260000</v>
          </cell>
          <cell r="AG676">
            <v>-91000</v>
          </cell>
          <cell r="AH676">
            <v>0</v>
          </cell>
          <cell r="AI676">
            <v>0</v>
          </cell>
          <cell r="AJ676">
            <v>-91000</v>
          </cell>
          <cell r="AK676">
            <v>0</v>
          </cell>
          <cell r="AL676">
            <v>0</v>
          </cell>
          <cell r="AM676">
            <v>0</v>
          </cell>
          <cell r="AN676">
            <v>0</v>
          </cell>
          <cell r="AO676">
            <v>-91000</v>
          </cell>
          <cell r="AP676">
            <v>1</v>
          </cell>
        </row>
        <row r="677">
          <cell r="U677">
            <v>-4153838</v>
          </cell>
          <cell r="X677">
            <v>-4153838</v>
          </cell>
          <cell r="Y677">
            <v>0</v>
          </cell>
          <cell r="AD677">
            <v>-4153838</v>
          </cell>
          <cell r="AG677">
            <v>1453843.3</v>
          </cell>
          <cell r="AH677">
            <v>0</v>
          </cell>
          <cell r="AI677">
            <v>0</v>
          </cell>
          <cell r="AJ677">
            <v>1453843.3</v>
          </cell>
          <cell r="AK677">
            <v>0</v>
          </cell>
          <cell r="AL677">
            <v>0</v>
          </cell>
          <cell r="AM677">
            <v>0</v>
          </cell>
          <cell r="AN677">
            <v>0</v>
          </cell>
          <cell r="AO677">
            <v>1453843.3</v>
          </cell>
        </row>
        <row r="678">
          <cell r="U678">
            <v>2139472</v>
          </cell>
          <cell r="X678">
            <v>2139472</v>
          </cell>
          <cell r="Y678">
            <v>0</v>
          </cell>
          <cell r="AD678">
            <v>2139472</v>
          </cell>
          <cell r="AG678">
            <v>-748815.2</v>
          </cell>
          <cell r="AH678">
            <v>0</v>
          </cell>
          <cell r="AI678">
            <v>0</v>
          </cell>
          <cell r="AJ678">
            <v>-748815.2</v>
          </cell>
          <cell r="AK678">
            <v>0</v>
          </cell>
          <cell r="AL678">
            <v>0</v>
          </cell>
          <cell r="AM678">
            <v>0</v>
          </cell>
          <cell r="AN678">
            <v>0</v>
          </cell>
          <cell r="AO678">
            <v>-748815.2</v>
          </cell>
          <cell r="AP678">
            <v>1</v>
          </cell>
          <cell r="AQ678">
            <v>-748815.2</v>
          </cell>
        </row>
        <row r="679">
          <cell r="U679">
            <v>2664</v>
          </cell>
          <cell r="X679">
            <v>2664</v>
          </cell>
          <cell r="Y679">
            <v>0</v>
          </cell>
          <cell r="AD679">
            <v>2664</v>
          </cell>
          <cell r="AG679">
            <v>-932.4</v>
          </cell>
          <cell r="AH679">
            <v>0</v>
          </cell>
          <cell r="AI679">
            <v>0</v>
          </cell>
          <cell r="AJ679">
            <v>-932.4</v>
          </cell>
          <cell r="AK679">
            <v>0</v>
          </cell>
          <cell r="AL679">
            <v>0</v>
          </cell>
          <cell r="AM679">
            <v>0</v>
          </cell>
          <cell r="AN679">
            <v>0</v>
          </cell>
          <cell r="AO679">
            <v>-932.4</v>
          </cell>
          <cell r="AP679">
            <v>1</v>
          </cell>
        </row>
        <row r="680">
          <cell r="U680">
            <v>-12660374</v>
          </cell>
          <cell r="X680">
            <v>-12660374</v>
          </cell>
          <cell r="Y680">
            <v>0</v>
          </cell>
          <cell r="AD680">
            <v>-12660374</v>
          </cell>
          <cell r="AG680">
            <v>4431130.9000000004</v>
          </cell>
          <cell r="AH680">
            <v>0</v>
          </cell>
          <cell r="AI680">
            <v>0</v>
          </cell>
          <cell r="AJ680">
            <v>4431130.9000000004</v>
          </cell>
          <cell r="AK680">
            <v>0</v>
          </cell>
          <cell r="AL680">
            <v>0</v>
          </cell>
          <cell r="AM680">
            <v>0</v>
          </cell>
          <cell r="AN680">
            <v>0</v>
          </cell>
          <cell r="AO680">
            <v>4431130.9000000004</v>
          </cell>
        </row>
        <row r="681">
          <cell r="U681">
            <v>-1914584</v>
          </cell>
          <cell r="X681">
            <v>-1914584</v>
          </cell>
          <cell r="Y681">
            <v>0</v>
          </cell>
          <cell r="AD681">
            <v>-1914584</v>
          </cell>
          <cell r="AG681">
            <v>670104.4</v>
          </cell>
          <cell r="AH681">
            <v>0</v>
          </cell>
          <cell r="AI681">
            <v>0</v>
          </cell>
          <cell r="AJ681">
            <v>670104.4</v>
          </cell>
          <cell r="AK681">
            <v>0</v>
          </cell>
          <cell r="AL681">
            <v>0</v>
          </cell>
          <cell r="AM681">
            <v>0</v>
          </cell>
          <cell r="AN681">
            <v>0</v>
          </cell>
          <cell r="AO681">
            <v>670104.4</v>
          </cell>
        </row>
        <row r="682">
          <cell r="U682">
            <v>-947161</v>
          </cell>
          <cell r="X682">
            <v>-947161</v>
          </cell>
          <cell r="Y682">
            <v>0</v>
          </cell>
          <cell r="AD682">
            <v>-947161</v>
          </cell>
          <cell r="AG682">
            <v>331506.34999999998</v>
          </cell>
          <cell r="AH682">
            <v>0</v>
          </cell>
          <cell r="AI682">
            <v>0</v>
          </cell>
          <cell r="AJ682">
            <v>331506.34999999998</v>
          </cell>
          <cell r="AK682">
            <v>0</v>
          </cell>
          <cell r="AL682">
            <v>0</v>
          </cell>
          <cell r="AM682">
            <v>0</v>
          </cell>
          <cell r="AN682">
            <v>0</v>
          </cell>
          <cell r="AO682">
            <v>331506.34999999998</v>
          </cell>
        </row>
        <row r="683">
          <cell r="U683">
            <v>-1794737</v>
          </cell>
          <cell r="X683">
            <v>-1794737</v>
          </cell>
          <cell r="Y683">
            <v>0</v>
          </cell>
          <cell r="AD683">
            <v>-1794737</v>
          </cell>
          <cell r="AG683">
            <v>628157.94999999995</v>
          </cell>
          <cell r="AH683">
            <v>0</v>
          </cell>
          <cell r="AI683">
            <v>0</v>
          </cell>
          <cell r="AJ683">
            <v>628157.94999999995</v>
          </cell>
          <cell r="AK683">
            <v>0</v>
          </cell>
          <cell r="AL683">
            <v>0</v>
          </cell>
          <cell r="AM683">
            <v>0</v>
          </cell>
          <cell r="AN683">
            <v>0</v>
          </cell>
          <cell r="AO683">
            <v>628157.94999999995</v>
          </cell>
        </row>
        <row r="684">
          <cell r="U684">
            <v>0</v>
          </cell>
          <cell r="X684">
            <v>0</v>
          </cell>
          <cell r="Y684">
            <v>0</v>
          </cell>
          <cell r="AD684">
            <v>0</v>
          </cell>
          <cell r="AG684">
            <v>0</v>
          </cell>
          <cell r="AJ684">
            <v>0</v>
          </cell>
          <cell r="AK684">
            <v>0</v>
          </cell>
          <cell r="AL684">
            <v>0</v>
          </cell>
          <cell r="AM684">
            <v>0</v>
          </cell>
          <cell r="AN684">
            <v>0</v>
          </cell>
          <cell r="AO684">
            <v>0</v>
          </cell>
        </row>
        <row r="685">
          <cell r="AL685">
            <v>0</v>
          </cell>
          <cell r="AM685">
            <v>0</v>
          </cell>
        </row>
        <row r="686">
          <cell r="U686">
            <v>-28132029</v>
          </cell>
          <cell r="V686">
            <v>0</v>
          </cell>
          <cell r="W686">
            <v>0</v>
          </cell>
          <cell r="X686">
            <v>-28132029</v>
          </cell>
          <cell r="Y686">
            <v>-39961</v>
          </cell>
          <cell r="Z686">
            <v>0</v>
          </cell>
          <cell r="AA686">
            <v>0</v>
          </cell>
          <cell r="AB686">
            <v>0</v>
          </cell>
          <cell r="AD686">
            <v>-28171990</v>
          </cell>
          <cell r="AE686">
            <v>0</v>
          </cell>
          <cell r="AF686">
            <v>0</v>
          </cell>
          <cell r="AG686">
            <v>9846210.1500000004</v>
          </cell>
          <cell r="AH686">
            <v>0</v>
          </cell>
          <cell r="AI686">
            <v>0</v>
          </cell>
          <cell r="AJ686">
            <v>9846210.1500000004</v>
          </cell>
          <cell r="AK686">
            <v>13986.349999999999</v>
          </cell>
          <cell r="AL686">
            <v>0</v>
          </cell>
          <cell r="AM686">
            <v>0</v>
          </cell>
          <cell r="AN686">
            <v>0</v>
          </cell>
          <cell r="AO686">
            <v>9860196.5</v>
          </cell>
          <cell r="AQ686">
            <v>-748815.2</v>
          </cell>
        </row>
        <row r="687">
          <cell r="AG687">
            <v>-9846210.1499999985</v>
          </cell>
        </row>
        <row r="688">
          <cell r="AO688">
            <v>-9860196.5</v>
          </cell>
        </row>
        <row r="693">
          <cell r="U693">
            <v>-28132029</v>
          </cell>
          <cell r="V693">
            <v>0</v>
          </cell>
          <cell r="W693">
            <v>0</v>
          </cell>
          <cell r="X693">
            <v>-28132029</v>
          </cell>
          <cell r="Y693">
            <v>-39961</v>
          </cell>
          <cell r="Z693">
            <v>0</v>
          </cell>
          <cell r="AB693">
            <v>0</v>
          </cell>
          <cell r="AC693">
            <v>-1</v>
          </cell>
          <cell r="AD693">
            <v>-28171990</v>
          </cell>
          <cell r="AE693">
            <v>0</v>
          </cell>
          <cell r="AF693">
            <v>0</v>
          </cell>
          <cell r="AG693">
            <v>9846210.1500000004</v>
          </cell>
          <cell r="AH693">
            <v>0</v>
          </cell>
          <cell r="AI693">
            <v>0</v>
          </cell>
          <cell r="AJ693">
            <v>9846210.1500000004</v>
          </cell>
          <cell r="AK693">
            <v>13986.349999999999</v>
          </cell>
          <cell r="AL693">
            <v>0</v>
          </cell>
          <cell r="AM693">
            <v>0</v>
          </cell>
          <cell r="AN693">
            <v>0</v>
          </cell>
          <cell r="AO693">
            <v>0</v>
          </cell>
          <cell r="AP693">
            <v>0</v>
          </cell>
          <cell r="AQ693">
            <v>-748815.2</v>
          </cell>
          <cell r="AR693">
            <v>0</v>
          </cell>
        </row>
        <row r="711">
          <cell r="X711">
            <v>0</v>
          </cell>
        </row>
        <row r="712">
          <cell r="X712">
            <v>0</v>
          </cell>
        </row>
        <row r="713">
          <cell r="U713">
            <v>-29720</v>
          </cell>
          <cell r="X713">
            <v>-29720</v>
          </cell>
          <cell r="Y713">
            <v>0</v>
          </cell>
          <cell r="AD713">
            <v>-29720</v>
          </cell>
          <cell r="AG713">
            <v>10402</v>
          </cell>
          <cell r="AH713">
            <v>0</v>
          </cell>
          <cell r="AI713">
            <v>0</v>
          </cell>
          <cell r="AJ713">
            <v>10402</v>
          </cell>
          <cell r="AK713">
            <v>0</v>
          </cell>
          <cell r="AL713">
            <v>0</v>
          </cell>
          <cell r="AM713">
            <v>0</v>
          </cell>
          <cell r="AN713">
            <v>0</v>
          </cell>
          <cell r="AO713">
            <v>10402</v>
          </cell>
        </row>
        <row r="714">
          <cell r="U714">
            <v>6901719</v>
          </cell>
          <cell r="X714">
            <v>6901719</v>
          </cell>
          <cell r="Y714">
            <v>-4676216</v>
          </cell>
          <cell r="AD714">
            <v>2225503</v>
          </cell>
          <cell r="AG714">
            <v>-2353192.2400000002</v>
          </cell>
          <cell r="AH714">
            <v>0</v>
          </cell>
          <cell r="AI714">
            <v>0</v>
          </cell>
          <cell r="AJ714">
            <v>-2353192.2400000002</v>
          </cell>
          <cell r="AK714">
            <v>1636675.5999999999</v>
          </cell>
          <cell r="AL714">
            <v>0</v>
          </cell>
          <cell r="AM714">
            <v>0</v>
          </cell>
          <cell r="AN714">
            <v>0</v>
          </cell>
          <cell r="AO714">
            <v>-716516.64000000036</v>
          </cell>
          <cell r="AQ714">
            <v>0</v>
          </cell>
          <cell r="AR714">
            <v>-716516.64000000036</v>
          </cell>
        </row>
        <row r="715">
          <cell r="U715">
            <v>-4320283</v>
          </cell>
          <cell r="X715">
            <v>-4320283</v>
          </cell>
          <cell r="Y715">
            <v>4343090</v>
          </cell>
          <cell r="AD715">
            <v>22807</v>
          </cell>
          <cell r="AG715">
            <v>1512099.05</v>
          </cell>
          <cell r="AH715">
            <v>0</v>
          </cell>
          <cell r="AI715">
            <v>0</v>
          </cell>
          <cell r="AJ715">
            <v>1512099.05</v>
          </cell>
          <cell r="AK715">
            <v>-1520081.5</v>
          </cell>
          <cell r="AL715">
            <v>0</v>
          </cell>
          <cell r="AM715">
            <v>0</v>
          </cell>
          <cell r="AN715">
            <v>0</v>
          </cell>
          <cell r="AO715">
            <v>-7982.4499999999534</v>
          </cell>
          <cell r="AQ715">
            <v>0</v>
          </cell>
          <cell r="AR715">
            <v>-7982.4499999999534</v>
          </cell>
        </row>
        <row r="716">
          <cell r="U716">
            <v>22807</v>
          </cell>
          <cell r="X716">
            <v>22807</v>
          </cell>
          <cell r="Y716">
            <v>163950</v>
          </cell>
          <cell r="AD716">
            <v>186757</v>
          </cell>
          <cell r="AG716">
            <v>-7982.45</v>
          </cell>
          <cell r="AH716">
            <v>0</v>
          </cell>
          <cell r="AI716">
            <v>0</v>
          </cell>
          <cell r="AJ716">
            <v>-7982.45</v>
          </cell>
          <cell r="AK716">
            <v>-57382.499999999993</v>
          </cell>
          <cell r="AL716">
            <v>0</v>
          </cell>
          <cell r="AM716">
            <v>0</v>
          </cell>
          <cell r="AN716">
            <v>0</v>
          </cell>
          <cell r="AO716">
            <v>-65364.94999999999</v>
          </cell>
        </row>
        <row r="717">
          <cell r="U717">
            <v>-3285</v>
          </cell>
          <cell r="X717">
            <v>-3285</v>
          </cell>
          <cell r="Y717">
            <v>0</v>
          </cell>
          <cell r="AD717">
            <v>-3285</v>
          </cell>
          <cell r="AG717">
            <v>1120.23</v>
          </cell>
          <cell r="AH717">
            <v>0</v>
          </cell>
          <cell r="AI717">
            <v>0</v>
          </cell>
          <cell r="AJ717">
            <v>1120.23</v>
          </cell>
          <cell r="AK717">
            <v>0</v>
          </cell>
          <cell r="AL717">
            <v>0</v>
          </cell>
          <cell r="AM717">
            <v>0</v>
          </cell>
          <cell r="AN717">
            <v>0</v>
          </cell>
          <cell r="AO717">
            <v>1120.23</v>
          </cell>
        </row>
        <row r="718">
          <cell r="U718">
            <v>-1879496</v>
          </cell>
          <cell r="X718">
            <v>-1879496</v>
          </cell>
          <cell r="Y718">
            <v>0</v>
          </cell>
          <cell r="AD718">
            <v>-1879496</v>
          </cell>
          <cell r="AG718">
            <v>650179.43000000005</v>
          </cell>
          <cell r="AH718">
            <v>0</v>
          </cell>
          <cell r="AI718">
            <v>0</v>
          </cell>
          <cell r="AJ718">
            <v>650179.43000000005</v>
          </cell>
          <cell r="AK718">
            <v>0</v>
          </cell>
          <cell r="AL718">
            <v>0</v>
          </cell>
          <cell r="AM718">
            <v>0</v>
          </cell>
          <cell r="AN718">
            <v>0</v>
          </cell>
          <cell r="AO718">
            <v>650179.43000000005</v>
          </cell>
        </row>
        <row r="719">
          <cell r="U719">
            <v>-17369798</v>
          </cell>
          <cell r="X719">
            <v>-17369798</v>
          </cell>
          <cell r="Y719">
            <v>0</v>
          </cell>
          <cell r="AD719">
            <v>-17369798</v>
          </cell>
          <cell r="AG719">
            <v>5943812.5299999993</v>
          </cell>
          <cell r="AH719">
            <v>0</v>
          </cell>
          <cell r="AI719">
            <v>0</v>
          </cell>
          <cell r="AJ719">
            <v>5943812.5299999993</v>
          </cell>
          <cell r="AK719">
            <v>0</v>
          </cell>
          <cell r="AL719">
            <v>0</v>
          </cell>
          <cell r="AM719">
            <v>0</v>
          </cell>
          <cell r="AN719">
            <v>0</v>
          </cell>
          <cell r="AO719">
            <v>5943812.5299999993</v>
          </cell>
          <cell r="AQ719">
            <v>0</v>
          </cell>
          <cell r="AR719">
            <v>5943812.5299999993</v>
          </cell>
        </row>
        <row r="720">
          <cell r="U720">
            <v>667351</v>
          </cell>
          <cell r="X720">
            <v>667351</v>
          </cell>
          <cell r="Y720">
            <v>-677285</v>
          </cell>
          <cell r="AD720">
            <v>-9934</v>
          </cell>
          <cell r="AG720">
            <v>-205601.81</v>
          </cell>
          <cell r="AH720">
            <v>0</v>
          </cell>
          <cell r="AI720">
            <v>0</v>
          </cell>
          <cell r="AJ720">
            <v>-205601.81</v>
          </cell>
          <cell r="AK720">
            <v>237049.74999999997</v>
          </cell>
          <cell r="AL720">
            <v>0</v>
          </cell>
          <cell r="AM720">
            <v>0</v>
          </cell>
          <cell r="AN720">
            <v>0</v>
          </cell>
          <cell r="AO720">
            <v>31447.939999999973</v>
          </cell>
        </row>
        <row r="721">
          <cell r="U721">
            <v>-397830</v>
          </cell>
          <cell r="X721">
            <v>-397830</v>
          </cell>
          <cell r="Y721">
            <v>0</v>
          </cell>
          <cell r="AD721">
            <v>-397830</v>
          </cell>
          <cell r="AG721">
            <v>131446.49</v>
          </cell>
          <cell r="AH721">
            <v>0</v>
          </cell>
          <cell r="AI721">
            <v>0</v>
          </cell>
          <cell r="AJ721">
            <v>131446.49</v>
          </cell>
          <cell r="AK721">
            <v>0</v>
          </cell>
          <cell r="AL721">
            <v>0</v>
          </cell>
          <cell r="AM721">
            <v>0</v>
          </cell>
          <cell r="AN721">
            <v>0</v>
          </cell>
          <cell r="AO721">
            <v>131446.49</v>
          </cell>
        </row>
        <row r="722">
          <cell r="U722">
            <v>-7496692</v>
          </cell>
          <cell r="X722">
            <v>-7496692</v>
          </cell>
          <cell r="Y722">
            <v>0</v>
          </cell>
          <cell r="AD722">
            <v>-7496692</v>
          </cell>
          <cell r="AG722">
            <v>2585854.02</v>
          </cell>
          <cell r="AH722">
            <v>0</v>
          </cell>
          <cell r="AI722">
            <v>0</v>
          </cell>
          <cell r="AJ722">
            <v>2585854.02</v>
          </cell>
          <cell r="AK722">
            <v>0</v>
          </cell>
          <cell r="AL722">
            <v>0</v>
          </cell>
          <cell r="AM722">
            <v>0</v>
          </cell>
          <cell r="AN722">
            <v>0</v>
          </cell>
          <cell r="AO722">
            <v>2585854.02</v>
          </cell>
        </row>
        <row r="723">
          <cell r="U723">
            <v>-72300</v>
          </cell>
          <cell r="X723">
            <v>-72300</v>
          </cell>
          <cell r="Y723">
            <v>-103741</v>
          </cell>
          <cell r="AD723">
            <v>-176041</v>
          </cell>
          <cell r="AG723">
            <v>24205</v>
          </cell>
          <cell r="AH723">
            <v>0</v>
          </cell>
          <cell r="AI723">
            <v>0</v>
          </cell>
          <cell r="AJ723">
            <v>24205</v>
          </cell>
          <cell r="AK723">
            <v>36309.35</v>
          </cell>
          <cell r="AL723">
            <v>0</v>
          </cell>
          <cell r="AM723">
            <v>0</v>
          </cell>
          <cell r="AN723">
            <v>0</v>
          </cell>
          <cell r="AO723">
            <v>60514.35</v>
          </cell>
        </row>
        <row r="724">
          <cell r="U724">
            <v>-1166292</v>
          </cell>
          <cell r="X724">
            <v>-1166292</v>
          </cell>
          <cell r="Y724">
            <v>-73996</v>
          </cell>
          <cell r="AD724">
            <v>-1240288</v>
          </cell>
          <cell r="AG724">
            <v>393868.17</v>
          </cell>
          <cell r="AH724">
            <v>0</v>
          </cell>
          <cell r="AI724">
            <v>0</v>
          </cell>
          <cell r="AJ724">
            <v>393868.17</v>
          </cell>
          <cell r="AK724">
            <v>25898.6</v>
          </cell>
          <cell r="AL724">
            <v>0</v>
          </cell>
          <cell r="AM724">
            <v>0</v>
          </cell>
          <cell r="AN724">
            <v>0</v>
          </cell>
          <cell r="AO724">
            <v>419766.76999999996</v>
          </cell>
        </row>
        <row r="725">
          <cell r="U725">
            <v>0</v>
          </cell>
          <cell r="X725">
            <v>0</v>
          </cell>
          <cell r="Y725">
            <v>0</v>
          </cell>
          <cell r="AD725">
            <v>0</v>
          </cell>
          <cell r="AG725">
            <v>0</v>
          </cell>
          <cell r="AH725">
            <v>0</v>
          </cell>
          <cell r="AI725">
            <v>0</v>
          </cell>
          <cell r="AJ725">
            <v>0</v>
          </cell>
          <cell r="AK725">
            <v>0</v>
          </cell>
          <cell r="AL725">
            <v>0</v>
          </cell>
          <cell r="AM725">
            <v>0</v>
          </cell>
          <cell r="AN725">
            <v>0</v>
          </cell>
          <cell r="AO725">
            <v>0</v>
          </cell>
        </row>
        <row r="726">
          <cell r="U726">
            <v>-256808</v>
          </cell>
          <cell r="X726">
            <v>-256808</v>
          </cell>
          <cell r="Y726">
            <v>0</v>
          </cell>
          <cell r="AD726">
            <v>-256808</v>
          </cell>
          <cell r="AG726">
            <v>57401.440000000061</v>
          </cell>
          <cell r="AH726">
            <v>0</v>
          </cell>
          <cell r="AI726">
            <v>0</v>
          </cell>
          <cell r="AJ726">
            <v>57401.440000000061</v>
          </cell>
          <cell r="AK726">
            <v>0</v>
          </cell>
          <cell r="AL726">
            <v>0</v>
          </cell>
          <cell r="AM726">
            <v>0</v>
          </cell>
          <cell r="AN726">
            <v>0</v>
          </cell>
          <cell r="AO726">
            <v>57401.440000000061</v>
          </cell>
        </row>
        <row r="727">
          <cell r="U727">
            <v>-19107</v>
          </cell>
          <cell r="X727">
            <v>-19107</v>
          </cell>
          <cell r="Y727">
            <v>0</v>
          </cell>
          <cell r="AD727">
            <v>-19107</v>
          </cell>
          <cell r="AG727">
            <v>6496.38</v>
          </cell>
          <cell r="AH727">
            <v>0</v>
          </cell>
          <cell r="AI727">
            <v>0</v>
          </cell>
          <cell r="AJ727">
            <v>6496.38</v>
          </cell>
          <cell r="AK727">
            <v>0</v>
          </cell>
          <cell r="AL727">
            <v>0</v>
          </cell>
          <cell r="AM727">
            <v>0</v>
          </cell>
          <cell r="AN727">
            <v>0</v>
          </cell>
          <cell r="AO727">
            <v>6496.38</v>
          </cell>
        </row>
        <row r="728">
          <cell r="U728">
            <v>-98679</v>
          </cell>
          <cell r="X728">
            <v>-98679</v>
          </cell>
          <cell r="Y728">
            <v>0</v>
          </cell>
          <cell r="AD728">
            <v>-98679</v>
          </cell>
          <cell r="AG728">
            <v>33837.65</v>
          </cell>
          <cell r="AH728">
            <v>0</v>
          </cell>
          <cell r="AI728">
            <v>0</v>
          </cell>
          <cell r="AJ728">
            <v>33837.65</v>
          </cell>
          <cell r="AK728">
            <v>0</v>
          </cell>
          <cell r="AL728">
            <v>0</v>
          </cell>
          <cell r="AM728">
            <v>0</v>
          </cell>
          <cell r="AN728">
            <v>0</v>
          </cell>
          <cell r="AO728">
            <v>33837.65</v>
          </cell>
        </row>
        <row r="729">
          <cell r="U729">
            <v>-140304</v>
          </cell>
          <cell r="X729">
            <v>-140304</v>
          </cell>
          <cell r="Y729">
            <v>-22543</v>
          </cell>
          <cell r="AD729">
            <v>-162847</v>
          </cell>
          <cell r="AG729">
            <v>47521.98</v>
          </cell>
          <cell r="AH729">
            <v>0</v>
          </cell>
          <cell r="AI729">
            <v>0</v>
          </cell>
          <cell r="AJ729">
            <v>47521.98</v>
          </cell>
          <cell r="AK729">
            <v>7890.0499999999993</v>
          </cell>
          <cell r="AL729">
            <v>0</v>
          </cell>
          <cell r="AM729">
            <v>0</v>
          </cell>
          <cell r="AN729">
            <v>0</v>
          </cell>
          <cell r="AO729">
            <v>55412.03</v>
          </cell>
        </row>
        <row r="730">
          <cell r="U730">
            <v>115098</v>
          </cell>
          <cell r="X730">
            <v>115098</v>
          </cell>
          <cell r="Y730">
            <v>0</v>
          </cell>
          <cell r="AD730">
            <v>115098</v>
          </cell>
          <cell r="AG730">
            <v>-40284.300000000003</v>
          </cell>
          <cell r="AH730">
            <v>0</v>
          </cell>
          <cell r="AI730">
            <v>0</v>
          </cell>
          <cell r="AJ730">
            <v>-40284.300000000003</v>
          </cell>
          <cell r="AK730">
            <v>0</v>
          </cell>
          <cell r="AL730">
            <v>0</v>
          </cell>
          <cell r="AM730">
            <v>0</v>
          </cell>
          <cell r="AN730">
            <v>0</v>
          </cell>
          <cell r="AO730">
            <v>-40284.300000000003</v>
          </cell>
        </row>
        <row r="731">
          <cell r="U731">
            <v>240722</v>
          </cell>
          <cell r="X731">
            <v>240722</v>
          </cell>
          <cell r="Y731">
            <v>-208960</v>
          </cell>
          <cell r="AD731">
            <v>31762</v>
          </cell>
          <cell r="AG731">
            <v>-84252.7</v>
          </cell>
          <cell r="AH731">
            <v>0</v>
          </cell>
          <cell r="AI731">
            <v>0</v>
          </cell>
          <cell r="AJ731">
            <v>-84252.7</v>
          </cell>
          <cell r="AK731">
            <v>73136</v>
          </cell>
          <cell r="AL731">
            <v>0</v>
          </cell>
          <cell r="AM731">
            <v>0</v>
          </cell>
          <cell r="AN731">
            <v>0</v>
          </cell>
          <cell r="AO731">
            <v>-11116.699999999997</v>
          </cell>
        </row>
        <row r="732">
          <cell r="U732">
            <v>13333</v>
          </cell>
          <cell r="X732">
            <v>13333</v>
          </cell>
          <cell r="Y732">
            <v>0</v>
          </cell>
          <cell r="AD732">
            <v>13333</v>
          </cell>
          <cell r="AG732">
            <v>-4666.55</v>
          </cell>
          <cell r="AH732">
            <v>0</v>
          </cell>
          <cell r="AI732">
            <v>0</v>
          </cell>
          <cell r="AJ732">
            <v>-4666.55</v>
          </cell>
          <cell r="AK732">
            <v>0</v>
          </cell>
          <cell r="AL732">
            <v>0</v>
          </cell>
          <cell r="AM732">
            <v>0</v>
          </cell>
          <cell r="AN732">
            <v>0</v>
          </cell>
          <cell r="AO732">
            <v>-4666.55</v>
          </cell>
        </row>
        <row r="733">
          <cell r="U733">
            <v>-4228999</v>
          </cell>
          <cell r="X733">
            <v>-4228999</v>
          </cell>
          <cell r="Y733">
            <v>-80333</v>
          </cell>
          <cell r="AD733">
            <v>-4309332</v>
          </cell>
          <cell r="AG733">
            <v>1436449.99</v>
          </cell>
          <cell r="AH733">
            <v>0</v>
          </cell>
          <cell r="AI733">
            <v>0</v>
          </cell>
          <cell r="AJ733">
            <v>1436449.99</v>
          </cell>
          <cell r="AK733">
            <v>28116.55</v>
          </cell>
          <cell r="AL733">
            <v>0</v>
          </cell>
          <cell r="AM733">
            <v>0</v>
          </cell>
          <cell r="AN733">
            <v>0</v>
          </cell>
          <cell r="AO733">
            <v>1464566.54</v>
          </cell>
        </row>
        <row r="734">
          <cell r="U734">
            <v>-1022123</v>
          </cell>
          <cell r="X734">
            <v>-1022123</v>
          </cell>
          <cell r="Y734">
            <v>0</v>
          </cell>
          <cell r="AD734">
            <v>-1022123</v>
          </cell>
          <cell r="AG734">
            <v>343970.53</v>
          </cell>
          <cell r="AH734">
            <v>0</v>
          </cell>
          <cell r="AI734">
            <v>0</v>
          </cell>
          <cell r="AJ734">
            <v>343970.53</v>
          </cell>
          <cell r="AK734">
            <v>0</v>
          </cell>
          <cell r="AL734">
            <v>0</v>
          </cell>
          <cell r="AM734">
            <v>0</v>
          </cell>
          <cell r="AN734">
            <v>0</v>
          </cell>
          <cell r="AO734">
            <v>343970.53</v>
          </cell>
        </row>
        <row r="735">
          <cell r="U735">
            <v>352231</v>
          </cell>
          <cell r="X735">
            <v>352231</v>
          </cell>
          <cell r="Y735">
            <v>-96241</v>
          </cell>
          <cell r="AD735">
            <v>255990</v>
          </cell>
          <cell r="AG735">
            <v>-123280.85</v>
          </cell>
          <cell r="AH735">
            <v>0</v>
          </cell>
          <cell r="AI735">
            <v>0</v>
          </cell>
          <cell r="AJ735">
            <v>-123280.85</v>
          </cell>
          <cell r="AK735">
            <v>33684.35</v>
          </cell>
          <cell r="AL735">
            <v>0</v>
          </cell>
          <cell r="AM735">
            <v>0</v>
          </cell>
          <cell r="AN735">
            <v>0</v>
          </cell>
          <cell r="AO735">
            <v>-89596.5</v>
          </cell>
        </row>
        <row r="736">
          <cell r="U736">
            <v>-47092</v>
          </cell>
          <cell r="X736">
            <v>-47092</v>
          </cell>
          <cell r="Y736">
            <v>0</v>
          </cell>
          <cell r="AD736">
            <v>-47092</v>
          </cell>
          <cell r="AG736">
            <v>16482.2</v>
          </cell>
          <cell r="AH736">
            <v>0</v>
          </cell>
          <cell r="AI736">
            <v>0</v>
          </cell>
          <cell r="AJ736">
            <v>16482.2</v>
          </cell>
          <cell r="AK736">
            <v>0</v>
          </cell>
          <cell r="AL736">
            <v>0</v>
          </cell>
          <cell r="AM736">
            <v>0</v>
          </cell>
          <cell r="AN736">
            <v>0</v>
          </cell>
          <cell r="AO736">
            <v>16482.2</v>
          </cell>
        </row>
        <row r="737">
          <cell r="U737">
            <v>-4465113</v>
          </cell>
          <cell r="X737">
            <v>-4465113</v>
          </cell>
          <cell r="Y737">
            <v>0</v>
          </cell>
          <cell r="AD737">
            <v>-4465113</v>
          </cell>
          <cell r="AG737">
            <v>1562789.55</v>
          </cell>
          <cell r="AH737">
            <v>0</v>
          </cell>
          <cell r="AI737">
            <v>0</v>
          </cell>
          <cell r="AJ737">
            <v>1562789.55</v>
          </cell>
          <cell r="AK737">
            <v>0</v>
          </cell>
          <cell r="AL737">
            <v>0</v>
          </cell>
          <cell r="AM737">
            <v>0</v>
          </cell>
          <cell r="AN737">
            <v>0</v>
          </cell>
          <cell r="AO737">
            <v>1562789.55</v>
          </cell>
        </row>
        <row r="738">
          <cell r="U738">
            <v>1293497</v>
          </cell>
          <cell r="X738">
            <v>1293497</v>
          </cell>
          <cell r="Y738">
            <v>0</v>
          </cell>
          <cell r="AD738">
            <v>1293497</v>
          </cell>
          <cell r="AG738">
            <v>-452723.95</v>
          </cell>
          <cell r="AH738">
            <v>0</v>
          </cell>
          <cell r="AI738">
            <v>0</v>
          </cell>
          <cell r="AJ738">
            <v>-452723.95</v>
          </cell>
          <cell r="AK738">
            <v>0</v>
          </cell>
          <cell r="AL738">
            <v>0</v>
          </cell>
          <cell r="AM738">
            <v>0</v>
          </cell>
          <cell r="AN738">
            <v>0</v>
          </cell>
          <cell r="AO738">
            <v>-452723.95</v>
          </cell>
        </row>
        <row r="739">
          <cell r="U739">
            <v>0</v>
          </cell>
          <cell r="X739">
            <v>0</v>
          </cell>
          <cell r="Y739">
            <v>1025668</v>
          </cell>
          <cell r="AD739">
            <v>1025668</v>
          </cell>
          <cell r="AG739">
            <v>0</v>
          </cell>
          <cell r="AH739">
            <v>0</v>
          </cell>
          <cell r="AI739">
            <v>0</v>
          </cell>
          <cell r="AJ739">
            <v>0</v>
          </cell>
          <cell r="AK739">
            <v>-358983.8</v>
          </cell>
          <cell r="AL739">
            <v>0</v>
          </cell>
          <cell r="AM739">
            <v>0</v>
          </cell>
          <cell r="AN739">
            <v>0</v>
          </cell>
          <cell r="AO739">
            <v>-358983.8</v>
          </cell>
        </row>
        <row r="740">
          <cell r="U740">
            <v>0</v>
          </cell>
          <cell r="X740">
            <v>0</v>
          </cell>
          <cell r="Y740">
            <v>637582</v>
          </cell>
          <cell r="AD740">
            <v>637582</v>
          </cell>
          <cell r="AG740">
            <v>0</v>
          </cell>
          <cell r="AH740">
            <v>0</v>
          </cell>
          <cell r="AI740">
            <v>0</v>
          </cell>
          <cell r="AJ740">
            <v>0</v>
          </cell>
          <cell r="AK740">
            <v>-223153.69999999998</v>
          </cell>
          <cell r="AL740">
            <v>0</v>
          </cell>
          <cell r="AM740">
            <v>0</v>
          </cell>
          <cell r="AN740">
            <v>0</v>
          </cell>
          <cell r="AO740">
            <v>-223153.69999999998</v>
          </cell>
        </row>
        <row r="741">
          <cell r="U741">
            <v>0</v>
          </cell>
          <cell r="X741">
            <v>0</v>
          </cell>
          <cell r="Y741">
            <v>-13170</v>
          </cell>
          <cell r="AD741">
            <v>-13170</v>
          </cell>
          <cell r="AG741">
            <v>0</v>
          </cell>
          <cell r="AH741">
            <v>0</v>
          </cell>
          <cell r="AI741">
            <v>0</v>
          </cell>
          <cell r="AJ741">
            <v>0</v>
          </cell>
          <cell r="AK741">
            <v>4609.5</v>
          </cell>
          <cell r="AL741">
            <v>0</v>
          </cell>
          <cell r="AM741">
            <v>0</v>
          </cell>
          <cell r="AN741">
            <v>0</v>
          </cell>
          <cell r="AO741">
            <v>4609.5</v>
          </cell>
        </row>
        <row r="742">
          <cell r="U742">
            <v>-8100732</v>
          </cell>
          <cell r="X742">
            <v>-8100732</v>
          </cell>
          <cell r="Y742">
            <v>0</v>
          </cell>
          <cell r="AD742">
            <v>-8100732</v>
          </cell>
          <cell r="AG742">
            <v>2835256.2</v>
          </cell>
          <cell r="AH742">
            <v>0</v>
          </cell>
          <cell r="AI742">
            <v>0</v>
          </cell>
          <cell r="AJ742">
            <v>2835256.2</v>
          </cell>
          <cell r="AK742">
            <v>0</v>
          </cell>
          <cell r="AL742">
            <v>0</v>
          </cell>
          <cell r="AM742">
            <v>0</v>
          </cell>
          <cell r="AN742">
            <v>0</v>
          </cell>
          <cell r="AO742">
            <v>2835256.2</v>
          </cell>
        </row>
        <row r="743">
          <cell r="U743">
            <v>0</v>
          </cell>
          <cell r="X743">
            <v>0</v>
          </cell>
          <cell r="Y743">
            <v>0</v>
          </cell>
          <cell r="AD743">
            <v>0</v>
          </cell>
          <cell r="AG743">
            <v>0</v>
          </cell>
          <cell r="AH743">
            <v>0</v>
          </cell>
          <cell r="AI743">
            <v>0</v>
          </cell>
          <cell r="AJ743">
            <v>0</v>
          </cell>
          <cell r="AK743">
            <v>0</v>
          </cell>
          <cell r="AL743">
            <v>0</v>
          </cell>
          <cell r="AM743">
            <v>0</v>
          </cell>
          <cell r="AN743">
            <v>0</v>
          </cell>
          <cell r="AO743">
            <v>0</v>
          </cell>
        </row>
        <row r="746">
          <cell r="U746">
            <v>-41507895</v>
          </cell>
          <cell r="V746">
            <v>0</v>
          </cell>
          <cell r="W746">
            <v>0</v>
          </cell>
          <cell r="X746">
            <v>-41507895</v>
          </cell>
          <cell r="Y746">
            <v>217805</v>
          </cell>
          <cell r="Z746">
            <v>0</v>
          </cell>
          <cell r="AA746">
            <v>0</v>
          </cell>
          <cell r="AB746">
            <v>0</v>
          </cell>
          <cell r="AD746">
            <v>-41290090</v>
          </cell>
          <cell r="AE746">
            <v>0</v>
          </cell>
          <cell r="AF746">
            <v>0</v>
          </cell>
          <cell r="AG746">
            <v>14321207.990000002</v>
          </cell>
          <cell r="AH746">
            <v>0</v>
          </cell>
          <cell r="AI746">
            <v>0</v>
          </cell>
          <cell r="AJ746">
            <v>14321207.990000002</v>
          </cell>
          <cell r="AK746">
            <v>-76231.750000000204</v>
          </cell>
          <cell r="AL746">
            <v>0</v>
          </cell>
          <cell r="AM746">
            <v>0</v>
          </cell>
          <cell r="AN746">
            <v>0</v>
          </cell>
          <cell r="AO746">
            <v>14244976.239999998</v>
          </cell>
          <cell r="AQ746">
            <v>0</v>
          </cell>
        </row>
        <row r="747">
          <cell r="U747" t="str">
            <v>ending 8/31/04</v>
          </cell>
        </row>
        <row r="748">
          <cell r="AO748">
            <v>-14451531.5</v>
          </cell>
        </row>
        <row r="753">
          <cell r="U753">
            <v>-41507895</v>
          </cell>
          <cell r="V753">
            <v>0</v>
          </cell>
          <cell r="W753">
            <v>0</v>
          </cell>
          <cell r="X753">
            <v>-41507895</v>
          </cell>
          <cell r="Y753">
            <v>217805</v>
          </cell>
          <cell r="Z753">
            <v>0</v>
          </cell>
          <cell r="AA753">
            <v>0</v>
          </cell>
          <cell r="AB753">
            <v>0</v>
          </cell>
          <cell r="AC753">
            <v>-1</v>
          </cell>
          <cell r="AD753">
            <v>-41290090</v>
          </cell>
          <cell r="AE753">
            <v>0</v>
          </cell>
          <cell r="AF753">
            <v>0</v>
          </cell>
          <cell r="AG753">
            <v>14321207.990000002</v>
          </cell>
          <cell r="AH753">
            <v>0</v>
          </cell>
          <cell r="AI753">
            <v>0</v>
          </cell>
          <cell r="AJ753">
            <v>14321207.990000002</v>
          </cell>
          <cell r="AK753">
            <v>-76231.750000000204</v>
          </cell>
          <cell r="AL753">
            <v>0</v>
          </cell>
          <cell r="AM753">
            <v>0</v>
          </cell>
          <cell r="AN753">
            <v>0</v>
          </cell>
          <cell r="AO753">
            <v>-206555.26000000164</v>
          </cell>
          <cell r="AP753">
            <v>0</v>
          </cell>
          <cell r="AQ753">
            <v>0</v>
          </cell>
          <cell r="AR753">
            <v>0</v>
          </cell>
        </row>
        <row r="763">
          <cell r="U763">
            <v>-29823606.32</v>
          </cell>
          <cell r="V763">
            <v>0</v>
          </cell>
          <cell r="W763">
            <v>4966170</v>
          </cell>
          <cell r="X763">
            <v>-24857436.320000015</v>
          </cell>
          <cell r="Y763">
            <v>-38990819.349999994</v>
          </cell>
          <cell r="Z763">
            <v>0</v>
          </cell>
          <cell r="AA763">
            <v>0</v>
          </cell>
          <cell r="AB763">
            <v>0</v>
          </cell>
          <cell r="AD763">
            <v>-63848255.670000002</v>
          </cell>
          <cell r="AE763" t="e">
            <v>#REF!</v>
          </cell>
          <cell r="AF763" t="e">
            <v>#REF!</v>
          </cell>
          <cell r="AG763">
            <v>10231706.251999982</v>
          </cell>
          <cell r="AH763">
            <v>0</v>
          </cell>
          <cell r="AI763">
            <v>-1738159.5</v>
          </cell>
          <cell r="AJ763">
            <v>8493546.7519999817</v>
          </cell>
          <cell r="AK763">
            <v>13646786.772499999</v>
          </cell>
          <cell r="AL763">
            <v>0</v>
          </cell>
          <cell r="AM763">
            <v>0</v>
          </cell>
          <cell r="AN763">
            <v>0</v>
          </cell>
          <cell r="AO763">
            <v>23878493.024499983</v>
          </cell>
          <cell r="AQ763">
            <v>-12127876.599999998</v>
          </cell>
          <cell r="AR763">
            <v>-2029399.0255000084</v>
          </cell>
        </row>
        <row r="764">
          <cell r="AG764">
            <v>-10438262.211999999</v>
          </cell>
          <cell r="AH764">
            <v>0</v>
          </cell>
          <cell r="AI764">
            <v>1738159.5</v>
          </cell>
          <cell r="AJ764">
            <v>-8700102.7120000049</v>
          </cell>
          <cell r="AK764">
            <v>-13646786.772499997</v>
          </cell>
          <cell r="AL764">
            <v>0</v>
          </cell>
          <cell r="AM764">
            <v>0</v>
          </cell>
          <cell r="AN764">
            <v>0</v>
          </cell>
          <cell r="AO764">
            <v>-22346889.484499998</v>
          </cell>
        </row>
      </sheetData>
      <sheetData sheetId="1"/>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alculations - Low Case"/>
      <sheetName val="Calculations - High Case"/>
      <sheetName val="Calculations -Base Case"/>
      <sheetName val="Waterfall"/>
      <sheetName val="xy plot"/>
      <sheetName val="OutputData"/>
      <sheetName val="FB NPV"/>
      <sheetName val="FB PVCost"/>
      <sheetName val="FB Prod"/>
      <sheetName val="Macros"/>
      <sheetName val="Assumptions"/>
      <sheetName val="BGS Deferral"/>
      <sheetName val="Variable"/>
      <sheetName val="Bid_Information"/>
      <sheetName val="PRISM Impacts Inputs"/>
      <sheetName val="Summary"/>
      <sheetName val="MPP Contracts"/>
    </sheetNames>
    <sheetDataSet>
      <sheetData sheetId="0" refreshError="1">
        <row r="23">
          <cell r="M23">
            <v>0</v>
          </cell>
        </row>
        <row r="24">
          <cell r="M24">
            <v>0.3</v>
          </cell>
        </row>
        <row r="25">
          <cell r="M25">
            <v>0.4</v>
          </cell>
        </row>
        <row r="26">
          <cell r="M26">
            <v>0.2</v>
          </cell>
        </row>
      </sheetData>
      <sheetData sheetId="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_Lookup"/>
      <sheetName val="New Accts 2009"/>
      <sheetName val="Sheet2"/>
      <sheetName val="Sheet3"/>
    </sheetNames>
    <sheetDataSet>
      <sheetData sheetId="0" refreshError="1"/>
      <sheetData sheetId="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ummary"/>
      <sheetName val="Sheet1"/>
      <sheetName val="Q2 Data"/>
      <sheetName val="190100"/>
      <sheetName val="190110"/>
      <sheetName val="190200"/>
      <sheetName val="190210"/>
      <sheetName val="190500"/>
      <sheetName val="190510"/>
      <sheetName val="282100"/>
      <sheetName val="282200"/>
      <sheetName val="283100"/>
      <sheetName val="283110"/>
      <sheetName val="283200"/>
      <sheetName val="283210"/>
      <sheetName val="Defd Expense RFWD"/>
      <sheetName val="797037"/>
      <sheetName val="797047"/>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Revenue"/>
      <sheetName val="Starpower"/>
      <sheetName val="Summary Dec06"/>
    </sheetNames>
    <sheetDataSet>
      <sheetData sheetId="0"/>
      <sheetData sheetId="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ttings"/>
      <sheetName val="Index"/>
      <sheetName val="Glossary"/>
      <sheetName val="Latest Changes"/>
      <sheetName val="Validations"/>
      <sheetName val="IS01"/>
      <sheetName val="IS02"/>
      <sheetName val="IS03"/>
      <sheetName val="IS04"/>
      <sheetName val="IS04A"/>
      <sheetName val="IS05"/>
      <sheetName val="IS06"/>
      <sheetName val="IS06A"/>
      <sheetName val="IS07"/>
      <sheetName val="IS07A"/>
      <sheetName val="IS08"/>
      <sheetName val="IS09"/>
      <sheetName val="IS10"/>
      <sheetName val="IS11"/>
      <sheetName val="IS12"/>
      <sheetName val="IS13"/>
      <sheetName val="IS14"/>
      <sheetName val="IS15"/>
      <sheetName val="IS16"/>
      <sheetName val="IS17"/>
      <sheetName val="BS01"/>
      <sheetName val="BS04"/>
      <sheetName val="BS05"/>
      <sheetName val="BS06"/>
      <sheetName val="BS07"/>
      <sheetName val="BS08"/>
      <sheetName val="BS09"/>
      <sheetName val="BS10"/>
      <sheetName val="BS11"/>
      <sheetName val="BS12"/>
      <sheetName val="BS13"/>
      <sheetName val="BS14"/>
      <sheetName val="BS15"/>
      <sheetName val="BS16"/>
      <sheetName val="BS17"/>
      <sheetName val="BS18"/>
      <sheetName val="BS19"/>
      <sheetName val="BS20"/>
      <sheetName val="BS21"/>
      <sheetName val="BS22"/>
      <sheetName val="BS23"/>
      <sheetName val="BS24"/>
      <sheetName val="BS25"/>
      <sheetName val="BS26"/>
      <sheetName val="BS27"/>
      <sheetName val="BS29"/>
      <sheetName val="BS30"/>
      <sheetName val="CF01"/>
      <sheetName val="CF02"/>
      <sheetName val="CF03"/>
      <sheetName val="CF04"/>
      <sheetName val="CF02 LOGIC"/>
      <sheetName val="TX01"/>
      <sheetName val="Appendix 1"/>
      <sheetName val="Appendix 2"/>
      <sheetName val="Appendix 3"/>
      <sheetName val="Appendix 4"/>
      <sheetName val="Appendix 5"/>
      <sheetName val="DataSheet"/>
    </sheetNames>
    <sheetDataSet>
      <sheetData sheetId="0" refreshError="1"/>
      <sheetData sheetId="1" refreshError="1">
        <row r="17">
          <cell r="F17" t="str">
            <v>xx000</v>
          </cell>
        </row>
        <row r="23">
          <cell r="F23" t="str">
            <v>May 2002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Tax Exp"/>
      <sheetName val="PHI Consol - Curr"/>
      <sheetName val="PHI Current"/>
      <sheetName val="Phisco Current"/>
      <sheetName val="Pepco Current"/>
      <sheetName val="PCI Current"/>
      <sheetName val="CIV Current"/>
      <sheetName val="Consolco I Current"/>
      <sheetName val="CE Current"/>
      <sheetName val="ACE Current"/>
      <sheetName val="DPL Current"/>
      <sheetName val="PES Current"/>
      <sheetName val="Consolco II"/>
      <sheetName val="PHI cosol - Def"/>
      <sheetName val="PHI Def"/>
      <sheetName val="Phisco Def"/>
      <sheetName val="Pepco Def"/>
      <sheetName val="PCI Def"/>
      <sheetName val="CIV Def"/>
      <sheetName val="Consolco I Def"/>
      <sheetName val="CE Def"/>
      <sheetName val="ACE Def"/>
      <sheetName val="DPL Def"/>
      <sheetName val="PES Def"/>
      <sheetName val="CONSOLCO II Def"/>
      <sheetName val="List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1">
          <cell r="E31">
            <v>21827621.52</v>
          </cell>
        </row>
      </sheetData>
      <sheetData sheetId="17"/>
      <sheetData sheetId="18"/>
      <sheetData sheetId="19"/>
      <sheetData sheetId="20"/>
      <sheetData sheetId="21"/>
      <sheetData sheetId="22"/>
      <sheetData sheetId="23"/>
      <sheetData sheetId="24"/>
      <sheetData sheetId="25" refreshError="1">
        <row r="2">
          <cell r="A2">
            <v>190</v>
          </cell>
        </row>
        <row r="3">
          <cell r="A3">
            <v>282</v>
          </cell>
        </row>
        <row r="4">
          <cell r="A4">
            <v>283</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t 254900"/>
      <sheetName val="Power Tax Tie-Out"/>
      <sheetName val="ACCT 182500"/>
      <sheetName val="ACCT 182300"/>
      <sheetName val="ACCT 283150"/>
      <sheetName val="ACCT 283200"/>
      <sheetName val="ACCT 283100"/>
      <sheetName val="ACCT 282200"/>
      <sheetName val="ACCT 282100"/>
      <sheetName val="Acct 190510"/>
      <sheetName val="ACCT 190500"/>
      <sheetName val="ACCT 190200"/>
      <sheetName val="ACCT 190100"/>
      <sheetName val="Analysis of Tax Accts"/>
      <sheetName val="Proof of Reg Liab"/>
      <sheetName val="Proof of Reg Liab 2007"/>
      <sheetName val="Proof of Reg Asset"/>
      <sheetName val="Proof of Reg Asset 2007"/>
      <sheetName val="Rollforward"/>
      <sheetName val="Comput of MD rate change impact"/>
      <sheetName val="Reg Asset-Liab Movement"/>
      <sheetName val="trial balance (4)"/>
      <sheetName val="MD Def Tax ADj - updated"/>
      <sheetName val="All FIN 48"/>
      <sheetName val="Tax Rates"/>
      <sheetName val="PEPCO Def Tax Adj's"/>
      <sheetName val="PEPCO"/>
      <sheetName val="Tax Basis in Power Tax"/>
      <sheetName val="Excess Deferred Income Taxes"/>
      <sheetName val="Removal Flow-Thru"/>
      <sheetName val="Adjustment to Book"/>
      <sheetName val="Tax Basis in Power Tax 2007"/>
      <sheetName val="Comparative IS &amp; BS"/>
      <sheetName val="Depreciation - 2007"/>
      <sheetName val="Depreciation"/>
      <sheetName val="Prepaid Pension- 2007"/>
      <sheetName val="Other Liabilities- 2007"/>
      <sheetName val="Defd Comp- 2007"/>
      <sheetName val="MD Def Tax ADj using FAS 109"/>
      <sheetName val="2006 true-up"/>
      <sheetName val="divestiture adjust"/>
      <sheetName val="Section IV, Tab b,c,d,e,update"/>
      <sheetName val="Control Center Tax Basis"/>
      <sheetName val="Depreciation 2007"/>
      <sheetName val="2006 FAS 109"/>
      <sheetName val="Removal Costs Proof"/>
      <sheetName val="Proof of CTD"/>
      <sheetName val="Section IV, Tab b,c,d,e,pepco d"/>
      <sheetName val="Summary"/>
      <sheetName val="Deferred tax balances 12-06"/>
      <sheetName val="trial balance (3)"/>
      <sheetName val="MD Def Tax Adjust"/>
      <sheetName val="trial balance (1)"/>
      <sheetName val="Reg Asset"/>
      <sheetName val="Sheet1"/>
      <sheetName val="trial balance (2)"/>
      <sheetName val="Summary Balance"/>
      <sheetName val="OPEB"/>
      <sheetName val="Tax Basis BS"/>
      <sheetName val="Removal Cost pre 92"/>
      <sheetName val="2006 Depreciation"/>
      <sheetName val="Temporary Differences"/>
      <sheetName val="Deloitte Bal Sheet - Temp M-1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9">
          <cell r="A9" t="str">
            <v>Assets</v>
          </cell>
          <cell r="H9" t="str">
            <v>Amounts in</v>
          </cell>
        </row>
        <row r="10">
          <cell r="A10" t="str">
            <v>======</v>
          </cell>
          <cell r="D10" t="str">
            <v>Reporting period</v>
          </cell>
          <cell r="F10" t="str">
            <v>Comparison period</v>
          </cell>
          <cell r="H10" t="str">
            <v xml:space="preserve">       Absolute</v>
          </cell>
        </row>
        <row r="11">
          <cell r="A11" t="str">
            <v>Current Assets</v>
          </cell>
          <cell r="D11" t="str">
            <v>(01.2007-12.2007)</v>
          </cell>
          <cell r="F11" t="str">
            <v>(01.2006-12.2006)</v>
          </cell>
          <cell r="H11" t="str">
            <v xml:space="preserve">     difference</v>
          </cell>
        </row>
        <row r="13">
          <cell r="A13">
            <v>131000</v>
          </cell>
          <cell r="C13" t="str">
            <v>Cash - General</v>
          </cell>
          <cell r="D13">
            <v>11045042.33</v>
          </cell>
          <cell r="F13">
            <v>5709496.9900000002</v>
          </cell>
          <cell r="H13">
            <v>5335545.34</v>
          </cell>
        </row>
        <row r="14">
          <cell r="A14">
            <v>131001</v>
          </cell>
          <cell r="C14" t="str">
            <v>Cash - Clearing</v>
          </cell>
          <cell r="D14">
            <v>-12527.71</v>
          </cell>
          <cell r="F14">
            <v>-74256.03</v>
          </cell>
          <cell r="H14">
            <v>61728.32</v>
          </cell>
        </row>
        <row r="15">
          <cell r="A15">
            <v>131050</v>
          </cell>
          <cell r="C15" t="str">
            <v>Cash-In Transit - CIS</v>
          </cell>
          <cell r="D15">
            <v>3138262.64</v>
          </cell>
          <cell r="F15">
            <v>3573438.98</v>
          </cell>
          <cell r="H15">
            <v>-435176.33999999985</v>
          </cell>
        </row>
        <row r="16">
          <cell r="A16">
            <v>135000</v>
          </cell>
          <cell r="C16" t="str">
            <v>Working Funds - General  (DO NOT USE)</v>
          </cell>
          <cell r="D16">
            <v>0</v>
          </cell>
          <cell r="F16">
            <v>97600</v>
          </cell>
          <cell r="H16">
            <v>-97600</v>
          </cell>
        </row>
        <row r="17">
          <cell r="A17">
            <v>135160</v>
          </cell>
          <cell r="C17" t="str">
            <v>Working Funds - Ben Provi (DO NOT USE)</v>
          </cell>
          <cell r="D17">
            <v>0</v>
          </cell>
          <cell r="F17">
            <v>404000</v>
          </cell>
          <cell r="H17">
            <v>-404000</v>
          </cell>
        </row>
        <row r="18">
          <cell r="A18">
            <v>135200</v>
          </cell>
          <cell r="C18" t="str">
            <v>Employee Advances</v>
          </cell>
          <cell r="D18">
            <v>6200</v>
          </cell>
          <cell r="F18">
            <v>0</v>
          </cell>
          <cell r="H18">
            <v>6200</v>
          </cell>
        </row>
        <row r="19">
          <cell r="A19">
            <v>136000</v>
          </cell>
          <cell r="C19" t="str">
            <v>Temporary Cash Investment - General</v>
          </cell>
          <cell r="D19">
            <v>4842305.8099999996</v>
          </cell>
          <cell r="F19">
            <v>2300987.04</v>
          </cell>
          <cell r="H19">
            <v>2541318.7699999996</v>
          </cell>
        </row>
        <row r="20">
          <cell r="A20" t="str">
            <v>Cash &amp; Cash Equivalents</v>
          </cell>
          <cell r="D20">
            <v>19019283.07</v>
          </cell>
          <cell r="F20">
            <v>12011266.98</v>
          </cell>
          <cell r="H20">
            <v>7008016.0899999999</v>
          </cell>
        </row>
        <row r="21">
          <cell r="H21">
            <v>0</v>
          </cell>
        </row>
        <row r="22">
          <cell r="A22">
            <v>134005</v>
          </cell>
          <cell r="C22" t="str">
            <v>Other Special Deposits - Restricted Fun</v>
          </cell>
          <cell r="D22">
            <v>1200000</v>
          </cell>
          <cell r="F22">
            <v>0</v>
          </cell>
          <cell r="H22">
            <v>1200000</v>
          </cell>
        </row>
        <row r="23">
          <cell r="A23" t="str">
            <v>Restricted Cash</v>
          </cell>
          <cell r="D23">
            <v>1200000</v>
          </cell>
          <cell r="F23">
            <v>0</v>
          </cell>
          <cell r="H23">
            <v>1200000</v>
          </cell>
        </row>
        <row r="24">
          <cell r="H24">
            <v>0</v>
          </cell>
        </row>
        <row r="25">
          <cell r="A25">
            <v>142000</v>
          </cell>
          <cell r="C25" t="str">
            <v>Customer Accounts Rec - General</v>
          </cell>
          <cell r="D25">
            <v>12306870.9</v>
          </cell>
          <cell r="F25">
            <v>11990905.91</v>
          </cell>
          <cell r="H25">
            <v>315964.99000000022</v>
          </cell>
        </row>
        <row r="26">
          <cell r="A26">
            <v>142070</v>
          </cell>
          <cell r="C26" t="str">
            <v>Customer Accounts Rec - Washington DC</v>
          </cell>
          <cell r="D26">
            <v>63119434.25</v>
          </cell>
          <cell r="F26">
            <v>55015825.68</v>
          </cell>
          <cell r="H26">
            <v>8103608.5700000003</v>
          </cell>
        </row>
        <row r="27">
          <cell r="A27">
            <v>142120</v>
          </cell>
          <cell r="C27" t="str">
            <v>Customer Accounts Rec - MD</v>
          </cell>
          <cell r="D27">
            <v>102426140.20999999</v>
          </cell>
          <cell r="F27">
            <v>83940847.650000006</v>
          </cell>
          <cell r="H27">
            <v>18485292.559999987</v>
          </cell>
        </row>
        <row r="28">
          <cell r="A28">
            <v>142130</v>
          </cell>
          <cell r="C28" t="str">
            <v>Customer Accounts Rec - VA</v>
          </cell>
          <cell r="D28">
            <v>212450.29</v>
          </cell>
          <cell r="F28">
            <v>60748.84</v>
          </cell>
          <cell r="H28">
            <v>151701.45000000001</v>
          </cell>
        </row>
        <row r="29">
          <cell r="A29">
            <v>142210</v>
          </cell>
          <cell r="C29" t="str">
            <v>AR-Supply Portion (all customers)</v>
          </cell>
          <cell r="D29">
            <v>79211441.290000007</v>
          </cell>
          <cell r="F29">
            <v>48801310.920000002</v>
          </cell>
          <cell r="H29">
            <v>30410130.370000005</v>
          </cell>
        </row>
        <row r="30">
          <cell r="A30">
            <v>142350</v>
          </cell>
          <cell r="C30" t="str">
            <v>Customer Accounts Rec-Cash Clearing-Was</v>
          </cell>
          <cell r="D30">
            <v>-2467294.62</v>
          </cell>
          <cell r="F30">
            <v>-2671785.7999999998</v>
          </cell>
          <cell r="H30">
            <v>204491.1799999997</v>
          </cell>
        </row>
        <row r="31">
          <cell r="A31">
            <v>142430</v>
          </cell>
          <cell r="C31" t="str">
            <v>Customer Accounts Rec - Miscellaneous S</v>
          </cell>
          <cell r="D31">
            <v>15853.93</v>
          </cell>
          <cell r="F31">
            <v>0</v>
          </cell>
          <cell r="H31">
            <v>15853.93</v>
          </cell>
        </row>
        <row r="32">
          <cell r="A32">
            <v>142450</v>
          </cell>
          <cell r="C32" t="str">
            <v>Customer Accounts Rec-Merchandise</v>
          </cell>
          <cell r="D32">
            <v>224115.64</v>
          </cell>
          <cell r="F32">
            <v>3214879.02</v>
          </cell>
          <cell r="H32">
            <v>-2990763.38</v>
          </cell>
        </row>
        <row r="33">
          <cell r="A33">
            <v>143000</v>
          </cell>
          <cell r="C33" t="str">
            <v>Accounts Receivable - General</v>
          </cell>
          <cell r="D33">
            <v>488659.5</v>
          </cell>
          <cell r="F33">
            <v>671383.58</v>
          </cell>
          <cell r="H33">
            <v>-182724.07999999996</v>
          </cell>
        </row>
        <row r="34">
          <cell r="A34">
            <v>143100</v>
          </cell>
          <cell r="C34" t="str">
            <v>A/R - Employee Purchases</v>
          </cell>
          <cell r="D34">
            <v>116730</v>
          </cell>
          <cell r="F34">
            <v>86510.55</v>
          </cell>
          <cell r="H34">
            <v>30219.449999999997</v>
          </cell>
        </row>
        <row r="35">
          <cell r="A35">
            <v>143118</v>
          </cell>
          <cell r="C35" t="str">
            <v>A/R - Tuition Aid Reimbursement - Forme</v>
          </cell>
          <cell r="D35">
            <v>40431.5</v>
          </cell>
          <cell r="F35">
            <v>79245.070000000007</v>
          </cell>
          <cell r="H35">
            <v>-38813.570000000007</v>
          </cell>
        </row>
        <row r="36">
          <cell r="A36">
            <v>143150</v>
          </cell>
          <cell r="C36" t="str">
            <v>Accounts Receivable - Asset Sales</v>
          </cell>
          <cell r="D36">
            <v>-58400</v>
          </cell>
          <cell r="F36">
            <v>-223421.8</v>
          </cell>
          <cell r="H36">
            <v>165021.79999999999</v>
          </cell>
        </row>
        <row r="37">
          <cell r="A37">
            <v>143200</v>
          </cell>
          <cell r="C37" t="str">
            <v>A/R-PJM Interchange</v>
          </cell>
          <cell r="D37">
            <v>7345126.4100000001</v>
          </cell>
          <cell r="F37">
            <v>5214418.1500000004</v>
          </cell>
          <cell r="H37">
            <v>2130708.2599999998</v>
          </cell>
        </row>
        <row r="38">
          <cell r="A38">
            <v>143695</v>
          </cell>
          <cell r="C38" t="str">
            <v>AR-Miscellaneous SB Accounts Receivable</v>
          </cell>
          <cell r="D38">
            <v>300000</v>
          </cell>
          <cell r="F38">
            <v>0</v>
          </cell>
          <cell r="H38">
            <v>300000</v>
          </cell>
        </row>
        <row r="39">
          <cell r="A39">
            <v>143700</v>
          </cell>
          <cell r="C39" t="str">
            <v>Accounts Receivable - Interchange Power</v>
          </cell>
          <cell r="D39">
            <v>0</v>
          </cell>
          <cell r="F39">
            <v>35354518.689999998</v>
          </cell>
          <cell r="H39">
            <v>-35354518.689999998</v>
          </cell>
        </row>
        <row r="40">
          <cell r="A40">
            <v>143703</v>
          </cell>
          <cell r="C40" t="str">
            <v>Accounts Receivable - SOS Suppliers</v>
          </cell>
          <cell r="D40">
            <v>0</v>
          </cell>
          <cell r="F40">
            <v>102.22</v>
          </cell>
          <cell r="H40">
            <v>-102.22</v>
          </cell>
        </row>
        <row r="41">
          <cell r="A41">
            <v>143740</v>
          </cell>
          <cell r="C41" t="str">
            <v>Accounts Receivable - Compression Adjus</v>
          </cell>
          <cell r="D41">
            <v>1122058.82</v>
          </cell>
          <cell r="F41">
            <v>0</v>
          </cell>
          <cell r="H41">
            <v>1122058.82</v>
          </cell>
        </row>
        <row r="42">
          <cell r="A42">
            <v>143900</v>
          </cell>
          <cell r="C42" t="str">
            <v>Accounts Receivable Special Billing Unb</v>
          </cell>
          <cell r="D42">
            <v>3098058.4</v>
          </cell>
          <cell r="F42">
            <v>3123150.71</v>
          </cell>
          <cell r="H42">
            <v>-25092.310000000056</v>
          </cell>
        </row>
        <row r="43">
          <cell r="A43">
            <v>143901</v>
          </cell>
          <cell r="C43" t="str">
            <v>Accounts Receivable Special Billing</v>
          </cell>
          <cell r="D43">
            <v>5632352.5999999996</v>
          </cell>
          <cell r="F43">
            <v>8084245.0999999996</v>
          </cell>
          <cell r="H43">
            <v>-2451892.5</v>
          </cell>
        </row>
        <row r="44">
          <cell r="A44">
            <v>171000</v>
          </cell>
          <cell r="C44" t="str">
            <v>Int &amp; Div Receivable - General</v>
          </cell>
          <cell r="D44">
            <v>658444.74</v>
          </cell>
          <cell r="F44">
            <v>0</v>
          </cell>
          <cell r="H44">
            <v>658444.74</v>
          </cell>
        </row>
        <row r="45">
          <cell r="A45">
            <v>171900</v>
          </cell>
          <cell r="C45" t="str">
            <v>I/C Interest Receivable</v>
          </cell>
          <cell r="D45">
            <v>0</v>
          </cell>
          <cell r="F45">
            <v>26220.58</v>
          </cell>
          <cell r="H45">
            <v>-26220.58</v>
          </cell>
        </row>
        <row r="46">
          <cell r="A46">
            <v>172000</v>
          </cell>
          <cell r="C46" t="str">
            <v>Rents Receivable - General</v>
          </cell>
          <cell r="D46">
            <v>8377.43</v>
          </cell>
          <cell r="F46">
            <v>2816.02</v>
          </cell>
          <cell r="H46">
            <v>5561.41</v>
          </cell>
        </row>
        <row r="47">
          <cell r="A47">
            <v>172901</v>
          </cell>
          <cell r="C47" t="str">
            <v>Rents Receivable - CATV(Reconciliation)</v>
          </cell>
          <cell r="D47">
            <v>283554.36</v>
          </cell>
          <cell r="F47">
            <v>867052.5</v>
          </cell>
          <cell r="H47">
            <v>-583498.14</v>
          </cell>
        </row>
        <row r="48">
          <cell r="A48">
            <v>172902</v>
          </cell>
          <cell r="C48" t="str">
            <v>Rents Receivable-Special Billing (Recon</v>
          </cell>
          <cell r="D48">
            <v>10118.25</v>
          </cell>
          <cell r="F48">
            <v>41195.79</v>
          </cell>
          <cell r="H48">
            <v>-31077.54</v>
          </cell>
        </row>
        <row r="49">
          <cell r="A49">
            <v>173100</v>
          </cell>
          <cell r="C49" t="str">
            <v>Accrued Utility Revenue - Unbilled Reve</v>
          </cell>
          <cell r="D49">
            <v>81900188.129999995</v>
          </cell>
          <cell r="F49">
            <v>82047538</v>
          </cell>
          <cell r="H49">
            <v>-147349.87000000477</v>
          </cell>
        </row>
        <row r="50">
          <cell r="A50" t="str">
            <v>Accounts Receivable</v>
          </cell>
          <cell r="D50">
            <v>355994712.02999997</v>
          </cell>
          <cell r="F50">
            <v>335727707.38</v>
          </cell>
          <cell r="H50">
            <v>20267004.649999976</v>
          </cell>
        </row>
        <row r="51">
          <cell r="H51">
            <v>0</v>
          </cell>
        </row>
        <row r="52">
          <cell r="A52">
            <v>144000</v>
          </cell>
          <cell r="C52" t="str">
            <v>PROVISION FOR UNCOLLECTIBLE ACCOUNTS</v>
          </cell>
          <cell r="D52">
            <v>-12454382.810000001</v>
          </cell>
          <cell r="F52">
            <v>-7811119.7599999998</v>
          </cell>
          <cell r="H52">
            <v>-4643263.0500000007</v>
          </cell>
        </row>
        <row r="53">
          <cell r="A53">
            <v>144005</v>
          </cell>
          <cell r="C53" t="str">
            <v>Provision for Uncollectible Accounts -</v>
          </cell>
          <cell r="D53">
            <v>0</v>
          </cell>
          <cell r="F53">
            <v>-9600000</v>
          </cell>
          <cell r="H53">
            <v>9600000</v>
          </cell>
        </row>
        <row r="54">
          <cell r="A54" t="str">
            <v>Provision for Uncollectible</v>
          </cell>
          <cell r="D54">
            <v>-12454382.810000001</v>
          </cell>
          <cell r="F54">
            <v>-17411119.760000002</v>
          </cell>
          <cell r="H54">
            <v>4956736.9500000011</v>
          </cell>
        </row>
        <row r="55">
          <cell r="H55">
            <v>0</v>
          </cell>
        </row>
        <row r="56">
          <cell r="A56">
            <v>146003</v>
          </cell>
          <cell r="C56" t="str">
            <v>I/C - Pepco/PES - Retail Access</v>
          </cell>
          <cell r="D56">
            <v>-47406133.210000001</v>
          </cell>
          <cell r="F56">
            <v>-29759563.559999999</v>
          </cell>
          <cell r="H56">
            <v>-17646569.650000002</v>
          </cell>
        </row>
        <row r="57">
          <cell r="A57">
            <v>146004</v>
          </cell>
          <cell r="C57" t="str">
            <v>I/C - Pepco/PES - Special Billing Contr</v>
          </cell>
          <cell r="D57">
            <v>-5703746.71</v>
          </cell>
          <cell r="F57">
            <v>-5610882.5499999998</v>
          </cell>
          <cell r="H57">
            <v>-92864.160000000149</v>
          </cell>
        </row>
        <row r="58">
          <cell r="A58">
            <v>146506</v>
          </cell>
          <cell r="C58" t="str">
            <v>I/C-PEPCO / ACE   7000/1500</v>
          </cell>
          <cell r="D58">
            <v>-26828.63</v>
          </cell>
          <cell r="F58">
            <v>8226.2199999999993</v>
          </cell>
          <cell r="H58">
            <v>-35054.85</v>
          </cell>
        </row>
        <row r="59">
          <cell r="A59">
            <v>146974</v>
          </cell>
          <cell r="C59" t="str">
            <v>I/C-PEPCO / PEPCO Energy Services  7000</v>
          </cell>
          <cell r="D59">
            <v>64789.64</v>
          </cell>
          <cell r="F59">
            <v>12008.28</v>
          </cell>
          <cell r="H59">
            <v>52781.36</v>
          </cell>
        </row>
        <row r="60">
          <cell r="A60">
            <v>146975</v>
          </cell>
          <cell r="C60" t="str">
            <v>I/C-PEPCO / PEPCO Holdings, Inc.  7000/</v>
          </cell>
          <cell r="D60">
            <v>-30946.02</v>
          </cell>
          <cell r="F60">
            <v>-4958849.6900000004</v>
          </cell>
          <cell r="H60">
            <v>4927903.6700000009</v>
          </cell>
        </row>
        <row r="61">
          <cell r="A61">
            <v>146976</v>
          </cell>
          <cell r="C61" t="str">
            <v>I/C-PEPCO / PHISC  7000/9000</v>
          </cell>
          <cell r="D61">
            <v>-16922526.329999998</v>
          </cell>
          <cell r="F61">
            <v>-946266.44</v>
          </cell>
          <cell r="H61">
            <v>-15976259.889999999</v>
          </cell>
        </row>
        <row r="62">
          <cell r="A62">
            <v>146991</v>
          </cell>
          <cell r="C62" t="str">
            <v>I/C-PEPCO / CESI  7000/3000</v>
          </cell>
          <cell r="D62">
            <v>-5765201.6500000004</v>
          </cell>
          <cell r="F62">
            <v>-4785938.8600000003</v>
          </cell>
          <cell r="H62">
            <v>-979262.79</v>
          </cell>
        </row>
        <row r="63">
          <cell r="A63">
            <v>146996</v>
          </cell>
          <cell r="C63" t="str">
            <v>I/C-PEPCO / DPL  7000/1000</v>
          </cell>
          <cell r="D63">
            <v>-1930.82</v>
          </cell>
          <cell r="F63">
            <v>14290.32</v>
          </cell>
          <cell r="H63">
            <v>-16221.14</v>
          </cell>
        </row>
        <row r="64">
          <cell r="A64" t="str">
            <v>Accounts Receivable from Associated Companies</v>
          </cell>
          <cell r="D64">
            <v>-75792523.730000004</v>
          </cell>
          <cell r="F64">
            <v>-46026976.280000001</v>
          </cell>
          <cell r="H64">
            <v>-29765547.450000003</v>
          </cell>
        </row>
        <row r="65">
          <cell r="H65">
            <v>0</v>
          </cell>
        </row>
        <row r="66">
          <cell r="A66">
            <v>154000</v>
          </cell>
          <cell r="C66" t="str">
            <v>Material &amp; Operating Supplies - General</v>
          </cell>
          <cell r="D66">
            <v>41652362.780000001</v>
          </cell>
          <cell r="F66">
            <v>39168388</v>
          </cell>
          <cell r="H66">
            <v>2483974.7800000012</v>
          </cell>
        </row>
        <row r="67">
          <cell r="A67">
            <v>154080</v>
          </cell>
          <cell r="C67" t="str">
            <v>Inventory - Blocked Stock</v>
          </cell>
          <cell r="D67">
            <v>-10635.91</v>
          </cell>
          <cell r="F67">
            <v>-24557.54</v>
          </cell>
          <cell r="H67">
            <v>13921.630000000001</v>
          </cell>
        </row>
        <row r="68">
          <cell r="A68">
            <v>158135</v>
          </cell>
          <cell r="C68" t="str">
            <v>Renewable Energy Credits - General</v>
          </cell>
          <cell r="D68">
            <v>16027</v>
          </cell>
          <cell r="F68">
            <v>0</v>
          </cell>
          <cell r="H68">
            <v>16027</v>
          </cell>
        </row>
        <row r="69">
          <cell r="A69">
            <v>163000</v>
          </cell>
          <cell r="C69" t="str">
            <v>Stores Exp Undistributed - General</v>
          </cell>
          <cell r="D69">
            <v>3736216.94</v>
          </cell>
          <cell r="F69">
            <v>3630909.57</v>
          </cell>
          <cell r="H69">
            <v>105307.37000000011</v>
          </cell>
        </row>
        <row r="70">
          <cell r="A70" t="str">
            <v>Inventories - Fuel, Materials and Supplies</v>
          </cell>
          <cell r="D70">
            <v>45393970.810000002</v>
          </cell>
          <cell r="F70">
            <v>42774740.030000001</v>
          </cell>
          <cell r="H70">
            <v>2619230.7800000012</v>
          </cell>
        </row>
        <row r="71">
          <cell r="H71">
            <v>0</v>
          </cell>
        </row>
        <row r="72">
          <cell r="A72">
            <v>190725</v>
          </cell>
          <cell r="C72" t="str">
            <v>Fed Income Tax Receivable-Capital Loss</v>
          </cell>
          <cell r="D72">
            <v>4007</v>
          </cell>
          <cell r="F72">
            <v>0</v>
          </cell>
          <cell r="H72">
            <v>4007</v>
          </cell>
        </row>
        <row r="73">
          <cell r="A73" t="str">
            <v>Income Taxes Receivable</v>
          </cell>
          <cell r="D73">
            <v>4007</v>
          </cell>
          <cell r="F73">
            <v>0</v>
          </cell>
          <cell r="H73">
            <v>4007</v>
          </cell>
        </row>
        <row r="74">
          <cell r="H74">
            <v>0</v>
          </cell>
        </row>
        <row r="75">
          <cell r="A75">
            <v>134006</v>
          </cell>
          <cell r="C75" t="str">
            <v>Other Special Deposits - Refundable (Cu</v>
          </cell>
          <cell r="D75">
            <v>0</v>
          </cell>
          <cell r="F75">
            <v>12968375</v>
          </cell>
          <cell r="H75">
            <v>-12968375</v>
          </cell>
        </row>
        <row r="76">
          <cell r="A76">
            <v>135001</v>
          </cell>
          <cell r="C76" t="str">
            <v>Working Funds - General</v>
          </cell>
          <cell r="D76">
            <v>12549.84</v>
          </cell>
          <cell r="F76">
            <v>0</v>
          </cell>
          <cell r="H76">
            <v>12549.84</v>
          </cell>
        </row>
        <row r="77">
          <cell r="A77">
            <v>135161</v>
          </cell>
          <cell r="C77" t="str">
            <v>Working Funds - Benefit Providers</v>
          </cell>
          <cell r="D77">
            <v>404000</v>
          </cell>
          <cell r="F77">
            <v>0</v>
          </cell>
          <cell r="H77">
            <v>404000</v>
          </cell>
        </row>
        <row r="78">
          <cell r="A78">
            <v>165000</v>
          </cell>
          <cell r="C78" t="str">
            <v>Prepayments - General</v>
          </cell>
          <cell r="D78">
            <v>1519156.39</v>
          </cell>
          <cell r="F78">
            <v>1417615.35</v>
          </cell>
          <cell r="H78">
            <v>101541.0399999998</v>
          </cell>
        </row>
        <row r="79">
          <cell r="A79">
            <v>165100</v>
          </cell>
          <cell r="C79" t="str">
            <v>Prepayments - Other Taxes</v>
          </cell>
          <cell r="D79">
            <v>9423132.7599999998</v>
          </cell>
          <cell r="F79">
            <v>7038981.71</v>
          </cell>
          <cell r="H79">
            <v>2384151.0499999998</v>
          </cell>
        </row>
        <row r="80">
          <cell r="A80">
            <v>165206</v>
          </cell>
          <cell r="C80" t="str">
            <v>Prepayments - Workmen's Compensation</v>
          </cell>
          <cell r="D80">
            <v>198859.61</v>
          </cell>
          <cell r="F80">
            <v>626837.63</v>
          </cell>
          <cell r="H80">
            <v>-427978.02</v>
          </cell>
        </row>
        <row r="81">
          <cell r="A81">
            <v>165213</v>
          </cell>
          <cell r="C81" t="str">
            <v>Prepayments - Ordinary Life</v>
          </cell>
          <cell r="D81">
            <v>611169.61</v>
          </cell>
          <cell r="F81">
            <v>611169.57999999996</v>
          </cell>
          <cell r="H81">
            <v>3.0000000027939677E-2</v>
          </cell>
        </row>
        <row r="82">
          <cell r="A82">
            <v>165406</v>
          </cell>
          <cell r="C82" t="str">
            <v>Prepayments-Postage General</v>
          </cell>
          <cell r="D82">
            <v>156507.72</v>
          </cell>
          <cell r="F82">
            <v>82091.039999999994</v>
          </cell>
          <cell r="H82">
            <v>74416.680000000008</v>
          </cell>
        </row>
        <row r="83">
          <cell r="A83">
            <v>165410</v>
          </cell>
          <cell r="C83" t="str">
            <v>Prepayments - Income Taxes</v>
          </cell>
          <cell r="D83">
            <v>93394193.819999993</v>
          </cell>
          <cell r="F83">
            <v>66543602.049999997</v>
          </cell>
          <cell r="H83">
            <v>26850591.769999996</v>
          </cell>
        </row>
        <row r="84">
          <cell r="A84">
            <v>190110</v>
          </cell>
          <cell r="C84" t="str">
            <v>Deferred Income Tax Asset - Federal - S</v>
          </cell>
          <cell r="D84">
            <v>-817499</v>
          </cell>
          <cell r="F84">
            <v>2540217</v>
          </cell>
          <cell r="H84">
            <v>-3357716</v>
          </cell>
        </row>
        <row r="85">
          <cell r="A85">
            <v>190150</v>
          </cell>
          <cell r="C85" t="str">
            <v>Deferred Inc Tax Asset-Federal-UTPs/Eff</v>
          </cell>
          <cell r="D85">
            <v>4153681</v>
          </cell>
          <cell r="F85">
            <v>0</v>
          </cell>
          <cell r="H85">
            <v>4153681</v>
          </cell>
        </row>
        <row r="86">
          <cell r="A86">
            <v>190210</v>
          </cell>
          <cell r="C86" t="str">
            <v>Deferred Income Tax Asset - State - Sho</v>
          </cell>
          <cell r="D86">
            <v>-574787</v>
          </cell>
          <cell r="F86">
            <v>285050</v>
          </cell>
          <cell r="H86">
            <v>-859837</v>
          </cell>
        </row>
        <row r="87">
          <cell r="A87" t="str">
            <v>Prepaid Expenses and Other</v>
          </cell>
          <cell r="D87">
            <v>108480964.75</v>
          </cell>
          <cell r="F87">
            <v>92113939.359999999</v>
          </cell>
          <cell r="H87">
            <v>16367025.390000001</v>
          </cell>
        </row>
        <row r="88">
          <cell r="H88">
            <v>0</v>
          </cell>
        </row>
        <row r="89">
          <cell r="A89" t="str">
            <v>Total</v>
          </cell>
          <cell r="D89">
            <v>441846031.12</v>
          </cell>
          <cell r="F89">
            <v>419189557.70999998</v>
          </cell>
          <cell r="H89">
            <v>22656473.410000026</v>
          </cell>
        </row>
        <row r="90">
          <cell r="H90">
            <v>0</v>
          </cell>
        </row>
        <row r="91">
          <cell r="A91" t="str">
            <v>Investments and Other Assets</v>
          </cell>
          <cell r="H91">
            <v>0</v>
          </cell>
        </row>
        <row r="92">
          <cell r="H92">
            <v>0</v>
          </cell>
        </row>
        <row r="93">
          <cell r="A93">
            <v>182250</v>
          </cell>
          <cell r="C93" t="str">
            <v>Regulatory Assets - Asset Retirement Ob</v>
          </cell>
          <cell r="D93">
            <v>115027</v>
          </cell>
          <cell r="F93">
            <v>74601</v>
          </cell>
          <cell r="H93">
            <v>40426</v>
          </cell>
        </row>
        <row r="94">
          <cell r="A94">
            <v>182300</v>
          </cell>
          <cell r="C94" t="str">
            <v>Other Regulatory Assets - General</v>
          </cell>
          <cell r="D94">
            <v>4359604.2300000004</v>
          </cell>
          <cell r="F94">
            <v>4773812.83</v>
          </cell>
          <cell r="H94">
            <v>-414208.59999999963</v>
          </cell>
        </row>
        <row r="95">
          <cell r="A95">
            <v>182345</v>
          </cell>
          <cell r="C95" t="str">
            <v>Reg Assets - Bill Stabilization Adj (BS</v>
          </cell>
          <cell r="D95">
            <v>1739562.97</v>
          </cell>
          <cell r="F95">
            <v>0</v>
          </cell>
          <cell r="H95">
            <v>1739562.97</v>
          </cell>
        </row>
        <row r="96">
          <cell r="A96">
            <v>182366</v>
          </cell>
          <cell r="C96" t="str">
            <v>DSM - Energy Efficient Products - Commu</v>
          </cell>
          <cell r="D96">
            <v>345235.32</v>
          </cell>
          <cell r="F96">
            <v>0</v>
          </cell>
          <cell r="H96">
            <v>345235.32</v>
          </cell>
        </row>
        <row r="97">
          <cell r="A97">
            <v>182500</v>
          </cell>
          <cell r="C97" t="str">
            <v>Other Reg Assets - Income Tax Recov thr</v>
          </cell>
          <cell r="D97">
            <v>60598059.609999999</v>
          </cell>
          <cell r="F97">
            <v>34854093.310000002</v>
          </cell>
          <cell r="H97">
            <v>25743966.299999997</v>
          </cell>
        </row>
        <row r="98">
          <cell r="A98">
            <v>182506</v>
          </cell>
          <cell r="C98" t="str">
            <v>Other Reg Assets - Generation Procureme</v>
          </cell>
          <cell r="D98">
            <v>2203539.7999999998</v>
          </cell>
          <cell r="F98">
            <v>0</v>
          </cell>
          <cell r="H98">
            <v>2203539.7999999998</v>
          </cell>
        </row>
        <row r="99">
          <cell r="A99">
            <v>182507</v>
          </cell>
          <cell r="C99" t="str">
            <v>Other Reg Assets - Divestiture Gain - S</v>
          </cell>
          <cell r="D99">
            <v>773522.23</v>
          </cell>
          <cell r="F99">
            <v>773522.23</v>
          </cell>
          <cell r="H99">
            <v>0</v>
          </cell>
        </row>
        <row r="100">
          <cell r="A100">
            <v>182515</v>
          </cell>
          <cell r="C100" t="str">
            <v>Regulatory Asset - Wks Comp/LT Disabili</v>
          </cell>
          <cell r="D100">
            <v>34348789.539999999</v>
          </cell>
          <cell r="F100">
            <v>31688699.82</v>
          </cell>
          <cell r="H100">
            <v>2660089.7199999988</v>
          </cell>
        </row>
        <row r="101">
          <cell r="A101">
            <v>182520</v>
          </cell>
          <cell r="C101" t="str">
            <v>Other Regulatory Assets - MD SOS Energy</v>
          </cell>
          <cell r="D101">
            <v>10153513.439999999</v>
          </cell>
          <cell r="F101">
            <v>2421395</v>
          </cell>
          <cell r="H101">
            <v>7732118.4399999995</v>
          </cell>
        </row>
        <row r="102">
          <cell r="A102">
            <v>182521</v>
          </cell>
          <cell r="C102" t="str">
            <v>Other Regulatory Assets - MD SOS Transm</v>
          </cell>
          <cell r="D102">
            <v>1136579.1599999999</v>
          </cell>
          <cell r="F102">
            <v>0</v>
          </cell>
          <cell r="H102">
            <v>1136579.1599999999</v>
          </cell>
        </row>
        <row r="103">
          <cell r="A103">
            <v>182522</v>
          </cell>
          <cell r="C103" t="str">
            <v>Other Reg Assets - MD SOS Administrativ</v>
          </cell>
          <cell r="D103">
            <v>3310696.14</v>
          </cell>
          <cell r="F103">
            <v>5036083.25</v>
          </cell>
          <cell r="H103">
            <v>-1725387.1099999999</v>
          </cell>
        </row>
        <row r="104">
          <cell r="A104">
            <v>182524</v>
          </cell>
          <cell r="C104" t="str">
            <v>Other Regulatory Assets - DC SOS Energy</v>
          </cell>
          <cell r="D104">
            <v>4010553.92</v>
          </cell>
          <cell r="F104">
            <v>0</v>
          </cell>
          <cell r="H104">
            <v>4010553.92</v>
          </cell>
        </row>
        <row r="105">
          <cell r="A105">
            <v>182526</v>
          </cell>
          <cell r="C105" t="str">
            <v>Other Reg Assets - DC SOS Administrativ</v>
          </cell>
          <cell r="D105">
            <v>5896867.8499999996</v>
          </cell>
          <cell r="F105">
            <v>4038943.95</v>
          </cell>
          <cell r="H105">
            <v>1857923.8999999994</v>
          </cell>
        </row>
        <row r="106">
          <cell r="A106">
            <v>182531</v>
          </cell>
          <cell r="C106" t="str">
            <v>Other Regulatory Assets - Phase-In Cred</v>
          </cell>
          <cell r="D106">
            <v>1436166.65</v>
          </cell>
          <cell r="F106">
            <v>1292760.5900000001</v>
          </cell>
          <cell r="H106">
            <v>143406.05999999982</v>
          </cell>
        </row>
        <row r="107">
          <cell r="A107">
            <v>182540</v>
          </cell>
          <cell r="C107" t="str">
            <v>Regulatory Asset - Blueprint for the Fu</v>
          </cell>
          <cell r="D107">
            <v>1290546.81</v>
          </cell>
          <cell r="F107">
            <v>0</v>
          </cell>
          <cell r="H107">
            <v>1290546.81</v>
          </cell>
        </row>
        <row r="108">
          <cell r="A108">
            <v>182545</v>
          </cell>
          <cell r="C108" t="str">
            <v>Regulatory Asset -Control Center Replac</v>
          </cell>
          <cell r="D108">
            <v>6965720</v>
          </cell>
          <cell r="F108">
            <v>0</v>
          </cell>
          <cell r="H108">
            <v>6965720</v>
          </cell>
        </row>
        <row r="109">
          <cell r="A109">
            <v>189000</v>
          </cell>
          <cell r="C109" t="str">
            <v>Unamortized Loss on Reacquired Debt - G</v>
          </cell>
          <cell r="D109">
            <v>5256432.47</v>
          </cell>
          <cell r="F109">
            <v>5580629.4500000002</v>
          </cell>
          <cell r="H109">
            <v>-324196.98000000045</v>
          </cell>
        </row>
        <row r="110">
          <cell r="A110">
            <v>189300</v>
          </cell>
          <cell r="C110" t="str">
            <v>Unamortized Loss - Pollution Bonds</v>
          </cell>
          <cell r="D110">
            <v>300945.71000000002</v>
          </cell>
          <cell r="F110">
            <v>319609.01</v>
          </cell>
          <cell r="H110">
            <v>-18663.299999999988</v>
          </cell>
        </row>
        <row r="111">
          <cell r="A111">
            <v>189400</v>
          </cell>
          <cell r="C111" t="str">
            <v>Unamortized Loss - First Mortgage Bonds</v>
          </cell>
          <cell r="D111">
            <v>34304369.880000003</v>
          </cell>
          <cell r="F111">
            <v>36822654.729999997</v>
          </cell>
          <cell r="H111">
            <v>-2518284.849999994</v>
          </cell>
        </row>
        <row r="112">
          <cell r="A112" t="str">
            <v>Regulatory Assets</v>
          </cell>
          <cell r="D112">
            <v>178545732.72999999</v>
          </cell>
          <cell r="F112">
            <v>127676805.17</v>
          </cell>
          <cell r="H112">
            <v>50868927.559999987</v>
          </cell>
        </row>
        <row r="113">
          <cell r="H113">
            <v>0</v>
          </cell>
        </row>
        <row r="114">
          <cell r="A114">
            <v>123265</v>
          </cell>
          <cell r="C114" t="str">
            <v>Investment In POM Holdings</v>
          </cell>
          <cell r="D114">
            <v>1000</v>
          </cell>
          <cell r="F114">
            <v>1000</v>
          </cell>
          <cell r="H114">
            <v>0</v>
          </cell>
        </row>
        <row r="115">
          <cell r="A115" t="str">
            <v>Investment in Consolidated Companies</v>
          </cell>
          <cell r="D115">
            <v>1000</v>
          </cell>
          <cell r="F115">
            <v>1000</v>
          </cell>
          <cell r="H115">
            <v>0</v>
          </cell>
        </row>
        <row r="116">
          <cell r="H116">
            <v>0</v>
          </cell>
        </row>
        <row r="117">
          <cell r="A117">
            <v>186308</v>
          </cell>
          <cell r="C117" t="str">
            <v>Prepaid Pension Costs</v>
          </cell>
          <cell r="D117">
            <v>152033231.28</v>
          </cell>
          <cell r="F117">
            <v>160072085.28</v>
          </cell>
          <cell r="H117">
            <v>-8038854</v>
          </cell>
        </row>
        <row r="118">
          <cell r="A118" t="str">
            <v>Prepaid Pension Expense</v>
          </cell>
          <cell r="D118">
            <v>152033231.28</v>
          </cell>
          <cell r="F118">
            <v>160072085.28</v>
          </cell>
          <cell r="H118">
            <v>-8038854</v>
          </cell>
        </row>
        <row r="119">
          <cell r="H119">
            <v>0</v>
          </cell>
        </row>
        <row r="120">
          <cell r="A120">
            <v>190800</v>
          </cell>
          <cell r="C120" t="str">
            <v>FIN48 Federal Interest &amp; Tax Receivable</v>
          </cell>
          <cell r="D120">
            <v>6782564.5800000001</v>
          </cell>
          <cell r="F120">
            <v>0</v>
          </cell>
          <cell r="H120">
            <v>6782564.5800000001</v>
          </cell>
        </row>
        <row r="121">
          <cell r="A121">
            <v>190850</v>
          </cell>
          <cell r="C121" t="str">
            <v>FIN48 State Interest &amp; Tax Receivable-N</v>
          </cell>
          <cell r="D121">
            <v>1765173.29</v>
          </cell>
          <cell r="F121">
            <v>0</v>
          </cell>
          <cell r="H121">
            <v>1765173.29</v>
          </cell>
        </row>
        <row r="122">
          <cell r="A122" t="str">
            <v>Interest &amp; Tax Asset-Uncertain Tax Positions</v>
          </cell>
          <cell r="D122">
            <v>8547737.8699999992</v>
          </cell>
          <cell r="F122">
            <v>0</v>
          </cell>
          <cell r="H122">
            <v>8547737.8699999992</v>
          </cell>
        </row>
        <row r="123">
          <cell r="H123">
            <v>0</v>
          </cell>
        </row>
        <row r="124">
          <cell r="A124">
            <v>190810</v>
          </cell>
          <cell r="C124" t="str">
            <v>Federal Income Tax Receivable-Non-curre</v>
          </cell>
          <cell r="D124">
            <v>143680393.31</v>
          </cell>
          <cell r="F124">
            <v>0</v>
          </cell>
          <cell r="H124">
            <v>143680393.31</v>
          </cell>
        </row>
        <row r="125">
          <cell r="A125">
            <v>190860</v>
          </cell>
          <cell r="C125" t="str">
            <v>State Income Tax Receivable-Non-current</v>
          </cell>
          <cell r="D125">
            <v>27477065.559999999</v>
          </cell>
          <cell r="F125">
            <v>0</v>
          </cell>
          <cell r="H125">
            <v>27477065.559999999</v>
          </cell>
        </row>
        <row r="126">
          <cell r="A126" t="str">
            <v>Income Taxes Receivable</v>
          </cell>
          <cell r="D126">
            <v>171157458.87</v>
          </cell>
          <cell r="F126">
            <v>0</v>
          </cell>
          <cell r="H126">
            <v>171157458.87</v>
          </cell>
        </row>
        <row r="127">
          <cell r="H127">
            <v>0</v>
          </cell>
        </row>
        <row r="128">
          <cell r="A128">
            <v>128116</v>
          </cell>
          <cell r="C128" t="str">
            <v>Other Special Funds-Deferred Comp</v>
          </cell>
          <cell r="D128">
            <v>22729686.66</v>
          </cell>
          <cell r="F128">
            <v>25401653.329999998</v>
          </cell>
          <cell r="H128">
            <v>-2671966.6699999981</v>
          </cell>
        </row>
        <row r="129">
          <cell r="A129">
            <v>128117</v>
          </cell>
          <cell r="C129" t="str">
            <v>Other Special Funds - Deferred Comp - T</v>
          </cell>
          <cell r="D129">
            <v>1844383.28</v>
          </cell>
          <cell r="F129">
            <v>1755660.82</v>
          </cell>
          <cell r="H129">
            <v>88722.459999999963</v>
          </cell>
        </row>
        <row r="130">
          <cell r="A130">
            <v>128118</v>
          </cell>
          <cell r="C130" t="str">
            <v>Other Special Funds - Deferred Comp PHI</v>
          </cell>
          <cell r="D130">
            <v>1904493.09</v>
          </cell>
          <cell r="F130">
            <v>1812784.29</v>
          </cell>
          <cell r="H130">
            <v>91708.800000000047</v>
          </cell>
        </row>
        <row r="131">
          <cell r="A131">
            <v>134000</v>
          </cell>
          <cell r="C131" t="str">
            <v>Other Special Deposits - General</v>
          </cell>
          <cell r="D131">
            <v>1904.35</v>
          </cell>
          <cell r="F131">
            <v>1899.35</v>
          </cell>
          <cell r="H131">
            <v>5</v>
          </cell>
        </row>
        <row r="132">
          <cell r="A132">
            <v>134010</v>
          </cell>
          <cell r="C132" t="str">
            <v>Special Deposit -Restricted Mirant Fund</v>
          </cell>
          <cell r="D132">
            <v>417337589.14999998</v>
          </cell>
          <cell r="F132">
            <v>0</v>
          </cell>
          <cell r="H132">
            <v>417337589.14999998</v>
          </cell>
        </row>
        <row r="133">
          <cell r="A133">
            <v>181000</v>
          </cell>
          <cell r="C133" t="str">
            <v>Unamortized Debt Expense - General</v>
          </cell>
          <cell r="D133">
            <v>383488.21</v>
          </cell>
          <cell r="F133">
            <v>421555.96</v>
          </cell>
          <cell r="H133">
            <v>-38067.75</v>
          </cell>
        </row>
        <row r="134">
          <cell r="A134">
            <v>181100</v>
          </cell>
          <cell r="C134" t="str">
            <v>Unamortized Debt Expense - First Mortag</v>
          </cell>
          <cell r="D134">
            <v>9503187.7899999991</v>
          </cell>
          <cell r="F134">
            <v>6508526.8300000001</v>
          </cell>
          <cell r="H134">
            <v>2994660.959999999</v>
          </cell>
        </row>
        <row r="135">
          <cell r="A135">
            <v>181300</v>
          </cell>
          <cell r="C135" t="str">
            <v>Unamortized Debt Expense - Other</v>
          </cell>
          <cell r="D135">
            <v>1969958.44</v>
          </cell>
          <cell r="F135">
            <v>2080908.48</v>
          </cell>
          <cell r="H135">
            <v>-110950.04000000004</v>
          </cell>
        </row>
        <row r="136">
          <cell r="A136">
            <v>181500</v>
          </cell>
          <cell r="C136" t="str">
            <v>Unamortized Debt Expense - Medium Term</v>
          </cell>
          <cell r="D136">
            <v>2406.91</v>
          </cell>
          <cell r="F136">
            <v>4747.54</v>
          </cell>
          <cell r="H136">
            <v>-2340.63</v>
          </cell>
        </row>
        <row r="137">
          <cell r="A137">
            <v>183000</v>
          </cell>
          <cell r="C137" t="str">
            <v>Preliminary Survey &amp; Investigation Char</v>
          </cell>
          <cell r="D137">
            <v>397215.47</v>
          </cell>
          <cell r="F137">
            <v>233669.72</v>
          </cell>
          <cell r="H137">
            <v>163545.74999999997</v>
          </cell>
        </row>
        <row r="138">
          <cell r="A138">
            <v>184200</v>
          </cell>
          <cell r="C138" t="str">
            <v>Clearing supplier discounts (Net method</v>
          </cell>
          <cell r="D138">
            <v>310.22000000000003</v>
          </cell>
          <cell r="F138">
            <v>1341.88</v>
          </cell>
          <cell r="H138">
            <v>-1031.6600000000001</v>
          </cell>
        </row>
        <row r="139">
          <cell r="A139">
            <v>184300</v>
          </cell>
          <cell r="C139" t="str">
            <v>Clearing Accounts AP Cash Return</v>
          </cell>
          <cell r="D139">
            <v>-317.63</v>
          </cell>
          <cell r="F139">
            <v>-217088.59</v>
          </cell>
          <cell r="H139">
            <v>216770.96</v>
          </cell>
        </row>
        <row r="140">
          <cell r="A140">
            <v>186000</v>
          </cell>
          <cell r="C140" t="str">
            <v>Miscellaneous Deferred Debits - General</v>
          </cell>
          <cell r="D140">
            <v>2060921.15</v>
          </cell>
          <cell r="F140">
            <v>2125041.6800000002</v>
          </cell>
          <cell r="H140">
            <v>-64120.530000000261</v>
          </cell>
        </row>
        <row r="141">
          <cell r="A141">
            <v>186120</v>
          </cell>
          <cell r="C141" t="str">
            <v>Suspense - Asset Management</v>
          </cell>
          <cell r="D141">
            <v>225709.27</v>
          </cell>
          <cell r="F141">
            <v>14903.8</v>
          </cell>
          <cell r="H141">
            <v>210805.47</v>
          </cell>
        </row>
        <row r="142">
          <cell r="A142">
            <v>186243</v>
          </cell>
          <cell r="C142" t="str">
            <v>Misc Deferred Debits - Long-Term Receiv</v>
          </cell>
          <cell r="D142">
            <v>0.48</v>
          </cell>
          <cell r="F142">
            <v>37588220</v>
          </cell>
          <cell r="H142">
            <v>-37588219.520000003</v>
          </cell>
        </row>
        <row r="143">
          <cell r="A143">
            <v>186250</v>
          </cell>
          <cell r="C143" t="str">
            <v>Misc Deferred Debits-Officer's Life Ins</v>
          </cell>
          <cell r="D143">
            <v>17678372.5</v>
          </cell>
          <cell r="F143">
            <v>17229050.399999999</v>
          </cell>
          <cell r="H143">
            <v>449322.10000000149</v>
          </cell>
        </row>
        <row r="144">
          <cell r="A144">
            <v>186251</v>
          </cell>
          <cell r="C144" t="str">
            <v>Misc Deferred Debits-COLI Plan</v>
          </cell>
          <cell r="D144">
            <v>68066968.670000002</v>
          </cell>
          <cell r="F144">
            <v>63508037.57</v>
          </cell>
          <cell r="H144">
            <v>4558931.1000000015</v>
          </cell>
        </row>
        <row r="145">
          <cell r="A145">
            <v>186611</v>
          </cell>
          <cell r="C145" t="str">
            <v>Construction Related</v>
          </cell>
          <cell r="D145">
            <v>10554786.439999999</v>
          </cell>
          <cell r="F145">
            <v>12701448</v>
          </cell>
          <cell r="H145">
            <v>-2146661.5600000005</v>
          </cell>
        </row>
        <row r="146">
          <cell r="A146">
            <v>186878</v>
          </cell>
          <cell r="C146" t="str">
            <v>Misc Def Debits - Property Sales - Curr</v>
          </cell>
          <cell r="D146">
            <v>1377869.78</v>
          </cell>
          <cell r="F146">
            <v>10134.280000000001</v>
          </cell>
          <cell r="H146">
            <v>1367735.5</v>
          </cell>
        </row>
        <row r="147">
          <cell r="A147">
            <v>242413</v>
          </cell>
          <cell r="C147" t="str">
            <v>Loans against Life Insurance Contract I</v>
          </cell>
          <cell r="D147">
            <v>-45433872.869999997</v>
          </cell>
          <cell r="F147">
            <v>-42585029.030000001</v>
          </cell>
          <cell r="H147">
            <v>-2848843.8399999961</v>
          </cell>
        </row>
        <row r="148">
          <cell r="A148" t="str">
            <v>Other</v>
          </cell>
          <cell r="D148">
            <v>510605061.36000001</v>
          </cell>
          <cell r="F148">
            <v>128597466.31</v>
          </cell>
          <cell r="H148">
            <v>382007595.05000001</v>
          </cell>
        </row>
        <row r="149">
          <cell r="H149">
            <v>0</v>
          </cell>
        </row>
        <row r="150">
          <cell r="A150" t="str">
            <v>Total</v>
          </cell>
          <cell r="D150">
            <v>1020890222.11</v>
          </cell>
          <cell r="F150">
            <v>416347356.75999999</v>
          </cell>
          <cell r="H150">
            <v>604542865.35000002</v>
          </cell>
        </row>
        <row r="151">
          <cell r="H151">
            <v>0</v>
          </cell>
        </row>
        <row r="152">
          <cell r="A152" t="str">
            <v>Property, Plant, and Equipment</v>
          </cell>
          <cell r="H152">
            <v>0</v>
          </cell>
        </row>
        <row r="153">
          <cell r="H153">
            <v>0</v>
          </cell>
        </row>
        <row r="154">
          <cell r="A154">
            <v>101010</v>
          </cell>
          <cell r="C154" t="str">
            <v>Plant In Service-Electric</v>
          </cell>
          <cell r="D154">
            <v>4824561534.3999996</v>
          </cell>
          <cell r="F154">
            <v>4667804352.3999996</v>
          </cell>
          <cell r="H154">
            <v>156757182</v>
          </cell>
        </row>
        <row r="155">
          <cell r="A155">
            <v>101100</v>
          </cell>
          <cell r="C155" t="str">
            <v>Property under Capital Lease (Manual)</v>
          </cell>
          <cell r="D155">
            <v>154553474.36000001</v>
          </cell>
          <cell r="F155">
            <v>154553474.36000001</v>
          </cell>
          <cell r="H155">
            <v>0</v>
          </cell>
        </row>
        <row r="156">
          <cell r="A156">
            <v>101250</v>
          </cell>
          <cell r="C156" t="str">
            <v>Asset Retirement Obligation (ARO) Asset</v>
          </cell>
          <cell r="D156">
            <v>283373</v>
          </cell>
          <cell r="F156">
            <v>283373</v>
          </cell>
          <cell r="H156">
            <v>0</v>
          </cell>
        </row>
        <row r="157">
          <cell r="A157">
            <v>101601</v>
          </cell>
          <cell r="C157" t="str">
            <v>Plant-Miscellaneous Intangible Plant</v>
          </cell>
          <cell r="D157">
            <v>81053192.939999998</v>
          </cell>
          <cell r="F157">
            <v>79721084.469999999</v>
          </cell>
          <cell r="H157">
            <v>1332108.4699999988</v>
          </cell>
        </row>
        <row r="158">
          <cell r="A158">
            <v>101900</v>
          </cell>
          <cell r="C158" t="str">
            <v>Plant In Service-Electric Fair Value Re</v>
          </cell>
          <cell r="D158">
            <v>-8749395.3699999992</v>
          </cell>
          <cell r="F158">
            <v>0</v>
          </cell>
          <cell r="H158">
            <v>-8749395.3699999992</v>
          </cell>
        </row>
        <row r="159">
          <cell r="A159">
            <v>105000</v>
          </cell>
          <cell r="C159" t="str">
            <v>Plant Held for Future Use - General</v>
          </cell>
          <cell r="D159">
            <v>986409.97</v>
          </cell>
          <cell r="F159">
            <v>986409.97</v>
          </cell>
          <cell r="H159">
            <v>0</v>
          </cell>
        </row>
        <row r="160">
          <cell r="A160">
            <v>107010</v>
          </cell>
          <cell r="C160" t="str">
            <v>Asset Under Construction-Electric</v>
          </cell>
          <cell r="D160">
            <v>0</v>
          </cell>
          <cell r="F160">
            <v>170509524.06999999</v>
          </cell>
          <cell r="H160">
            <v>-170509524.06999999</v>
          </cell>
        </row>
        <row r="161">
          <cell r="A161">
            <v>107100</v>
          </cell>
          <cell r="C161" t="str">
            <v>Assets Under Construction Accruals</v>
          </cell>
          <cell r="D161">
            <v>1715874.79</v>
          </cell>
          <cell r="F161">
            <v>496432.69</v>
          </cell>
          <cell r="H161">
            <v>1219442.1000000001</v>
          </cell>
        </row>
        <row r="162">
          <cell r="A162">
            <v>107200</v>
          </cell>
          <cell r="C162" t="str">
            <v>Assets Under Construction Adjustments</v>
          </cell>
          <cell r="D162">
            <v>-345623.62</v>
          </cell>
          <cell r="F162">
            <v>0</v>
          </cell>
          <cell r="H162">
            <v>-345623.62</v>
          </cell>
        </row>
        <row r="163">
          <cell r="A163">
            <v>107300</v>
          </cell>
          <cell r="C163" t="str">
            <v>Asset Under Construction - New Load Acc</v>
          </cell>
          <cell r="D163">
            <v>4802002.07</v>
          </cell>
          <cell r="F163">
            <v>870692.63</v>
          </cell>
          <cell r="H163">
            <v>3931309.4400000004</v>
          </cell>
        </row>
        <row r="164">
          <cell r="A164">
            <v>107302</v>
          </cell>
          <cell r="C164" t="str">
            <v>Asset Under Construction - Emergency Op</v>
          </cell>
          <cell r="D164">
            <v>122192</v>
          </cell>
          <cell r="F164">
            <v>2121686.0099999998</v>
          </cell>
          <cell r="H164">
            <v>-1999494.0099999998</v>
          </cell>
        </row>
        <row r="165">
          <cell r="A165">
            <v>107410</v>
          </cell>
          <cell r="C165" t="str">
            <v>Asset Under Construction-Electric</v>
          </cell>
          <cell r="D165">
            <v>229689477.38</v>
          </cell>
          <cell r="F165">
            <v>0</v>
          </cell>
          <cell r="H165">
            <v>229689477.38</v>
          </cell>
        </row>
        <row r="166">
          <cell r="A166">
            <v>121000</v>
          </cell>
          <cell r="C166" t="str">
            <v>Nonutility Property - General</v>
          </cell>
          <cell r="D166">
            <v>80220040.189999998</v>
          </cell>
          <cell r="F166">
            <v>80220040.189999998</v>
          </cell>
          <cell r="H166">
            <v>0</v>
          </cell>
        </row>
        <row r="167">
          <cell r="A167" t="str">
            <v>Property, Plant and Equipment</v>
          </cell>
          <cell r="D167">
            <v>5368892552.1099997</v>
          </cell>
          <cell r="F167">
            <v>5157567069.79</v>
          </cell>
          <cell r="H167">
            <v>211325482.31999969</v>
          </cell>
        </row>
        <row r="168">
          <cell r="H168">
            <v>0</v>
          </cell>
        </row>
        <row r="169">
          <cell r="A169">
            <v>101110</v>
          </cell>
          <cell r="C169" t="str">
            <v>Capital Lease - Amortization (Manual)</v>
          </cell>
          <cell r="D169">
            <v>-24203560.77</v>
          </cell>
          <cell r="F169">
            <v>-24203560.77</v>
          </cell>
          <cell r="H169">
            <v>0</v>
          </cell>
        </row>
        <row r="170">
          <cell r="A170">
            <v>101125</v>
          </cell>
          <cell r="C170" t="str">
            <v>Capital lease - Amortization (Reconcili</v>
          </cell>
          <cell r="D170">
            <v>-19217814.109999999</v>
          </cell>
          <cell r="F170">
            <v>-13924730.619999999</v>
          </cell>
          <cell r="H170">
            <v>-5293083.49</v>
          </cell>
        </row>
        <row r="171">
          <cell r="A171">
            <v>108010</v>
          </cell>
          <cell r="C171" t="str">
            <v>Accumulated Depreciation-Electric</v>
          </cell>
          <cell r="D171">
            <v>-2286231935.9400001</v>
          </cell>
          <cell r="F171">
            <v>-2144214320.8399999</v>
          </cell>
          <cell r="H171">
            <v>-142017615.10000014</v>
          </cell>
        </row>
        <row r="172">
          <cell r="A172">
            <v>108011</v>
          </cell>
          <cell r="C172" t="str">
            <v>Accumulated Cost of Removal - Electric</v>
          </cell>
          <cell r="D172">
            <v>52406000.890000001</v>
          </cell>
          <cell r="F172">
            <v>41679028.060000002</v>
          </cell>
          <cell r="H172">
            <v>10726972.829999998</v>
          </cell>
        </row>
        <row r="173">
          <cell r="A173">
            <v>108012</v>
          </cell>
          <cell r="C173" t="str">
            <v>Accumulated Gains and Losses - Electric</v>
          </cell>
          <cell r="D173">
            <v>28411884.66</v>
          </cell>
          <cell r="F173">
            <v>18442766.739999998</v>
          </cell>
          <cell r="H173">
            <v>9969117.9200000018</v>
          </cell>
        </row>
        <row r="174">
          <cell r="A174">
            <v>108013</v>
          </cell>
          <cell r="C174" t="str">
            <v>Clearing Acct. Proceeds/Salvage - Elect</v>
          </cell>
          <cell r="D174">
            <v>-1338053.96</v>
          </cell>
          <cell r="F174">
            <v>-926534.49</v>
          </cell>
          <cell r="H174">
            <v>-411519.47</v>
          </cell>
        </row>
        <row r="175">
          <cell r="A175">
            <v>108018</v>
          </cell>
          <cell r="C175" t="str">
            <v>Accumulated Depreciation - Removal Cost</v>
          </cell>
          <cell r="D175">
            <v>97642852</v>
          </cell>
          <cell r="F175">
            <v>92672730</v>
          </cell>
          <cell r="H175">
            <v>4970122</v>
          </cell>
        </row>
        <row r="176">
          <cell r="A176">
            <v>108019</v>
          </cell>
          <cell r="C176" t="str">
            <v>Insurance Proceeds</v>
          </cell>
          <cell r="D176">
            <v>-6723241.8300000001</v>
          </cell>
          <cell r="F176">
            <v>-5726734.4800000004</v>
          </cell>
          <cell r="H176">
            <v>-996507.34999999963</v>
          </cell>
        </row>
        <row r="177">
          <cell r="A177">
            <v>108200</v>
          </cell>
          <cell r="C177" t="str">
            <v>Accum Depreciation - Adjustments</v>
          </cell>
          <cell r="D177">
            <v>20567985.780000001</v>
          </cell>
          <cell r="F177">
            <v>0</v>
          </cell>
          <cell r="H177">
            <v>20567985.780000001</v>
          </cell>
        </row>
        <row r="178">
          <cell r="A178">
            <v>108250</v>
          </cell>
          <cell r="C178" t="str">
            <v>Accumulated Reserve - Asset Retirement</v>
          </cell>
          <cell r="D178">
            <v>-35751</v>
          </cell>
          <cell r="F178">
            <v>-23952</v>
          </cell>
          <cell r="H178">
            <v>-11799</v>
          </cell>
        </row>
        <row r="179">
          <cell r="A179">
            <v>111601</v>
          </cell>
          <cell r="C179" t="str">
            <v>Acc Amort - Intangible Plant</v>
          </cell>
          <cell r="D179">
            <v>-68463444.939999998</v>
          </cell>
          <cell r="F179">
            <v>-59554901.469999999</v>
          </cell>
          <cell r="H179">
            <v>-8908543.4699999988</v>
          </cell>
        </row>
        <row r="180">
          <cell r="A180">
            <v>111640</v>
          </cell>
          <cell r="C180" t="str">
            <v>Acc Amort - General Plant</v>
          </cell>
          <cell r="D180">
            <v>-3639491.79</v>
          </cell>
          <cell r="F180">
            <v>-3216887.07</v>
          </cell>
          <cell r="H180">
            <v>-422604.7200000002</v>
          </cell>
        </row>
        <row r="181">
          <cell r="A181">
            <v>122000</v>
          </cell>
          <cell r="C181" t="str">
            <v>Acc Depr &amp; Amort of Nonutility Property</v>
          </cell>
          <cell r="D181">
            <v>-63568706.520000003</v>
          </cell>
          <cell r="F181">
            <v>-63489537.520000003</v>
          </cell>
          <cell r="H181">
            <v>-79169</v>
          </cell>
        </row>
        <row r="182">
          <cell r="A182" t="str">
            <v>Accumulated Depreciation &amp; Amortization</v>
          </cell>
          <cell r="D182">
            <v>-2274393277.5300002</v>
          </cell>
          <cell r="F182">
            <v>-2162486634.46</v>
          </cell>
          <cell r="H182">
            <v>-111906643.07000017</v>
          </cell>
        </row>
        <row r="183">
          <cell r="H183">
            <v>0</v>
          </cell>
        </row>
        <row r="184">
          <cell r="A184" t="str">
            <v>Total</v>
          </cell>
          <cell r="D184">
            <v>3094499274.5799999</v>
          </cell>
          <cell r="F184">
            <v>2995080435.3299999</v>
          </cell>
          <cell r="H184">
            <v>99418839.25</v>
          </cell>
        </row>
        <row r="185">
          <cell r="H185">
            <v>0</v>
          </cell>
        </row>
        <row r="186">
          <cell r="A186" t="str">
            <v>Total Assets</v>
          </cell>
          <cell r="D186">
            <v>4557235527.8100004</v>
          </cell>
          <cell r="F186">
            <v>3830617349.8000002</v>
          </cell>
          <cell r="H186">
            <v>726618178.01000023</v>
          </cell>
        </row>
        <row r="187">
          <cell r="A187" t="str">
            <v>============</v>
          </cell>
          <cell r="H187">
            <v>0</v>
          </cell>
        </row>
        <row r="188">
          <cell r="H188">
            <v>0</v>
          </cell>
        </row>
        <row r="189">
          <cell r="H189">
            <v>0</v>
          </cell>
        </row>
        <row r="190">
          <cell r="H190">
            <v>0</v>
          </cell>
        </row>
        <row r="191">
          <cell r="H191">
            <v>0</v>
          </cell>
        </row>
        <row r="192">
          <cell r="H192">
            <v>0</v>
          </cell>
        </row>
        <row r="193">
          <cell r="H193">
            <v>0</v>
          </cell>
        </row>
        <row r="194">
          <cell r="B194" t="str">
            <v>****</v>
          </cell>
          <cell r="G194" t="str">
            <v>Amounts in</v>
          </cell>
          <cell r="H194">
            <v>0</v>
          </cell>
        </row>
        <row r="195">
          <cell r="H195">
            <v>0</v>
          </cell>
        </row>
        <row r="196">
          <cell r="A196" t="str">
            <v>Texts</v>
          </cell>
          <cell r="E196" t="str">
            <v>Comparison period</v>
          </cell>
          <cell r="H196">
            <v>0</v>
          </cell>
        </row>
        <row r="197">
          <cell r="E197" t="str">
            <v>(01.2006-12.2006)</v>
          </cell>
          <cell r="H197">
            <v>0</v>
          </cell>
        </row>
        <row r="198">
          <cell r="H198">
            <v>0</v>
          </cell>
        </row>
        <row r="199">
          <cell r="A199" t="str">
            <v>Capitalization &amp; Liabilities</v>
          </cell>
          <cell r="H199">
            <v>0</v>
          </cell>
        </row>
        <row r="200">
          <cell r="A200" t="str">
            <v>=================================</v>
          </cell>
          <cell r="H200">
            <v>0</v>
          </cell>
        </row>
        <row r="201">
          <cell r="A201" t="str">
            <v>Current Liabilities</v>
          </cell>
          <cell r="H201">
            <v>0</v>
          </cell>
        </row>
        <row r="202">
          <cell r="H202">
            <v>0</v>
          </cell>
        </row>
        <row r="203">
          <cell r="A203">
            <v>226100</v>
          </cell>
          <cell r="C203" t="str">
            <v>Commercial Paper-Unamortized Discount</v>
          </cell>
          <cell r="D203">
            <v>11088.81</v>
          </cell>
          <cell r="F203">
            <v>26315.68</v>
          </cell>
          <cell r="H203">
            <v>-15226.87</v>
          </cell>
        </row>
        <row r="204">
          <cell r="A204">
            <v>231000</v>
          </cell>
          <cell r="C204" t="str">
            <v>Notes Payable - General</v>
          </cell>
          <cell r="D204">
            <v>-84000000</v>
          </cell>
          <cell r="F204">
            <v>-67100000</v>
          </cell>
          <cell r="H204">
            <v>-16900000</v>
          </cell>
        </row>
        <row r="205">
          <cell r="A205" t="str">
            <v>Short-term Debt</v>
          </cell>
          <cell r="D205">
            <v>-83988911.189999998</v>
          </cell>
          <cell r="F205">
            <v>-67073684.32</v>
          </cell>
          <cell r="H205">
            <v>-16915226.869999997</v>
          </cell>
        </row>
        <row r="206">
          <cell r="H206">
            <v>0</v>
          </cell>
        </row>
        <row r="207">
          <cell r="A207">
            <v>224500</v>
          </cell>
          <cell r="C207" t="str">
            <v>Other Long-Term Debt - Current Portion</v>
          </cell>
          <cell r="D207">
            <v>-128000000</v>
          </cell>
          <cell r="F207">
            <v>-210000000</v>
          </cell>
          <cell r="H207">
            <v>82000000</v>
          </cell>
        </row>
        <row r="208">
          <cell r="A208" t="str">
            <v>Current Portion of Long-term Debt</v>
          </cell>
          <cell r="D208">
            <v>-128000000</v>
          </cell>
          <cell r="F208">
            <v>-210000000</v>
          </cell>
          <cell r="H208">
            <v>82000000</v>
          </cell>
        </row>
        <row r="209">
          <cell r="H209">
            <v>0</v>
          </cell>
        </row>
        <row r="210">
          <cell r="A210">
            <v>233059</v>
          </cell>
          <cell r="C210" t="str">
            <v>Money Pool - PEPCO</v>
          </cell>
          <cell r="D210">
            <v>-95934667.930000007</v>
          </cell>
          <cell r="F210">
            <v>351044.55</v>
          </cell>
          <cell r="H210">
            <v>-96285712.480000004</v>
          </cell>
        </row>
        <row r="211">
          <cell r="A211" t="str">
            <v>Money Pool Lendings</v>
          </cell>
          <cell r="D211">
            <v>-95934667.930000007</v>
          </cell>
          <cell r="F211">
            <v>351044.55</v>
          </cell>
          <cell r="H211">
            <v>-96285712.480000004</v>
          </cell>
        </row>
        <row r="212">
          <cell r="H212">
            <v>0</v>
          </cell>
        </row>
        <row r="213">
          <cell r="A213">
            <v>184100</v>
          </cell>
          <cell r="C213" t="str">
            <v>Clearing-Goods Received/Invoice Receive</v>
          </cell>
          <cell r="D213">
            <v>-2151751.84</v>
          </cell>
          <cell r="F213">
            <v>-1562144.08</v>
          </cell>
          <cell r="H213">
            <v>-589607.75999999978</v>
          </cell>
        </row>
        <row r="214">
          <cell r="A214">
            <v>232000</v>
          </cell>
          <cell r="C214" t="str">
            <v>Accounts Payable Reconciliation - Gener</v>
          </cell>
          <cell r="D214">
            <v>-12809923.83</v>
          </cell>
          <cell r="F214">
            <v>-25734120.559999999</v>
          </cell>
          <cell r="H214">
            <v>12924196.729999999</v>
          </cell>
        </row>
        <row r="215">
          <cell r="A215">
            <v>232004</v>
          </cell>
          <cell r="C215" t="str">
            <v>Cashed Checks - A/P</v>
          </cell>
          <cell r="D215">
            <v>-285026.8</v>
          </cell>
          <cell r="F215">
            <v>4684940.72</v>
          </cell>
          <cell r="H215">
            <v>-4969967.5199999996</v>
          </cell>
        </row>
        <row r="216">
          <cell r="A216">
            <v>232005</v>
          </cell>
          <cell r="C216" t="str">
            <v>Outstanding Checks-A/P Wires</v>
          </cell>
          <cell r="D216">
            <v>-0.01</v>
          </cell>
          <cell r="F216">
            <v>0</v>
          </cell>
          <cell r="H216">
            <v>-0.01</v>
          </cell>
        </row>
        <row r="217">
          <cell r="A217">
            <v>232008</v>
          </cell>
          <cell r="C217" t="str">
            <v>Outstanding Checks-Customer Refund</v>
          </cell>
          <cell r="D217">
            <v>-28876.639999999999</v>
          </cell>
          <cell r="F217">
            <v>-1671677.41</v>
          </cell>
          <cell r="H217">
            <v>1642800.77</v>
          </cell>
        </row>
        <row r="218">
          <cell r="A218">
            <v>232011</v>
          </cell>
          <cell r="C218" t="str">
            <v>Outstanding Checks - EDI/EFT</v>
          </cell>
          <cell r="D218">
            <v>0</v>
          </cell>
          <cell r="F218">
            <v>-2813.68</v>
          </cell>
          <cell r="H218">
            <v>2813.68</v>
          </cell>
        </row>
        <row r="219">
          <cell r="A219">
            <v>232012</v>
          </cell>
          <cell r="C219" t="str">
            <v>Outstanding Checks - A/P</v>
          </cell>
          <cell r="D219">
            <v>-13010599.25</v>
          </cell>
          <cell r="F219">
            <v>-18800892.890000001</v>
          </cell>
          <cell r="H219">
            <v>5790293.6400000006</v>
          </cell>
        </row>
        <row r="220">
          <cell r="A220">
            <v>232020</v>
          </cell>
          <cell r="C220" t="str">
            <v>Outstanding Checks-Customer Refund-Bank</v>
          </cell>
          <cell r="D220">
            <v>-1968149.84</v>
          </cell>
          <cell r="F220">
            <v>-152598.39000000001</v>
          </cell>
          <cell r="H220">
            <v>-1815551.4500000002</v>
          </cell>
        </row>
        <row r="221">
          <cell r="A221">
            <v>232022</v>
          </cell>
          <cell r="C221" t="str">
            <v>Outstanding Checks - Overdraft Offset</v>
          </cell>
          <cell r="D221">
            <v>12527.71</v>
          </cell>
          <cell r="F221">
            <v>74256.03</v>
          </cell>
          <cell r="H221">
            <v>-61728.32</v>
          </cell>
        </row>
        <row r="222">
          <cell r="A222">
            <v>232100</v>
          </cell>
          <cell r="C222" t="str">
            <v>Accounts Payable-Consignment Sale</v>
          </cell>
          <cell r="D222">
            <v>-3753.49</v>
          </cell>
          <cell r="F222">
            <v>-4429.53</v>
          </cell>
          <cell r="H222">
            <v>676.04</v>
          </cell>
        </row>
        <row r="223">
          <cell r="A223">
            <v>232150</v>
          </cell>
          <cell r="C223" t="str">
            <v>Accounts Payable - Internet Returns</v>
          </cell>
          <cell r="D223">
            <v>-18242.71</v>
          </cell>
          <cell r="F223">
            <v>-11568.28</v>
          </cell>
          <cell r="H223">
            <v>-6674.4299999999985</v>
          </cell>
        </row>
        <row r="224">
          <cell r="A224">
            <v>232200</v>
          </cell>
          <cell r="C224" t="str">
            <v>Accounts Payable Reconciliation Employe</v>
          </cell>
          <cell r="D224">
            <v>-11359.78</v>
          </cell>
          <cell r="F224">
            <v>-366.6</v>
          </cell>
          <cell r="H224">
            <v>-10993.18</v>
          </cell>
        </row>
        <row r="225">
          <cell r="A225">
            <v>232300</v>
          </cell>
          <cell r="C225" t="str">
            <v>Accounts Payable-(Subsidiary Account)</v>
          </cell>
          <cell r="D225">
            <v>1640</v>
          </cell>
          <cell r="F225">
            <v>0</v>
          </cell>
          <cell r="H225">
            <v>1640</v>
          </cell>
        </row>
        <row r="226">
          <cell r="A226">
            <v>232400</v>
          </cell>
          <cell r="C226" t="str">
            <v>Accounts Payable Accrual</v>
          </cell>
          <cell r="D226">
            <v>-7.0000000000000007E-2</v>
          </cell>
          <cell r="F226">
            <v>-0.06</v>
          </cell>
          <cell r="H226">
            <v>-1.0000000000000009E-2</v>
          </cell>
        </row>
        <row r="227">
          <cell r="A227">
            <v>232401</v>
          </cell>
          <cell r="C227" t="str">
            <v>Accounts Payable  - Standing Accruals</v>
          </cell>
          <cell r="D227">
            <v>-127148</v>
          </cell>
          <cell r="F227">
            <v>0</v>
          </cell>
          <cell r="H227">
            <v>-127148</v>
          </cell>
        </row>
        <row r="228">
          <cell r="A228">
            <v>232402</v>
          </cell>
          <cell r="C228" t="str">
            <v>Accounts Payable Accrual-Corporate</v>
          </cell>
          <cell r="D228">
            <v>-5489141</v>
          </cell>
          <cell r="F228">
            <v>7254496.9900000002</v>
          </cell>
          <cell r="H228">
            <v>-12743637.99</v>
          </cell>
        </row>
        <row r="229">
          <cell r="A229">
            <v>232430</v>
          </cell>
          <cell r="C229" t="str">
            <v>Accounts Payable Accrual - Purchased Po</v>
          </cell>
          <cell r="D229">
            <v>-99159425.420000002</v>
          </cell>
          <cell r="F229">
            <v>-89389133.900000006</v>
          </cell>
          <cell r="H229">
            <v>-9770291.5199999958</v>
          </cell>
        </row>
        <row r="230">
          <cell r="A230">
            <v>232455</v>
          </cell>
          <cell r="C230" t="str">
            <v>Accounts Payable-Quarterly Accruals</v>
          </cell>
          <cell r="D230">
            <v>0</v>
          </cell>
          <cell r="F230">
            <v>-19569706.649999999</v>
          </cell>
          <cell r="H230">
            <v>19569706.649999999</v>
          </cell>
        </row>
        <row r="231">
          <cell r="A231">
            <v>232456</v>
          </cell>
          <cell r="C231" t="str">
            <v>Accounts Payable-Monthly Accruals</v>
          </cell>
          <cell r="D231">
            <v>-14919195.02</v>
          </cell>
          <cell r="F231">
            <v>0</v>
          </cell>
          <cell r="H231">
            <v>-14919195.02</v>
          </cell>
        </row>
        <row r="232">
          <cell r="A232">
            <v>232500</v>
          </cell>
          <cell r="C232" t="str">
            <v>Accounts Payable-Wages Payable</v>
          </cell>
          <cell r="D232">
            <v>-132022.51999999999</v>
          </cell>
          <cell r="F232">
            <v>-219823.52</v>
          </cell>
          <cell r="H232">
            <v>87801</v>
          </cell>
        </row>
        <row r="233">
          <cell r="A233">
            <v>232502</v>
          </cell>
          <cell r="C233" t="str">
            <v>Accounts Payable-Accrued Payroll</v>
          </cell>
          <cell r="D233">
            <v>-1745571.27</v>
          </cell>
          <cell r="F233">
            <v>-1762722.67</v>
          </cell>
          <cell r="H233">
            <v>17151.399999999907</v>
          </cell>
        </row>
        <row r="234">
          <cell r="A234">
            <v>232625</v>
          </cell>
          <cell r="C234" t="str">
            <v>AP-P/R Savings &amp; Thrift Vanguard</v>
          </cell>
          <cell r="D234">
            <v>0</v>
          </cell>
          <cell r="F234">
            <v>-577.48</v>
          </cell>
          <cell r="H234">
            <v>577.48</v>
          </cell>
        </row>
        <row r="235">
          <cell r="A235">
            <v>232627</v>
          </cell>
          <cell r="C235" t="str">
            <v>AP-P/R Garnishments</v>
          </cell>
          <cell r="D235">
            <v>0</v>
          </cell>
          <cell r="F235">
            <v>-2715.17</v>
          </cell>
          <cell r="H235">
            <v>2715.17</v>
          </cell>
        </row>
        <row r="236">
          <cell r="A236">
            <v>232631</v>
          </cell>
          <cell r="C236" t="str">
            <v>AP-P/R Savings Bonds</v>
          </cell>
          <cell r="D236">
            <v>-5306.98</v>
          </cell>
          <cell r="F236">
            <v>-5771.9</v>
          </cell>
          <cell r="H236">
            <v>464.92000000000007</v>
          </cell>
        </row>
        <row r="237">
          <cell r="A237">
            <v>232645</v>
          </cell>
          <cell r="C237" t="str">
            <v>AP-P/R Deduct Pay South</v>
          </cell>
          <cell r="D237">
            <v>-206.68</v>
          </cell>
          <cell r="F237">
            <v>0</v>
          </cell>
          <cell r="H237">
            <v>-206.68</v>
          </cell>
        </row>
        <row r="238">
          <cell r="A238">
            <v>232650</v>
          </cell>
          <cell r="C238" t="str">
            <v>Accounts Payable - Third Party Supplier</v>
          </cell>
          <cell r="D238">
            <v>-37527196.789999999</v>
          </cell>
          <cell r="F238">
            <v>-21111649.82</v>
          </cell>
          <cell r="H238">
            <v>-16415546.969999999</v>
          </cell>
        </row>
        <row r="239">
          <cell r="A239">
            <v>232655</v>
          </cell>
          <cell r="C239" t="str">
            <v>Retail Customer Accounts - Credits</v>
          </cell>
          <cell r="D239">
            <v>-12342548.58</v>
          </cell>
          <cell r="F239">
            <v>-12073188.57</v>
          </cell>
          <cell r="H239">
            <v>-269360.00999999978</v>
          </cell>
        </row>
        <row r="240">
          <cell r="A240" t="str">
            <v>Accounts Payable</v>
          </cell>
          <cell r="D240">
            <v>-201721278.81</v>
          </cell>
          <cell r="F240">
            <v>-180062207.41999999</v>
          </cell>
          <cell r="H240">
            <v>-21659071.390000015</v>
          </cell>
        </row>
        <row r="241">
          <cell r="H241">
            <v>0</v>
          </cell>
        </row>
        <row r="242">
          <cell r="A242">
            <v>236200</v>
          </cell>
          <cell r="C242" t="str">
            <v>State Income Taxes Accrued - Current</v>
          </cell>
          <cell r="D242">
            <v>-50439827.649999999</v>
          </cell>
          <cell r="F242">
            <v>-34409366.770000003</v>
          </cell>
          <cell r="H242">
            <v>-16030460.879999995</v>
          </cell>
        </row>
        <row r="243">
          <cell r="A243">
            <v>236250</v>
          </cell>
          <cell r="C243" t="str">
            <v>Taxes Accrued - Taxes other than income</v>
          </cell>
          <cell r="D243">
            <v>-39625267.729999997</v>
          </cell>
          <cell r="F243">
            <v>-38429537.719999999</v>
          </cell>
          <cell r="H243">
            <v>-1195730.0099999979</v>
          </cell>
        </row>
        <row r="244">
          <cell r="A244" t="str">
            <v>Taxes Accrued</v>
          </cell>
          <cell r="D244">
            <v>-90065095.379999995</v>
          </cell>
          <cell r="F244">
            <v>-72838904.489999995</v>
          </cell>
          <cell r="H244">
            <v>-17226190.890000001</v>
          </cell>
        </row>
        <row r="245">
          <cell r="H245">
            <v>0</v>
          </cell>
        </row>
        <row r="246">
          <cell r="A246">
            <v>237100</v>
          </cell>
          <cell r="C246" t="str">
            <v>Interest Accrued - Customer Deposits</v>
          </cell>
          <cell r="D246">
            <v>-4800745.7</v>
          </cell>
          <cell r="F246">
            <v>-3861687.27</v>
          </cell>
          <cell r="H246">
            <v>-939058.43000000017</v>
          </cell>
        </row>
        <row r="247">
          <cell r="A247">
            <v>237110</v>
          </cell>
          <cell r="C247" t="str">
            <v>Interest Accrued - Customer Deposits -</v>
          </cell>
          <cell r="D247">
            <v>-26321.83</v>
          </cell>
          <cell r="F247">
            <v>-27755.67</v>
          </cell>
          <cell r="H247">
            <v>1433.8399999999965</v>
          </cell>
        </row>
        <row r="248">
          <cell r="A248">
            <v>237200</v>
          </cell>
          <cell r="C248" t="str">
            <v>Interest Accrued - First Mortage Bonds</v>
          </cell>
          <cell r="D248">
            <v>-10177119.460000001</v>
          </cell>
          <cell r="F248">
            <v>-10454897.23</v>
          </cell>
          <cell r="H248">
            <v>277777.76999999955</v>
          </cell>
        </row>
        <row r="249">
          <cell r="A249">
            <v>237400</v>
          </cell>
          <cell r="C249" t="str">
            <v>Interest Accrued - Other</v>
          </cell>
          <cell r="D249">
            <v>-432554.66</v>
          </cell>
          <cell r="F249">
            <v>-178250.03</v>
          </cell>
          <cell r="H249">
            <v>-254304.62999999998</v>
          </cell>
        </row>
        <row r="250">
          <cell r="A250">
            <v>237600</v>
          </cell>
          <cell r="C250" t="str">
            <v>Interest Accrued - Medium Term Notes</v>
          </cell>
          <cell r="D250">
            <v>-1302083.33</v>
          </cell>
          <cell r="F250">
            <v>-2416250</v>
          </cell>
          <cell r="H250">
            <v>1114166.67</v>
          </cell>
        </row>
        <row r="251">
          <cell r="A251">
            <v>237900</v>
          </cell>
          <cell r="C251" t="str">
            <v>Interest Accrued - Interco</v>
          </cell>
          <cell r="D251">
            <v>-309323.75</v>
          </cell>
          <cell r="F251">
            <v>0</v>
          </cell>
          <cell r="H251">
            <v>-309323.75</v>
          </cell>
        </row>
        <row r="252">
          <cell r="A252" t="str">
            <v>Interest Accrued</v>
          </cell>
          <cell r="D252">
            <v>-17048148.73</v>
          </cell>
          <cell r="F252">
            <v>-16938840.199999999</v>
          </cell>
          <cell r="H252">
            <v>-109308.53000000119</v>
          </cell>
        </row>
        <row r="253">
          <cell r="H253">
            <v>0</v>
          </cell>
        </row>
        <row r="254">
          <cell r="A254">
            <v>243000</v>
          </cell>
          <cell r="C254" t="str">
            <v>Obligations under Capital Lease - Gener</v>
          </cell>
          <cell r="D254">
            <v>-5952680.0700000003</v>
          </cell>
          <cell r="F254">
            <v>-5494854.2699999996</v>
          </cell>
          <cell r="H254">
            <v>-457825.80000000075</v>
          </cell>
        </row>
        <row r="255">
          <cell r="A255" t="str">
            <v>Current Portion of Capital Lease Obligation</v>
          </cell>
          <cell r="D255">
            <v>-5952680.0700000003</v>
          </cell>
          <cell r="F255">
            <v>-5494854.2699999996</v>
          </cell>
          <cell r="H255">
            <v>-457825.80000000075</v>
          </cell>
        </row>
        <row r="256">
          <cell r="H256">
            <v>0</v>
          </cell>
        </row>
        <row r="257">
          <cell r="A257">
            <v>236700</v>
          </cell>
          <cell r="C257" t="str">
            <v>FIN 48 Federal Interest &amp; Tax Liability</v>
          </cell>
          <cell r="D257">
            <v>-53859284</v>
          </cell>
          <cell r="F257">
            <v>0</v>
          </cell>
          <cell r="H257">
            <v>-53859284</v>
          </cell>
        </row>
        <row r="258">
          <cell r="A258">
            <v>236750</v>
          </cell>
          <cell r="C258" t="str">
            <v>FIN 48 State Interest &amp; Tax Liability-C</v>
          </cell>
          <cell r="D258">
            <v>-13968542.380000001</v>
          </cell>
          <cell r="F258">
            <v>0</v>
          </cell>
          <cell r="H258">
            <v>-13968542.380000001</v>
          </cell>
        </row>
        <row r="259">
          <cell r="A259" t="str">
            <v>Interest &amp; Tax Liab-Uncertain Tax Positions</v>
          </cell>
          <cell r="D259">
            <v>-67827826.379999995</v>
          </cell>
          <cell r="F259">
            <v>0</v>
          </cell>
          <cell r="H259">
            <v>-67827826.379999995</v>
          </cell>
        </row>
        <row r="260">
          <cell r="H260">
            <v>0</v>
          </cell>
        </row>
        <row r="261">
          <cell r="A261">
            <v>235120</v>
          </cell>
          <cell r="C261" t="str">
            <v>Customer Deposits - MD</v>
          </cell>
          <cell r="D261">
            <v>-17716309.609999999</v>
          </cell>
          <cell r="F261">
            <v>-15221506.880000001</v>
          </cell>
          <cell r="H261">
            <v>-2494802.7299999986</v>
          </cell>
        </row>
        <row r="262">
          <cell r="A262">
            <v>235140</v>
          </cell>
          <cell r="C262" t="str">
            <v>Customer Deposits - Washington DC</v>
          </cell>
          <cell r="D262">
            <v>-15977464.01</v>
          </cell>
          <cell r="F262">
            <v>-14515760.49</v>
          </cell>
          <cell r="H262">
            <v>-1461703.5199999996</v>
          </cell>
        </row>
        <row r="263">
          <cell r="A263">
            <v>235160</v>
          </cell>
          <cell r="C263" t="str">
            <v>Customer Deposits - Inactive</v>
          </cell>
          <cell r="D263">
            <v>-164591.29</v>
          </cell>
          <cell r="F263">
            <v>-158855.59</v>
          </cell>
          <cell r="H263">
            <v>-5735.7000000000116</v>
          </cell>
        </row>
        <row r="264">
          <cell r="A264">
            <v>241000</v>
          </cell>
          <cell r="C264" t="str">
            <v>Tax Collections Payable - General</v>
          </cell>
          <cell r="D264">
            <v>-305.73</v>
          </cell>
          <cell r="F264">
            <v>-305.73</v>
          </cell>
          <cell r="H264">
            <v>0</v>
          </cell>
        </row>
        <row r="265">
          <cell r="A265">
            <v>241107</v>
          </cell>
          <cell r="C265" t="str">
            <v>P/R Local Payable</v>
          </cell>
          <cell r="D265">
            <v>-54.33</v>
          </cell>
          <cell r="F265">
            <v>0</v>
          </cell>
          <cell r="H265">
            <v>-54.33</v>
          </cell>
        </row>
        <row r="266">
          <cell r="A266">
            <v>241200</v>
          </cell>
          <cell r="C266" t="str">
            <v>Maryland Environmental Surcharge</v>
          </cell>
          <cell r="D266">
            <v>-241801.22</v>
          </cell>
          <cell r="F266">
            <v>-157905.23000000001</v>
          </cell>
          <cell r="H266">
            <v>-83895.989999999991</v>
          </cell>
        </row>
        <row r="267">
          <cell r="A267">
            <v>241300</v>
          </cell>
          <cell r="C267" t="str">
            <v>Maryland Sales Tax Payable</v>
          </cell>
          <cell r="D267">
            <v>-1279147.72</v>
          </cell>
          <cell r="F267">
            <v>-1206294.1299999999</v>
          </cell>
          <cell r="H267">
            <v>-72853.590000000084</v>
          </cell>
        </row>
        <row r="268">
          <cell r="A268">
            <v>241335</v>
          </cell>
          <cell r="C268" t="str">
            <v>Gross Receipts Tax Payable</v>
          </cell>
          <cell r="D268">
            <v>-722664.03</v>
          </cell>
          <cell r="F268">
            <v>0</v>
          </cell>
          <cell r="H268">
            <v>-722664.03</v>
          </cell>
        </row>
        <row r="269">
          <cell r="A269">
            <v>241340</v>
          </cell>
          <cell r="C269" t="str">
            <v>G/R Tax Payable-Washington DC</v>
          </cell>
          <cell r="D269">
            <v>-7261247.8899999997</v>
          </cell>
          <cell r="F269">
            <v>-11386591.02</v>
          </cell>
          <cell r="H269">
            <v>4125343.13</v>
          </cell>
        </row>
        <row r="270">
          <cell r="A270">
            <v>241365</v>
          </cell>
          <cell r="C270" t="str">
            <v>Washington DC Sales Tax Payable</v>
          </cell>
          <cell r="D270">
            <v>-1381638.18</v>
          </cell>
          <cell r="F270">
            <v>-1059179.9099999999</v>
          </cell>
          <cell r="H270">
            <v>-322458.27</v>
          </cell>
        </row>
        <row r="271">
          <cell r="A271">
            <v>241375</v>
          </cell>
          <cell r="C271" t="str">
            <v>Sales Taxes Payable</v>
          </cell>
          <cell r="D271">
            <v>73329.61</v>
          </cell>
          <cell r="F271">
            <v>-201292.1</v>
          </cell>
          <cell r="H271">
            <v>274621.71000000002</v>
          </cell>
        </row>
        <row r="272">
          <cell r="A272">
            <v>241750</v>
          </cell>
          <cell r="C272" t="str">
            <v>PG County Energy Tax Payable</v>
          </cell>
          <cell r="D272">
            <v>-7320778.8499999996</v>
          </cell>
          <cell r="F272">
            <v>-5938644.0700000003</v>
          </cell>
          <cell r="H272">
            <v>-1382134.7799999993</v>
          </cell>
        </row>
        <row r="273">
          <cell r="A273">
            <v>242000</v>
          </cell>
          <cell r="C273" t="str">
            <v>Accrued Liab-General</v>
          </cell>
          <cell r="D273">
            <v>-892127.59</v>
          </cell>
          <cell r="F273">
            <v>-72914309.219999999</v>
          </cell>
          <cell r="H273">
            <v>72022181.629999995</v>
          </cell>
        </row>
        <row r="274">
          <cell r="A274">
            <v>242009</v>
          </cell>
          <cell r="C274" t="str">
            <v>Accrued Liab-Environmental Site Exp - S</v>
          </cell>
          <cell r="D274">
            <v>-65000</v>
          </cell>
          <cell r="F274">
            <v>-85000</v>
          </cell>
          <cell r="H274">
            <v>20000</v>
          </cell>
        </row>
        <row r="275">
          <cell r="A275">
            <v>242018</v>
          </cell>
          <cell r="C275" t="str">
            <v>Accrued Liab-Environmental Fees</v>
          </cell>
          <cell r="D275">
            <v>-524030.78</v>
          </cell>
          <cell r="F275">
            <v>-564280.77</v>
          </cell>
          <cell r="H275">
            <v>40249.989999999991</v>
          </cell>
        </row>
        <row r="276">
          <cell r="A276">
            <v>242200</v>
          </cell>
          <cell r="C276" t="str">
            <v>Accrued Liab-Required Health Claims Res</v>
          </cell>
          <cell r="D276">
            <v>-1425050</v>
          </cell>
          <cell r="F276">
            <v>-1670899</v>
          </cell>
          <cell r="H276">
            <v>245849</v>
          </cell>
        </row>
        <row r="277">
          <cell r="A277">
            <v>242201</v>
          </cell>
          <cell r="C277" t="str">
            <v>Accrued Liab-General Liability</v>
          </cell>
          <cell r="D277">
            <v>-1446713.51</v>
          </cell>
          <cell r="F277">
            <v>-1257933.5900000001</v>
          </cell>
          <cell r="H277">
            <v>-188779.91999999993</v>
          </cell>
        </row>
        <row r="278">
          <cell r="A278">
            <v>242202</v>
          </cell>
          <cell r="C278" t="str">
            <v>Accrued Liabilities - Workers Comp - Cu</v>
          </cell>
          <cell r="D278">
            <v>-4607990.21</v>
          </cell>
          <cell r="F278">
            <v>-4989976.37</v>
          </cell>
          <cell r="H278">
            <v>381986.16000000015</v>
          </cell>
        </row>
        <row r="279">
          <cell r="A279">
            <v>242204</v>
          </cell>
          <cell r="C279" t="str">
            <v>Accrued Liab-Auto Liability</v>
          </cell>
          <cell r="D279">
            <v>-695040.76</v>
          </cell>
          <cell r="F279">
            <v>-500000</v>
          </cell>
          <cell r="H279">
            <v>-195040.76</v>
          </cell>
        </row>
        <row r="280">
          <cell r="A280">
            <v>242208</v>
          </cell>
          <cell r="C280" t="str">
            <v>Accrued Liabilities - Disability - Curr</v>
          </cell>
          <cell r="D280">
            <v>-1895830.2</v>
          </cell>
          <cell r="F280">
            <v>-1405273.63</v>
          </cell>
          <cell r="H280">
            <v>-490556.57000000007</v>
          </cell>
        </row>
        <row r="281">
          <cell r="A281">
            <v>242209</v>
          </cell>
          <cell r="C281" t="str">
            <v>Accrued Liabilities - Surviving Spouse</v>
          </cell>
          <cell r="D281">
            <v>-68128.320000000007</v>
          </cell>
          <cell r="F281">
            <v>0</v>
          </cell>
          <cell r="H281">
            <v>-68128.320000000007</v>
          </cell>
        </row>
        <row r="282">
          <cell r="A282">
            <v>242300</v>
          </cell>
          <cell r="C282" t="str">
            <v>Accrued Liab-Unclaimed Monies</v>
          </cell>
          <cell r="D282">
            <v>-738880.57</v>
          </cell>
          <cell r="F282">
            <v>-622422.66</v>
          </cell>
          <cell r="H282">
            <v>-116457.90999999992</v>
          </cell>
        </row>
        <row r="283">
          <cell r="A283">
            <v>242350</v>
          </cell>
          <cell r="C283" t="str">
            <v>Accrued Liab - Reliable Energy Trust Fu</v>
          </cell>
          <cell r="D283">
            <v>0</v>
          </cell>
          <cell r="F283">
            <v>-2238502.86</v>
          </cell>
          <cell r="H283">
            <v>2238502.86</v>
          </cell>
        </row>
        <row r="284">
          <cell r="A284">
            <v>242400</v>
          </cell>
          <cell r="C284" t="str">
            <v>Accrued Liab-AIP</v>
          </cell>
          <cell r="D284">
            <v>-2364572.9900000002</v>
          </cell>
          <cell r="F284">
            <v>0</v>
          </cell>
          <cell r="H284">
            <v>-2364572.9900000002</v>
          </cell>
        </row>
        <row r="285">
          <cell r="A285">
            <v>242415</v>
          </cell>
          <cell r="C285" t="str">
            <v>Accrued Severance</v>
          </cell>
          <cell r="D285">
            <v>-20234.07</v>
          </cell>
          <cell r="F285">
            <v>-1479294.18</v>
          </cell>
          <cell r="H285">
            <v>1459060.1099999999</v>
          </cell>
        </row>
        <row r="286">
          <cell r="A286">
            <v>242440</v>
          </cell>
          <cell r="C286" t="str">
            <v>Accrued Liability - Directors' Fees - C</v>
          </cell>
          <cell r="D286">
            <v>-104000</v>
          </cell>
          <cell r="F286">
            <v>-104000</v>
          </cell>
          <cell r="H286">
            <v>0</v>
          </cell>
        </row>
        <row r="287">
          <cell r="A287">
            <v>242442</v>
          </cell>
          <cell r="C287" t="str">
            <v>Accrued Liability - Term/Employ Contrac</v>
          </cell>
          <cell r="D287">
            <v>-171028.56</v>
          </cell>
          <cell r="F287">
            <v>-171028.56</v>
          </cell>
          <cell r="H287">
            <v>0</v>
          </cell>
        </row>
        <row r="288">
          <cell r="A288">
            <v>242449</v>
          </cell>
          <cell r="C288" t="str">
            <v>Accrued Liabilities - SERP - Current</v>
          </cell>
          <cell r="D288">
            <v>-1037181</v>
          </cell>
          <cell r="F288">
            <v>0</v>
          </cell>
          <cell r="H288">
            <v>-1037181</v>
          </cell>
        </row>
        <row r="289">
          <cell r="A289">
            <v>242461</v>
          </cell>
          <cell r="C289" t="str">
            <v>Accrued Liab-Safety Incentive</v>
          </cell>
          <cell r="D289">
            <v>-276422.14</v>
          </cell>
          <cell r="F289">
            <v>-304558.2</v>
          </cell>
          <cell r="H289">
            <v>28136.059999999998</v>
          </cell>
        </row>
        <row r="290">
          <cell r="A290">
            <v>242466</v>
          </cell>
          <cell r="C290" t="str">
            <v>Accrued Liability - Prime Rate Deferred</v>
          </cell>
          <cell r="D290">
            <v>-1191.1199999999999</v>
          </cell>
          <cell r="F290">
            <v>-5329.06</v>
          </cell>
          <cell r="H290">
            <v>4137.9400000000005</v>
          </cell>
        </row>
        <row r="291">
          <cell r="A291">
            <v>242467</v>
          </cell>
          <cell r="C291" t="str">
            <v>Accrued Liability - Executive</v>
          </cell>
          <cell r="D291">
            <v>-77566.289999999994</v>
          </cell>
          <cell r="F291">
            <v>0</v>
          </cell>
          <cell r="H291">
            <v>-77566.289999999994</v>
          </cell>
        </row>
        <row r="292">
          <cell r="A292">
            <v>242497</v>
          </cell>
          <cell r="C292" t="str">
            <v>Accrued Liab-Sick Pay Carryover</v>
          </cell>
          <cell r="D292">
            <v>-6491635.5</v>
          </cell>
          <cell r="F292">
            <v>-6102686.3399999999</v>
          </cell>
          <cell r="H292">
            <v>-388949.16000000015</v>
          </cell>
        </row>
        <row r="293">
          <cell r="A293">
            <v>242498</v>
          </cell>
          <cell r="C293" t="str">
            <v>Accrued Liab-Vacation</v>
          </cell>
          <cell r="D293">
            <v>-8910628.6799999997</v>
          </cell>
          <cell r="F293">
            <v>-8977717.7699999996</v>
          </cell>
          <cell r="H293">
            <v>67089.089999999851</v>
          </cell>
        </row>
        <row r="294">
          <cell r="A294">
            <v>242531</v>
          </cell>
          <cell r="C294" t="str">
            <v>Accrued Liab - Cashier's Account</v>
          </cell>
          <cell r="D294">
            <v>54764.72</v>
          </cell>
          <cell r="F294">
            <v>-187069.1</v>
          </cell>
          <cell r="H294">
            <v>241833.82</v>
          </cell>
        </row>
        <row r="295">
          <cell r="A295">
            <v>242540</v>
          </cell>
          <cell r="C295" t="str">
            <v>Accrued Liab-Unclaimed Monies - Escheat</v>
          </cell>
          <cell r="D295">
            <v>-227956.09</v>
          </cell>
          <cell r="F295">
            <v>-118883.85</v>
          </cell>
          <cell r="H295">
            <v>-109072.23999999999</v>
          </cell>
        </row>
        <row r="296">
          <cell r="A296">
            <v>242625</v>
          </cell>
          <cell r="C296" t="str">
            <v>Accrued Liab - Other Energy Purchased</v>
          </cell>
          <cell r="D296">
            <v>-29343.13</v>
          </cell>
          <cell r="F296">
            <v>-24897.22</v>
          </cell>
          <cell r="H296">
            <v>-4445.91</v>
          </cell>
        </row>
        <row r="297">
          <cell r="A297">
            <v>242634</v>
          </cell>
          <cell r="C297" t="str">
            <v>Accrued Liability - MD SOS Collateral</v>
          </cell>
          <cell r="D297">
            <v>-1200000</v>
          </cell>
          <cell r="F297">
            <v>0</v>
          </cell>
          <cell r="H297">
            <v>-1200000</v>
          </cell>
        </row>
        <row r="298">
          <cell r="A298">
            <v>242636</v>
          </cell>
          <cell r="C298" t="str">
            <v>Accrued Liability - Retail Supplier Dep</v>
          </cell>
          <cell r="D298">
            <v>-25494.37</v>
          </cell>
          <cell r="F298">
            <v>0</v>
          </cell>
          <cell r="H298">
            <v>-25494.37</v>
          </cell>
        </row>
        <row r="299">
          <cell r="A299">
            <v>253311</v>
          </cell>
          <cell r="C299" t="str">
            <v>Acc Liab - Deffered Comp ST - Active Pl</v>
          </cell>
          <cell r="D299">
            <v>-1000000</v>
          </cell>
          <cell r="F299">
            <v>0</v>
          </cell>
          <cell r="H299">
            <v>-1000000</v>
          </cell>
        </row>
        <row r="300">
          <cell r="A300">
            <v>253312</v>
          </cell>
          <cell r="C300" t="str">
            <v>Acc Liab - Deffered Comp ST -Old Plans</v>
          </cell>
          <cell r="D300">
            <v>-2670000</v>
          </cell>
          <cell r="F300">
            <v>0</v>
          </cell>
          <cell r="H300">
            <v>-2670000</v>
          </cell>
        </row>
        <row r="301">
          <cell r="A301" t="str">
            <v>Other</v>
          </cell>
          <cell r="D301">
            <v>-88903954.409999996</v>
          </cell>
          <cell r="F301">
            <v>-153570397.53</v>
          </cell>
          <cell r="H301">
            <v>64666443.120000005</v>
          </cell>
        </row>
        <row r="302">
          <cell r="H302">
            <v>0</v>
          </cell>
        </row>
        <row r="303">
          <cell r="A303" t="str">
            <v>Total</v>
          </cell>
          <cell r="D303">
            <v>-779442562.89999998</v>
          </cell>
          <cell r="F303">
            <v>-705627843.67999995</v>
          </cell>
          <cell r="H303">
            <v>-73814719.220000029</v>
          </cell>
        </row>
        <row r="304">
          <cell r="H304">
            <v>0</v>
          </cell>
        </row>
        <row r="305">
          <cell r="A305" t="str">
            <v>Deferred Credits</v>
          </cell>
          <cell r="H305">
            <v>0</v>
          </cell>
        </row>
        <row r="306">
          <cell r="H306">
            <v>0</v>
          </cell>
        </row>
        <row r="307">
          <cell r="A307">
            <v>254018</v>
          </cell>
          <cell r="C307" t="str">
            <v>Oth Regulated Liab - Removal Costs - FA</v>
          </cell>
          <cell r="D307">
            <v>-97642852</v>
          </cell>
          <cell r="F307">
            <v>-92672730</v>
          </cell>
          <cell r="H307">
            <v>-4970122</v>
          </cell>
        </row>
        <row r="308">
          <cell r="A308">
            <v>254170</v>
          </cell>
          <cell r="C308" t="str">
            <v>Other Reg Liabilities - Divestiture Gai</v>
          </cell>
          <cell r="D308">
            <v>-859629.22</v>
          </cell>
          <cell r="F308">
            <v>-859629.22</v>
          </cell>
          <cell r="H308">
            <v>0</v>
          </cell>
        </row>
        <row r="309">
          <cell r="A309">
            <v>254171</v>
          </cell>
          <cell r="C309" t="str">
            <v>Oth Reg Liab - Generation Procurement C</v>
          </cell>
          <cell r="D309">
            <v>0</v>
          </cell>
          <cell r="F309">
            <v>-4585355.78</v>
          </cell>
          <cell r="H309">
            <v>4585355.78</v>
          </cell>
        </row>
        <row r="310">
          <cell r="A310">
            <v>254172</v>
          </cell>
          <cell r="C310" t="str">
            <v>Oth Reg Liab - Generation Procurement C</v>
          </cell>
          <cell r="D310">
            <v>-912469.71</v>
          </cell>
          <cell r="F310">
            <v>-12519204.699999999</v>
          </cell>
          <cell r="H310">
            <v>11606734.989999998</v>
          </cell>
        </row>
        <row r="311">
          <cell r="A311">
            <v>254173</v>
          </cell>
          <cell r="C311" t="str">
            <v>Regulatory Liability - Mirant Settlemen</v>
          </cell>
          <cell r="D311">
            <v>-414611959.69</v>
          </cell>
          <cell r="F311">
            <v>0</v>
          </cell>
          <cell r="H311">
            <v>-414611959.69</v>
          </cell>
        </row>
        <row r="312">
          <cell r="A312">
            <v>254250</v>
          </cell>
          <cell r="C312" t="str">
            <v>Oth Reg Liab - Asset Retirement Obligat</v>
          </cell>
          <cell r="D312">
            <v>-362650</v>
          </cell>
          <cell r="F312">
            <v>-334022</v>
          </cell>
          <cell r="H312">
            <v>-28628</v>
          </cell>
        </row>
        <row r="313">
          <cell r="A313">
            <v>254521</v>
          </cell>
          <cell r="C313" t="str">
            <v>Other Reg Liability - MD SOS Transmissi</v>
          </cell>
          <cell r="D313">
            <v>0</v>
          </cell>
          <cell r="F313">
            <v>-771985.81</v>
          </cell>
          <cell r="H313">
            <v>771985.81</v>
          </cell>
        </row>
        <row r="314">
          <cell r="A314">
            <v>254524</v>
          </cell>
          <cell r="C314" t="str">
            <v>Other Regulatory Liability - DC SOS Ene</v>
          </cell>
          <cell r="D314">
            <v>0</v>
          </cell>
          <cell r="F314">
            <v>-1488632.82</v>
          </cell>
          <cell r="H314">
            <v>1488632.82</v>
          </cell>
        </row>
        <row r="315">
          <cell r="A315">
            <v>254525</v>
          </cell>
          <cell r="C315" t="str">
            <v>Other Reg Liability - DC SOS Transmissi</v>
          </cell>
          <cell r="D315">
            <v>-6724810.9000000004</v>
          </cell>
          <cell r="F315">
            <v>-3598988.88</v>
          </cell>
          <cell r="H315">
            <v>-3125822.0200000005</v>
          </cell>
        </row>
        <row r="316">
          <cell r="A316">
            <v>254900</v>
          </cell>
          <cell r="C316" t="str">
            <v>SFAS109-Regulatory Liability Electric</v>
          </cell>
          <cell r="D316">
            <v>-21351956.25</v>
          </cell>
          <cell r="F316">
            <v>-29931145.23</v>
          </cell>
          <cell r="H316">
            <v>8579188.9800000004</v>
          </cell>
        </row>
        <row r="317">
          <cell r="A317" t="str">
            <v>Regulatory Liabilities</v>
          </cell>
          <cell r="D317">
            <v>-542466327.76999998</v>
          </cell>
          <cell r="F317">
            <v>-146761694.44</v>
          </cell>
          <cell r="H317">
            <v>-395704633.32999998</v>
          </cell>
        </row>
        <row r="318">
          <cell r="H318">
            <v>0</v>
          </cell>
        </row>
        <row r="319">
          <cell r="A319">
            <v>190050</v>
          </cell>
          <cell r="C319" t="str">
            <v>Deferred Income Tax - Federal - NOL's -</v>
          </cell>
          <cell r="D319">
            <v>-2347112</v>
          </cell>
          <cell r="F319">
            <v>-2347112</v>
          </cell>
          <cell r="H319">
            <v>0</v>
          </cell>
        </row>
        <row r="320">
          <cell r="A320">
            <v>190100</v>
          </cell>
          <cell r="C320" t="str">
            <v>Def Inc Tx-Acc Fed Def Inc Tax</v>
          </cell>
          <cell r="D320">
            <v>180179403.84999999</v>
          </cell>
          <cell r="F320">
            <v>160135613.75</v>
          </cell>
          <cell r="H320">
            <v>20043790.099999994</v>
          </cell>
        </row>
        <row r="321">
          <cell r="A321">
            <v>190200</v>
          </cell>
          <cell r="C321" t="str">
            <v>Def Inc Tx-Acc State Def Inc Tax</v>
          </cell>
          <cell r="D321">
            <v>29813096.760000002</v>
          </cell>
          <cell r="F321">
            <v>24756794.379999999</v>
          </cell>
          <cell r="H321">
            <v>5056302.3800000027</v>
          </cell>
        </row>
        <row r="322">
          <cell r="A322">
            <v>190250</v>
          </cell>
          <cell r="C322" t="str">
            <v>Deferred Income Tax Asset-State-NOL</v>
          </cell>
          <cell r="D322">
            <v>6706033</v>
          </cell>
          <cell r="F322">
            <v>6706033</v>
          </cell>
          <cell r="H322">
            <v>0</v>
          </cell>
        </row>
        <row r="323">
          <cell r="A323">
            <v>190500</v>
          </cell>
          <cell r="C323" t="str">
            <v>Def Inc Tx-Investment Tax Credit-Federa</v>
          </cell>
          <cell r="D323">
            <v>10975244.65</v>
          </cell>
          <cell r="F323">
            <v>17260169</v>
          </cell>
          <cell r="H323">
            <v>-6284924.3499999996</v>
          </cell>
        </row>
        <row r="324">
          <cell r="A324">
            <v>190510</v>
          </cell>
          <cell r="C324" t="str">
            <v>Def Inc Tx-Investment Tax Credit-State</v>
          </cell>
          <cell r="D324">
            <v>760159.91</v>
          </cell>
          <cell r="F324">
            <v>0</v>
          </cell>
          <cell r="H324">
            <v>760159.91</v>
          </cell>
        </row>
        <row r="325">
          <cell r="A325">
            <v>282100</v>
          </cell>
          <cell r="C325" t="str">
            <v>Def Inc Tx - Property - Fed Def Inc Tax</v>
          </cell>
          <cell r="D325">
            <v>-651821030.90999997</v>
          </cell>
          <cell r="F325">
            <v>-638459778.74000001</v>
          </cell>
          <cell r="H325">
            <v>-13361252.169999957</v>
          </cell>
        </row>
        <row r="326">
          <cell r="A326">
            <v>282200</v>
          </cell>
          <cell r="C326" t="str">
            <v>Def Inc Tx - Property - State Def Inc T</v>
          </cell>
          <cell r="D326">
            <v>-82132945.480000004</v>
          </cell>
          <cell r="F326">
            <v>-86651572.480000004</v>
          </cell>
          <cell r="H326">
            <v>4518627</v>
          </cell>
        </row>
        <row r="327">
          <cell r="A327">
            <v>283100</v>
          </cell>
          <cell r="C327" t="str">
            <v>Def Inc Tax-Other-Fed Def Inc Tax</v>
          </cell>
          <cell r="D327">
            <v>-96125984.049999997</v>
          </cell>
          <cell r="F327">
            <v>-104099069.86</v>
          </cell>
          <cell r="H327">
            <v>7973085.8100000024</v>
          </cell>
        </row>
        <row r="328">
          <cell r="A328">
            <v>283150</v>
          </cell>
          <cell r="C328" t="str">
            <v>Deferred Inc Tax Liab-Federal-UTPs/Eff</v>
          </cell>
          <cell r="D328">
            <v>-2692242.49</v>
          </cell>
          <cell r="F328">
            <v>0</v>
          </cell>
          <cell r="H328">
            <v>-2692242.49</v>
          </cell>
        </row>
        <row r="329">
          <cell r="A329">
            <v>283200</v>
          </cell>
          <cell r="C329" t="str">
            <v>Def Inc Tax-Other-State Def Inc Tax</v>
          </cell>
          <cell r="D329">
            <v>-12507526.939999999</v>
          </cell>
          <cell r="F329">
            <v>-13550916.48</v>
          </cell>
          <cell r="H329">
            <v>1043389.540000001</v>
          </cell>
        </row>
        <row r="330">
          <cell r="A330" t="str">
            <v>Deferred Income Taxes</v>
          </cell>
          <cell r="D330">
            <v>-619192903.70000005</v>
          </cell>
          <cell r="F330">
            <v>-636249839.42999995</v>
          </cell>
          <cell r="H330">
            <v>17056935.7299999</v>
          </cell>
        </row>
        <row r="331">
          <cell r="H331">
            <v>0</v>
          </cell>
        </row>
        <row r="332">
          <cell r="A332">
            <v>255000</v>
          </cell>
          <cell r="C332" t="str">
            <v>Accumulated Deferred Investment Tax Cre</v>
          </cell>
          <cell r="D332">
            <v>-12491863</v>
          </cell>
          <cell r="F332">
            <v>-14526247</v>
          </cell>
          <cell r="H332">
            <v>2034384</v>
          </cell>
        </row>
        <row r="333">
          <cell r="A333" t="str">
            <v>Deferred Investment Tax Credit</v>
          </cell>
          <cell r="D333">
            <v>-12491863</v>
          </cell>
          <cell r="F333">
            <v>-14526247</v>
          </cell>
          <cell r="H333">
            <v>2034384</v>
          </cell>
        </row>
        <row r="334">
          <cell r="H334">
            <v>0</v>
          </cell>
        </row>
        <row r="335">
          <cell r="A335">
            <v>283700</v>
          </cell>
          <cell r="C335" t="str">
            <v>FIN48 Federal Interest &amp; Tax Liability-</v>
          </cell>
          <cell r="D335">
            <v>-900151.39</v>
          </cell>
          <cell r="F335">
            <v>0</v>
          </cell>
          <cell r="H335">
            <v>-900151.39</v>
          </cell>
        </row>
        <row r="336">
          <cell r="A336">
            <v>283750</v>
          </cell>
          <cell r="C336" t="str">
            <v>FIN48 State Interest &amp; Tax Liability-No</v>
          </cell>
          <cell r="D336">
            <v>-578286.04</v>
          </cell>
          <cell r="F336">
            <v>0</v>
          </cell>
          <cell r="H336">
            <v>-578286.04</v>
          </cell>
        </row>
        <row r="337">
          <cell r="A337" t="str">
            <v>Interest &amp; Tax Liab-Uncertain Tax Positions</v>
          </cell>
          <cell r="D337">
            <v>-1478437.43</v>
          </cell>
          <cell r="F337">
            <v>0</v>
          </cell>
          <cell r="H337">
            <v>-1478437.43</v>
          </cell>
        </row>
        <row r="338">
          <cell r="H338">
            <v>0</v>
          </cell>
        </row>
        <row r="339">
          <cell r="A339">
            <v>283710</v>
          </cell>
          <cell r="C339" t="str">
            <v>Federal Income Tax Payable-Non-current</v>
          </cell>
          <cell r="D339">
            <v>-104822715.04000001</v>
          </cell>
          <cell r="F339">
            <v>0</v>
          </cell>
          <cell r="H339">
            <v>-104822715.04000001</v>
          </cell>
        </row>
        <row r="340">
          <cell r="A340">
            <v>283760</v>
          </cell>
          <cell r="C340" t="str">
            <v>State Income Tax Payable-Non-current</v>
          </cell>
          <cell r="D340">
            <v>-24175915.789999999</v>
          </cell>
          <cell r="F340">
            <v>0</v>
          </cell>
          <cell r="H340">
            <v>-24175915.789999999</v>
          </cell>
        </row>
        <row r="341">
          <cell r="A341" t="str">
            <v>Income Taxes Payable</v>
          </cell>
          <cell r="D341">
            <v>-128998630.83</v>
          </cell>
          <cell r="F341">
            <v>0</v>
          </cell>
          <cell r="H341">
            <v>-128998630.83</v>
          </cell>
        </row>
        <row r="342">
          <cell r="H342">
            <v>0</v>
          </cell>
        </row>
        <row r="343">
          <cell r="A343">
            <v>242212</v>
          </cell>
          <cell r="C343" t="str">
            <v>Accrued Liabilities - Workers Comp - Lo</v>
          </cell>
          <cell r="D343">
            <v>-22480988.789999999</v>
          </cell>
          <cell r="F343">
            <v>-19872171.109999999</v>
          </cell>
          <cell r="H343">
            <v>-2608817.6799999997</v>
          </cell>
        </row>
        <row r="344">
          <cell r="A344">
            <v>242218</v>
          </cell>
          <cell r="C344" t="str">
            <v>Accrued Liabilities - Disability - Long</v>
          </cell>
          <cell r="D344">
            <v>-9672665.5999999996</v>
          </cell>
          <cell r="F344">
            <v>-10479383.970000001</v>
          </cell>
          <cell r="H344">
            <v>806718.37000000104</v>
          </cell>
        </row>
        <row r="345">
          <cell r="A345">
            <v>242219</v>
          </cell>
          <cell r="C345" t="str">
            <v>Accrued Liabilities - Surviving Spouse</v>
          </cell>
          <cell r="D345">
            <v>-665385.68000000005</v>
          </cell>
          <cell r="F345">
            <v>0</v>
          </cell>
          <cell r="H345">
            <v>-665385.68000000005</v>
          </cell>
        </row>
        <row r="346">
          <cell r="A346">
            <v>242410</v>
          </cell>
          <cell r="C346" t="str">
            <v>Acc Liab - Deffered Comp-Old Plans</v>
          </cell>
          <cell r="D346">
            <v>0</v>
          </cell>
          <cell r="F346">
            <v>-18886044.149999999</v>
          </cell>
          <cell r="H346">
            <v>18886044.149999999</v>
          </cell>
        </row>
        <row r="347">
          <cell r="A347">
            <v>242441</v>
          </cell>
          <cell r="C347" t="str">
            <v>Accrued Liability - Directors' Fees - L</v>
          </cell>
          <cell r="D347">
            <v>-254393</v>
          </cell>
          <cell r="F347">
            <v>-339363</v>
          </cell>
          <cell r="H347">
            <v>84970</v>
          </cell>
        </row>
        <row r="348">
          <cell r="A348">
            <v>242443</v>
          </cell>
          <cell r="C348" t="str">
            <v>Accrued Liability - Term/Employ Contrac</v>
          </cell>
          <cell r="D348">
            <v>-1794812.06</v>
          </cell>
          <cell r="F348">
            <v>-1905605.06</v>
          </cell>
          <cell r="H348">
            <v>110793</v>
          </cell>
        </row>
        <row r="349">
          <cell r="A349">
            <v>242450</v>
          </cell>
          <cell r="C349" t="str">
            <v>Accrued Liab-SERP</v>
          </cell>
          <cell r="D349">
            <v>-1631828.12</v>
          </cell>
          <cell r="F349">
            <v>-1703013.88</v>
          </cell>
          <cell r="H349">
            <v>71185.759999999776</v>
          </cell>
        </row>
        <row r="350">
          <cell r="A350">
            <v>242465</v>
          </cell>
          <cell r="C350" t="str">
            <v>Acc Liab - Deffered Comp - Active Plans</v>
          </cell>
          <cell r="D350">
            <v>0</v>
          </cell>
          <cell r="F350">
            <v>-5037706.41</v>
          </cell>
          <cell r="H350">
            <v>5037706.41</v>
          </cell>
        </row>
        <row r="351">
          <cell r="A351">
            <v>242611</v>
          </cell>
          <cell r="C351" t="str">
            <v>Accrued Liab-OPEB</v>
          </cell>
          <cell r="D351">
            <v>-57351015.609999999</v>
          </cell>
          <cell r="F351">
            <v>-69320331.790000007</v>
          </cell>
          <cell r="H351">
            <v>11969316.180000007</v>
          </cell>
        </row>
        <row r="352">
          <cell r="A352">
            <v>253000</v>
          </cell>
          <cell r="C352" t="str">
            <v>Deferred Credits-General</v>
          </cell>
          <cell r="D352">
            <v>-1026282.3</v>
          </cell>
          <cell r="F352">
            <v>-1023299.89</v>
          </cell>
          <cell r="H352">
            <v>-2982.4100000000326</v>
          </cell>
        </row>
        <row r="353">
          <cell r="A353">
            <v>253020</v>
          </cell>
          <cell r="C353" t="str">
            <v>Deferred Credit-Customer Deposits-Spec</v>
          </cell>
          <cell r="D353">
            <v>-55200.03</v>
          </cell>
          <cell r="F353">
            <v>-75299.850000000006</v>
          </cell>
          <cell r="H353">
            <v>20099.820000000007</v>
          </cell>
        </row>
        <row r="354">
          <cell r="A354">
            <v>253021</v>
          </cell>
          <cell r="C354" t="str">
            <v>Deferred Credit-Customer Deposits-Spec</v>
          </cell>
          <cell r="D354">
            <v>-3038085.4</v>
          </cell>
          <cell r="F354">
            <v>-918205.7</v>
          </cell>
          <cell r="H354">
            <v>-2119879.7000000002</v>
          </cell>
        </row>
        <row r="355">
          <cell r="A355">
            <v>253023</v>
          </cell>
          <cell r="C355" t="str">
            <v>Deferred Credit-Special Billing</v>
          </cell>
          <cell r="D355">
            <v>-783336.1</v>
          </cell>
          <cell r="F355">
            <v>-640206.6</v>
          </cell>
          <cell r="H355">
            <v>-143129.5</v>
          </cell>
        </row>
        <row r="356">
          <cell r="A356">
            <v>253028</v>
          </cell>
          <cell r="C356" t="str">
            <v>Deferred Credit - CIS Transfers</v>
          </cell>
          <cell r="D356">
            <v>-27398.240000000002</v>
          </cell>
          <cell r="F356">
            <v>-49399.65</v>
          </cell>
          <cell r="H356">
            <v>22001.41</v>
          </cell>
        </row>
        <row r="357">
          <cell r="A357">
            <v>253307</v>
          </cell>
          <cell r="C357" t="str">
            <v>Acc Liab - Deffered Comp LT -Old Plans</v>
          </cell>
          <cell r="D357">
            <v>-18678940.559999999</v>
          </cell>
          <cell r="F357">
            <v>0</v>
          </cell>
          <cell r="H357">
            <v>-18678940.559999999</v>
          </cell>
        </row>
        <row r="358">
          <cell r="A358">
            <v>253310</v>
          </cell>
          <cell r="C358" t="str">
            <v>Acc Liab - Deffered Comp LT - Active Pl</v>
          </cell>
          <cell r="D358">
            <v>-3430219.72</v>
          </cell>
          <cell r="F358">
            <v>0</v>
          </cell>
          <cell r="H358">
            <v>-3430219.72</v>
          </cell>
        </row>
        <row r="359">
          <cell r="A359">
            <v>253370</v>
          </cell>
          <cell r="C359" t="str">
            <v>Deferred Credits - Safe Harbor Leases</v>
          </cell>
          <cell r="D359">
            <v>0</v>
          </cell>
          <cell r="F359">
            <v>-188133.39</v>
          </cell>
          <cell r="H359">
            <v>188133.39</v>
          </cell>
        </row>
        <row r="360">
          <cell r="A360">
            <v>254000</v>
          </cell>
          <cell r="C360" t="str">
            <v>Other Long-Term Liabilities</v>
          </cell>
          <cell r="D360">
            <v>-2750000</v>
          </cell>
          <cell r="F360">
            <v>-2500000</v>
          </cell>
          <cell r="H360">
            <v>-250000</v>
          </cell>
        </row>
        <row r="361">
          <cell r="A361">
            <v>254201</v>
          </cell>
          <cell r="C361" t="str">
            <v>Accrued Liab-Environmental Site Exp - L</v>
          </cell>
          <cell r="D361">
            <v>-2352000.27</v>
          </cell>
          <cell r="F361">
            <v>-2415000.27</v>
          </cell>
          <cell r="H361">
            <v>63000</v>
          </cell>
        </row>
        <row r="362">
          <cell r="A362" t="str">
            <v>Other</v>
          </cell>
          <cell r="D362">
            <v>-125992551.48</v>
          </cell>
          <cell r="F362">
            <v>-135353164.72</v>
          </cell>
          <cell r="H362">
            <v>9360613.2399999946</v>
          </cell>
        </row>
        <row r="363">
          <cell r="H363">
            <v>0</v>
          </cell>
        </row>
        <row r="364">
          <cell r="A364" t="str">
            <v>Total</v>
          </cell>
          <cell r="D364">
            <v>-1430620714.21</v>
          </cell>
          <cell r="F364">
            <v>-932890945.59000003</v>
          </cell>
          <cell r="H364">
            <v>-497729768.62</v>
          </cell>
        </row>
        <row r="365">
          <cell r="H365">
            <v>0</v>
          </cell>
        </row>
        <row r="366">
          <cell r="A366" t="str">
            <v>Long-term Debt</v>
          </cell>
          <cell r="H366">
            <v>0</v>
          </cell>
        </row>
        <row r="367">
          <cell r="H367">
            <v>0</v>
          </cell>
        </row>
        <row r="368">
          <cell r="A368">
            <v>221100</v>
          </cell>
          <cell r="C368" t="str">
            <v>Bonds Payable - First Mortage Bonds</v>
          </cell>
          <cell r="D368">
            <v>-1063800000</v>
          </cell>
          <cell r="F368">
            <v>-941800000</v>
          </cell>
          <cell r="H368">
            <v>-122000000</v>
          </cell>
        </row>
        <row r="369">
          <cell r="A369">
            <v>224200</v>
          </cell>
          <cell r="C369" t="str">
            <v>Other Long-Term Debt - Medium Term Note</v>
          </cell>
          <cell r="D369">
            <v>-50000000</v>
          </cell>
          <cell r="F369">
            <v>-50000000</v>
          </cell>
          <cell r="H369">
            <v>0</v>
          </cell>
        </row>
        <row r="370">
          <cell r="A370">
            <v>226000</v>
          </cell>
          <cell r="C370" t="str">
            <v>Bonds Payable-Unamortized Discount - Ge</v>
          </cell>
          <cell r="D370">
            <v>2101919.0499999998</v>
          </cell>
          <cell r="F370">
            <v>1825500.41</v>
          </cell>
          <cell r="H370">
            <v>276418.6399999999</v>
          </cell>
        </row>
        <row r="371">
          <cell r="A371" t="str">
            <v>Long-term Debt</v>
          </cell>
          <cell r="D371">
            <v>-1111698080.95</v>
          </cell>
          <cell r="F371">
            <v>-989974499.59000003</v>
          </cell>
          <cell r="H371">
            <v>-121723581.36000001</v>
          </cell>
        </row>
        <row r="372">
          <cell r="H372">
            <v>0</v>
          </cell>
        </row>
        <row r="373">
          <cell r="A373">
            <v>227000</v>
          </cell>
          <cell r="C373" t="str">
            <v>Obligations under Capital Lease - Noncu</v>
          </cell>
          <cell r="D373">
            <v>-105179418.7</v>
          </cell>
          <cell r="F373">
            <v>-110930327.95999999</v>
          </cell>
          <cell r="H373">
            <v>5750909.2599999905</v>
          </cell>
        </row>
        <row r="374">
          <cell r="A374" t="str">
            <v>Long-term Capital Lease Obligation</v>
          </cell>
          <cell r="D374">
            <v>-105179418.7</v>
          </cell>
          <cell r="F374">
            <v>-110930327.95999999</v>
          </cell>
          <cell r="H374">
            <v>5750909.2599999905</v>
          </cell>
        </row>
        <row r="375">
          <cell r="H375">
            <v>0</v>
          </cell>
        </row>
        <row r="376">
          <cell r="A376" t="str">
            <v>Long-term Debt</v>
          </cell>
          <cell r="D376">
            <v>-1216877499.6500001</v>
          </cell>
          <cell r="F376">
            <v>-1100904827.55</v>
          </cell>
          <cell r="H376">
            <v>-115972672.10000014</v>
          </cell>
        </row>
        <row r="377">
          <cell r="H377">
            <v>0</v>
          </cell>
        </row>
        <row r="378">
          <cell r="A378" t="str">
            <v>Capitalization</v>
          </cell>
          <cell r="H378">
            <v>0</v>
          </cell>
        </row>
        <row r="379">
          <cell r="H379">
            <v>0</v>
          </cell>
        </row>
        <row r="380">
          <cell r="A380">
            <v>201000</v>
          </cell>
          <cell r="C380" t="str">
            <v>Common Stock Issued - General</v>
          </cell>
          <cell r="D380">
            <v>-1</v>
          </cell>
          <cell r="F380">
            <v>-1</v>
          </cell>
          <cell r="H380">
            <v>0</v>
          </cell>
        </row>
        <row r="381">
          <cell r="A381" t="str">
            <v>Common Stock</v>
          </cell>
          <cell r="D381">
            <v>-1</v>
          </cell>
          <cell r="F381">
            <v>-1</v>
          </cell>
          <cell r="H381">
            <v>0</v>
          </cell>
        </row>
        <row r="382">
          <cell r="H382">
            <v>0</v>
          </cell>
        </row>
        <row r="383">
          <cell r="A383">
            <v>207000</v>
          </cell>
          <cell r="C383" t="str">
            <v>Premium on Capital Stock - General</v>
          </cell>
          <cell r="D383">
            <v>-8100463.75</v>
          </cell>
          <cell r="F383">
            <v>-8100463.75</v>
          </cell>
          <cell r="H383">
            <v>0</v>
          </cell>
        </row>
        <row r="384">
          <cell r="A384">
            <v>209000</v>
          </cell>
          <cell r="C384" t="str">
            <v>Reduction in Par Value - Capital Stock</v>
          </cell>
          <cell r="D384">
            <v>-496274514</v>
          </cell>
          <cell r="F384">
            <v>-496274514</v>
          </cell>
          <cell r="H384">
            <v>0</v>
          </cell>
        </row>
        <row r="385">
          <cell r="A385">
            <v>210000</v>
          </cell>
          <cell r="C385" t="str">
            <v>Gain on Resale or Canc of Reacq Cap Stk</v>
          </cell>
          <cell r="D385">
            <v>-2509762.16</v>
          </cell>
          <cell r="F385">
            <v>-2509762.16</v>
          </cell>
          <cell r="H385">
            <v>0</v>
          </cell>
        </row>
        <row r="386">
          <cell r="A386">
            <v>211000</v>
          </cell>
          <cell r="C386" t="str">
            <v>Paid in Capital - General</v>
          </cell>
          <cell r="D386">
            <v>-26521141.920000002</v>
          </cell>
          <cell r="F386">
            <v>-24639705.920000002</v>
          </cell>
          <cell r="H386">
            <v>-1881436</v>
          </cell>
        </row>
        <row r="387">
          <cell r="A387" t="str">
            <v>Additional P.I.C. Common</v>
          </cell>
          <cell r="D387">
            <v>-533405881.82999998</v>
          </cell>
          <cell r="F387">
            <v>-531524445.82999998</v>
          </cell>
          <cell r="H387">
            <v>-1881436</v>
          </cell>
        </row>
        <row r="388">
          <cell r="H388">
            <v>0</v>
          </cell>
        </row>
        <row r="389">
          <cell r="A389">
            <v>216000</v>
          </cell>
          <cell r="C389" t="str">
            <v>Unappropriated Retained Earnings - Gene</v>
          </cell>
          <cell r="D389">
            <v>-557829996.01999998</v>
          </cell>
          <cell r="F389">
            <v>-574325376.19000006</v>
          </cell>
          <cell r="H389">
            <v>16495380.170000076</v>
          </cell>
        </row>
        <row r="390">
          <cell r="A390">
            <v>216200</v>
          </cell>
          <cell r="C390" t="str">
            <v>Dividends Declared-Common Stock</v>
          </cell>
          <cell r="D390">
            <v>86000000</v>
          </cell>
          <cell r="F390">
            <v>99000000</v>
          </cell>
          <cell r="H390">
            <v>-13000000</v>
          </cell>
        </row>
        <row r="391">
          <cell r="A391" t="str">
            <v>Retained Earnings</v>
          </cell>
          <cell r="D391">
            <v>-471829996.01999998</v>
          </cell>
          <cell r="F391">
            <v>-475325376.19</v>
          </cell>
          <cell r="H391">
            <v>3495380.1700000167</v>
          </cell>
        </row>
        <row r="392">
          <cell r="H392">
            <v>0</v>
          </cell>
        </row>
        <row r="393">
          <cell r="A393" t="str">
            <v>Total</v>
          </cell>
          <cell r="D393">
            <v>-1005235878.85</v>
          </cell>
          <cell r="F393">
            <v>-1006849823.02</v>
          </cell>
          <cell r="H393">
            <v>1613944.1699999571</v>
          </cell>
        </row>
        <row r="394">
          <cell r="H394">
            <v>0</v>
          </cell>
        </row>
        <row r="395">
          <cell r="A395" t="str">
            <v>Profit for the Period</v>
          </cell>
          <cell r="D395">
            <v>-125058872.2</v>
          </cell>
          <cell r="F395">
            <v>-84343909.959999993</v>
          </cell>
          <cell r="H395">
            <v>-40714962.24000001</v>
          </cell>
        </row>
        <row r="396">
          <cell r="H396">
            <v>0</v>
          </cell>
        </row>
        <row r="397">
          <cell r="A397" t="str">
            <v>Total Capitalization &amp; Liabilities</v>
          </cell>
          <cell r="D397">
            <v>-4557235527.8100004</v>
          </cell>
          <cell r="F397">
            <v>-3830617349.8000002</v>
          </cell>
          <cell r="H397">
            <v>-726618178.01000023</v>
          </cell>
        </row>
        <row r="398">
          <cell r="A398" t="str">
            <v>===================================</v>
          </cell>
          <cell r="H398">
            <v>0</v>
          </cell>
        </row>
        <row r="399">
          <cell r="H399">
            <v>0</v>
          </cell>
        </row>
        <row r="400">
          <cell r="H400">
            <v>0</v>
          </cell>
        </row>
        <row r="401">
          <cell r="H401">
            <v>0</v>
          </cell>
        </row>
        <row r="402">
          <cell r="H402">
            <v>0</v>
          </cell>
        </row>
        <row r="403">
          <cell r="H403">
            <v>0</v>
          </cell>
        </row>
        <row r="404">
          <cell r="H404">
            <v>0</v>
          </cell>
        </row>
        <row r="405">
          <cell r="B405" t="str">
            <v>****</v>
          </cell>
          <cell r="G405" t="str">
            <v>Amounts in</v>
          </cell>
          <cell r="H405">
            <v>0</v>
          </cell>
        </row>
        <row r="406">
          <cell r="H406">
            <v>0</v>
          </cell>
        </row>
        <row r="407">
          <cell r="A407" t="str">
            <v>Texts</v>
          </cell>
          <cell r="E407" t="str">
            <v>Comparison period</v>
          </cell>
          <cell r="H407">
            <v>0</v>
          </cell>
        </row>
        <row r="408">
          <cell r="E408" t="str">
            <v>(01.2006-12.2006)</v>
          </cell>
          <cell r="H408">
            <v>0</v>
          </cell>
        </row>
        <row r="409">
          <cell r="H409">
            <v>0</v>
          </cell>
        </row>
        <row r="410">
          <cell r="A410" t="str">
            <v>Income Statement</v>
          </cell>
          <cell r="H410">
            <v>0</v>
          </cell>
        </row>
        <row r="411">
          <cell r="A411" t="str">
            <v>================</v>
          </cell>
          <cell r="H411">
            <v>0</v>
          </cell>
        </row>
        <row r="412">
          <cell r="A412" t="str">
            <v>Operating Revenue</v>
          </cell>
          <cell r="H412">
            <v>0</v>
          </cell>
        </row>
        <row r="413">
          <cell r="H413">
            <v>0</v>
          </cell>
        </row>
        <row r="414">
          <cell r="A414">
            <v>511100</v>
          </cell>
          <cell r="C414" t="str">
            <v>Rev-Residential Electric</v>
          </cell>
          <cell r="D414">
            <v>-1028026029.6</v>
          </cell>
          <cell r="F414">
            <v>-845553256.47000003</v>
          </cell>
          <cell r="H414">
            <v>-182472773.13</v>
          </cell>
        </row>
        <row r="415">
          <cell r="A415">
            <v>511150</v>
          </cell>
          <cell r="C415" t="str">
            <v>Rev-Residential Electric-Administrative</v>
          </cell>
          <cell r="D415">
            <v>13365583.810000001</v>
          </cell>
          <cell r="F415">
            <v>13498807.960000001</v>
          </cell>
          <cell r="H415">
            <v>-133224.15000000037</v>
          </cell>
        </row>
        <row r="416">
          <cell r="A416">
            <v>511175</v>
          </cell>
          <cell r="C416" t="str">
            <v>Rev-Residential-Procurement Cost Adjust</v>
          </cell>
          <cell r="D416">
            <v>-19012212.440000001</v>
          </cell>
          <cell r="F416">
            <v>-22673628.57</v>
          </cell>
          <cell r="H416">
            <v>3661416.129999999</v>
          </cell>
        </row>
        <row r="417">
          <cell r="A417">
            <v>511220</v>
          </cell>
          <cell r="C417" t="str">
            <v>Revenue - Bill Stabilization Adjustment</v>
          </cell>
          <cell r="D417">
            <v>-3282534.07</v>
          </cell>
          <cell r="F417">
            <v>0</v>
          </cell>
          <cell r="H417">
            <v>-3282534.07</v>
          </cell>
        </row>
        <row r="418">
          <cell r="A418">
            <v>511300</v>
          </cell>
          <cell r="C418" t="str">
            <v>Rev-Res Elec - Unbilled</v>
          </cell>
          <cell r="D418">
            <v>-1658905</v>
          </cell>
          <cell r="F418">
            <v>-1247086.42</v>
          </cell>
          <cell r="H418">
            <v>-411818.58000000007</v>
          </cell>
        </row>
        <row r="419">
          <cell r="A419">
            <v>511320</v>
          </cell>
          <cell r="C419" t="str">
            <v>Rev - Bill Stabilization Adjustment - U</v>
          </cell>
          <cell r="D419">
            <v>-3402598.13</v>
          </cell>
          <cell r="F419">
            <v>0</v>
          </cell>
          <cell r="H419">
            <v>-3402598.13</v>
          </cell>
        </row>
        <row r="420">
          <cell r="A420">
            <v>511350</v>
          </cell>
          <cell r="C420" t="str">
            <v>Rev-Res Elec - Administrative Credit -</v>
          </cell>
          <cell r="D420">
            <v>-18876</v>
          </cell>
          <cell r="F420">
            <v>-265214.13</v>
          </cell>
          <cell r="H420">
            <v>246338.13</v>
          </cell>
        </row>
        <row r="421">
          <cell r="A421">
            <v>511375</v>
          </cell>
          <cell r="C421" t="str">
            <v>Rev-Res Elec-Procurement Cost Adj - SOS</v>
          </cell>
          <cell r="D421">
            <v>-73903</v>
          </cell>
          <cell r="F421">
            <v>-266187.40000000002</v>
          </cell>
          <cell r="H421">
            <v>192284.40000000002</v>
          </cell>
        </row>
        <row r="422">
          <cell r="A422">
            <v>512100</v>
          </cell>
          <cell r="C422" t="str">
            <v>Rev-Comm Elec - Secondary</v>
          </cell>
          <cell r="D422">
            <v>-997054934.60000002</v>
          </cell>
          <cell r="F422">
            <v>-1232725890.55</v>
          </cell>
          <cell r="H422">
            <v>235670955.94999993</v>
          </cell>
        </row>
        <row r="423">
          <cell r="A423">
            <v>512150</v>
          </cell>
          <cell r="C423" t="str">
            <v>Rev-Comm Electric-Administrative Credit</v>
          </cell>
          <cell r="D423">
            <v>8481860.4199999999</v>
          </cell>
          <cell r="F423">
            <v>28937308.02</v>
          </cell>
          <cell r="H423">
            <v>-20455447.600000001</v>
          </cell>
        </row>
        <row r="424">
          <cell r="A424">
            <v>512175</v>
          </cell>
          <cell r="C424" t="str">
            <v>Rev-Commercial-Procurement Cost Adjustm</v>
          </cell>
          <cell r="D424">
            <v>5948951.0599999996</v>
          </cell>
          <cell r="F424">
            <v>-10400126.970000001</v>
          </cell>
          <cell r="H424">
            <v>16349078.030000001</v>
          </cell>
        </row>
        <row r="425">
          <cell r="A425">
            <v>512200</v>
          </cell>
          <cell r="C425" t="str">
            <v>Rev-Comm Elec - Primary</v>
          </cell>
          <cell r="D425">
            <v>-1606.44</v>
          </cell>
          <cell r="F425">
            <v>-8096.3</v>
          </cell>
          <cell r="H425">
            <v>6489.8600000000006</v>
          </cell>
        </row>
        <row r="426">
          <cell r="A426">
            <v>512400</v>
          </cell>
          <cell r="C426" t="str">
            <v>Rev-Comm Elec Unbilled</v>
          </cell>
          <cell r="D426">
            <v>5670277</v>
          </cell>
          <cell r="F426">
            <v>14210774.289999999</v>
          </cell>
          <cell r="H426">
            <v>-8540497.2899999991</v>
          </cell>
        </row>
        <row r="427">
          <cell r="A427">
            <v>512450</v>
          </cell>
          <cell r="C427" t="str">
            <v>Rev-Comm Elec-Administrative Credit - U</v>
          </cell>
          <cell r="D427">
            <v>-197154</v>
          </cell>
          <cell r="F427">
            <v>-229689.98</v>
          </cell>
          <cell r="H427">
            <v>32535.98000000001</v>
          </cell>
        </row>
        <row r="428">
          <cell r="A428">
            <v>512475</v>
          </cell>
          <cell r="C428" t="str">
            <v>Rev-Comm Elec-Procurement Cost Adj-SOS-</v>
          </cell>
          <cell r="D428">
            <v>-171491</v>
          </cell>
          <cell r="F428">
            <v>-1646974.36</v>
          </cell>
          <cell r="H428">
            <v>1475483.36</v>
          </cell>
        </row>
        <row r="429">
          <cell r="A429">
            <v>514100</v>
          </cell>
          <cell r="C429" t="str">
            <v>Rev-Pub St&amp;Hy Elec</v>
          </cell>
          <cell r="D429">
            <v>-6103022.3499999996</v>
          </cell>
          <cell r="F429">
            <v>-5341458.3899999997</v>
          </cell>
          <cell r="H429">
            <v>-761563.96</v>
          </cell>
        </row>
        <row r="430">
          <cell r="A430">
            <v>514150</v>
          </cell>
          <cell r="C430" t="str">
            <v>Rev-Pub St&amp;Hy Elec - Administrative Cre</v>
          </cell>
          <cell r="D430">
            <v>244872.05</v>
          </cell>
          <cell r="F430">
            <v>0</v>
          </cell>
          <cell r="H430">
            <v>244872.05</v>
          </cell>
        </row>
        <row r="431">
          <cell r="A431">
            <v>514175</v>
          </cell>
          <cell r="C431" t="str">
            <v>Rev-Pub St&amp;Hy Elec-Procurement Cost Adj</v>
          </cell>
          <cell r="D431">
            <v>38055</v>
          </cell>
          <cell r="F431">
            <v>0</v>
          </cell>
          <cell r="H431">
            <v>38055</v>
          </cell>
        </row>
        <row r="432">
          <cell r="A432">
            <v>514400</v>
          </cell>
          <cell r="C432" t="str">
            <v>Rev-Street Light Service</v>
          </cell>
          <cell r="D432">
            <v>-7203579.7800000003</v>
          </cell>
          <cell r="F432">
            <v>-6945036.9100000001</v>
          </cell>
          <cell r="H432">
            <v>-258542.87000000011</v>
          </cell>
        </row>
        <row r="433">
          <cell r="A433">
            <v>516050</v>
          </cell>
          <cell r="C433" t="str">
            <v>Rev-Railroad &amp; Traction Service</v>
          </cell>
          <cell r="D433">
            <v>-13113083.35</v>
          </cell>
          <cell r="F433">
            <v>-12574149.6</v>
          </cell>
          <cell r="H433">
            <v>-538933.75</v>
          </cell>
        </row>
        <row r="434">
          <cell r="A434">
            <v>516100</v>
          </cell>
          <cell r="C434" t="str">
            <v>Rev-Resale Generation</v>
          </cell>
          <cell r="D434">
            <v>-1125112.06</v>
          </cell>
          <cell r="F434">
            <v>-529990.9</v>
          </cell>
          <cell r="H434">
            <v>-595121.16</v>
          </cell>
        </row>
        <row r="435">
          <cell r="A435">
            <v>516200</v>
          </cell>
          <cell r="C435" t="str">
            <v>Rev-System Interchange</v>
          </cell>
          <cell r="D435">
            <v>-17993053.190000001</v>
          </cell>
          <cell r="F435">
            <v>-639007.07999999996</v>
          </cell>
          <cell r="H435">
            <v>-17354046.110000003</v>
          </cell>
        </row>
        <row r="436">
          <cell r="A436">
            <v>516204</v>
          </cell>
          <cell r="C436" t="str">
            <v>Rev-PJM-Seams Elimination Cost Assignme</v>
          </cell>
          <cell r="D436">
            <v>1022933.36</v>
          </cell>
          <cell r="F436">
            <v>-577827.39</v>
          </cell>
          <cell r="H436">
            <v>1600760.75</v>
          </cell>
        </row>
        <row r="437">
          <cell r="A437">
            <v>516206</v>
          </cell>
          <cell r="C437" t="str">
            <v>Rev-Sys-Transmission Congestion chgs.</v>
          </cell>
          <cell r="D437">
            <v>-3225564.09</v>
          </cell>
          <cell r="F437">
            <v>-875025.2</v>
          </cell>
          <cell r="H437">
            <v>-2350538.8899999997</v>
          </cell>
        </row>
        <row r="438">
          <cell r="A438">
            <v>516207</v>
          </cell>
          <cell r="C438" t="str">
            <v>Rev-Sys-Transmission Losses</v>
          </cell>
          <cell r="D438">
            <v>-859888.96</v>
          </cell>
          <cell r="F438">
            <v>-383539.04</v>
          </cell>
          <cell r="H438">
            <v>-476349.92</v>
          </cell>
        </row>
        <row r="439">
          <cell r="A439">
            <v>516208</v>
          </cell>
          <cell r="C439" t="str">
            <v>Rev-Sys-Emergency Energy Sales</v>
          </cell>
          <cell r="D439">
            <v>-137.41</v>
          </cell>
          <cell r="F439">
            <v>0</v>
          </cell>
          <cell r="H439">
            <v>-137.41</v>
          </cell>
        </row>
        <row r="440">
          <cell r="A440">
            <v>516214</v>
          </cell>
          <cell r="C440" t="str">
            <v>Rev-Sys-Network Tranmission Service Cre</v>
          </cell>
          <cell r="D440">
            <v>-90490713.760000005</v>
          </cell>
          <cell r="F440">
            <v>-93397448.269999996</v>
          </cell>
          <cell r="H440">
            <v>2906734.5099999905</v>
          </cell>
        </row>
        <row r="441">
          <cell r="A441">
            <v>516217</v>
          </cell>
          <cell r="C441" t="str">
            <v>Rev-System-Auction Revenue Rights</v>
          </cell>
          <cell r="D441">
            <v>-311802.3</v>
          </cell>
          <cell r="F441">
            <v>0</v>
          </cell>
          <cell r="H441">
            <v>-311802.3</v>
          </cell>
        </row>
        <row r="442">
          <cell r="A442">
            <v>516218</v>
          </cell>
          <cell r="C442" t="str">
            <v>Rev-System-Capacity</v>
          </cell>
          <cell r="D442">
            <v>-7257243.4800000004</v>
          </cell>
          <cell r="F442">
            <v>0</v>
          </cell>
          <cell r="H442">
            <v>-7257243.4800000004</v>
          </cell>
        </row>
        <row r="443">
          <cell r="A443">
            <v>518100</v>
          </cell>
          <cell r="C443" t="str">
            <v>Rev-Unbilled Elec</v>
          </cell>
          <cell r="D443">
            <v>0</v>
          </cell>
          <cell r="F443">
            <v>36013</v>
          </cell>
          <cell r="H443">
            <v>-36013</v>
          </cell>
        </row>
        <row r="444">
          <cell r="A444">
            <v>519100</v>
          </cell>
          <cell r="C444" t="str">
            <v>Rev-Late Payments - Elec</v>
          </cell>
          <cell r="D444">
            <v>-6722850.0899999999</v>
          </cell>
          <cell r="F444">
            <v>-5563146.0499999998</v>
          </cell>
          <cell r="H444">
            <v>-1159704.04</v>
          </cell>
        </row>
        <row r="445">
          <cell r="A445">
            <v>519500</v>
          </cell>
          <cell r="C445" t="str">
            <v>Rev-Misc Service Revenue - Electric</v>
          </cell>
          <cell r="D445">
            <v>-764396.41</v>
          </cell>
          <cell r="F445">
            <v>-867662.06</v>
          </cell>
          <cell r="H445">
            <v>103265.65000000002</v>
          </cell>
        </row>
        <row r="446">
          <cell r="A446">
            <v>520100</v>
          </cell>
          <cell r="C446" t="str">
            <v>Rev-Rent Electric/Gas</v>
          </cell>
          <cell r="D446">
            <v>-13097456.529999999</v>
          </cell>
          <cell r="F446">
            <v>-12153865.91</v>
          </cell>
          <cell r="H446">
            <v>-943590.61999999918</v>
          </cell>
        </row>
        <row r="447">
          <cell r="A447">
            <v>520500</v>
          </cell>
          <cell r="C447" t="str">
            <v>Rev-Other Rev Electric</v>
          </cell>
          <cell r="D447">
            <v>-4490038.9800000004</v>
          </cell>
          <cell r="F447">
            <v>-1436225.08</v>
          </cell>
          <cell r="H447">
            <v>-3053813.9000000004</v>
          </cell>
        </row>
        <row r="448">
          <cell r="A448">
            <v>520510</v>
          </cell>
          <cell r="C448" t="str">
            <v>Rev-Scheduling, System Control &amp; Dispat</v>
          </cell>
          <cell r="D448">
            <v>-626625.81000000006</v>
          </cell>
          <cell r="F448">
            <v>-600860.35</v>
          </cell>
          <cell r="H448">
            <v>-25765.460000000079</v>
          </cell>
        </row>
        <row r="449">
          <cell r="A449">
            <v>520514</v>
          </cell>
          <cell r="C449" t="str">
            <v>Rev-Sys-Operating Reserve Spinning Rese</v>
          </cell>
          <cell r="D449">
            <v>-1853968.65</v>
          </cell>
          <cell r="F449">
            <v>0</v>
          </cell>
          <cell r="H449">
            <v>-1853968.65</v>
          </cell>
        </row>
        <row r="450">
          <cell r="A450">
            <v>520519</v>
          </cell>
          <cell r="C450" t="str">
            <v>Rev-Transmission Service - Firm</v>
          </cell>
          <cell r="D450">
            <v>-1864911.71</v>
          </cell>
          <cell r="F450">
            <v>-764616.39</v>
          </cell>
          <cell r="H450">
            <v>-1100295.3199999998</v>
          </cell>
        </row>
        <row r="451">
          <cell r="A451">
            <v>520520</v>
          </cell>
          <cell r="C451" t="str">
            <v>Rev-Transmission Service - Non-firm</v>
          </cell>
          <cell r="D451">
            <v>-354292.08</v>
          </cell>
          <cell r="F451">
            <v>-669419.59</v>
          </cell>
          <cell r="H451">
            <v>315127.50999999995</v>
          </cell>
        </row>
        <row r="452">
          <cell r="A452">
            <v>633500</v>
          </cell>
          <cell r="C452" t="str">
            <v>Revenue-Property Claims Billed-Electric</v>
          </cell>
          <cell r="D452">
            <v>-3083495.81</v>
          </cell>
          <cell r="F452">
            <v>-3273177.93</v>
          </cell>
          <cell r="H452">
            <v>189682.12000000011</v>
          </cell>
        </row>
        <row r="453">
          <cell r="A453">
            <v>633535</v>
          </cell>
          <cell r="C453" t="str">
            <v>Revenue-Other Accounts Receivable Bille</v>
          </cell>
          <cell r="D453">
            <v>-2135439.4</v>
          </cell>
          <cell r="F453">
            <v>-3974784.08</v>
          </cell>
          <cell r="H453">
            <v>1839344.6800000002</v>
          </cell>
        </row>
        <row r="454">
          <cell r="A454">
            <v>633570</v>
          </cell>
          <cell r="C454" t="str">
            <v>Revenue-Settlements-Special Billing-Ele</v>
          </cell>
          <cell r="D454">
            <v>195026.81</v>
          </cell>
          <cell r="F454">
            <v>17630.150000000001</v>
          </cell>
          <cell r="H454">
            <v>177396.66</v>
          </cell>
        </row>
        <row r="455">
          <cell r="A455">
            <v>633580</v>
          </cell>
          <cell r="C455" t="str">
            <v>Revenue-Limited Liability Property Dama</v>
          </cell>
          <cell r="D455">
            <v>41476.51</v>
          </cell>
          <cell r="F455">
            <v>0</v>
          </cell>
          <cell r="H455">
            <v>41476.51</v>
          </cell>
        </row>
        <row r="456">
          <cell r="A456">
            <v>633600</v>
          </cell>
          <cell r="C456" t="str">
            <v>Revenue-Property Claims Unbilled-Electr</v>
          </cell>
          <cell r="D456">
            <v>298005.58</v>
          </cell>
          <cell r="F456">
            <v>287450.98</v>
          </cell>
          <cell r="H456">
            <v>10554.600000000035</v>
          </cell>
        </row>
        <row r="457">
          <cell r="A457">
            <v>633635</v>
          </cell>
          <cell r="C457" t="str">
            <v>Revenue-Other Accounts Receivable Unbil</v>
          </cell>
          <cell r="D457">
            <v>-329211.09000000003</v>
          </cell>
          <cell r="F457">
            <v>544453.93000000005</v>
          </cell>
          <cell r="H457">
            <v>-873665.02</v>
          </cell>
        </row>
        <row r="458">
          <cell r="A458">
            <v>633660</v>
          </cell>
          <cell r="C458" t="str">
            <v>Revenue-Sales Slips</v>
          </cell>
          <cell r="D458">
            <v>-2570339.77</v>
          </cell>
          <cell r="F458">
            <v>-2183634.7799999998</v>
          </cell>
          <cell r="H458">
            <v>-386704.99000000022</v>
          </cell>
        </row>
        <row r="459">
          <cell r="A459">
            <v>751315</v>
          </cell>
          <cell r="C459" t="str">
            <v>Administrative Credit - MD SOS</v>
          </cell>
          <cell r="D459">
            <v>4103688.26</v>
          </cell>
          <cell r="F459">
            <v>-4703396.9400000004</v>
          </cell>
          <cell r="H459">
            <v>8807085.1999999993</v>
          </cell>
        </row>
        <row r="460">
          <cell r="A460" t="str">
            <v>Regulated Electric Revenue</v>
          </cell>
          <cell r="D460">
            <v>-2199065741.48</v>
          </cell>
          <cell r="F460">
            <v>-2214937984.7600002</v>
          </cell>
          <cell r="H460">
            <v>15872243.28000021</v>
          </cell>
        </row>
        <row r="461">
          <cell r="A461" t="str">
            <v>Total Utility Revenue</v>
          </cell>
          <cell r="D461">
            <v>-2199065741.48</v>
          </cell>
          <cell r="F461">
            <v>-2214937984.7600002</v>
          </cell>
          <cell r="H461">
            <v>15872243.28000021</v>
          </cell>
        </row>
        <row r="462">
          <cell r="H462">
            <v>0</v>
          </cell>
        </row>
        <row r="463">
          <cell r="A463">
            <v>610400</v>
          </cell>
          <cell r="C463" t="str">
            <v>Revenue - PJM Active Load Management</v>
          </cell>
          <cell r="D463">
            <v>0</v>
          </cell>
          <cell r="F463">
            <v>-7931.47</v>
          </cell>
          <cell r="H463">
            <v>7931.47</v>
          </cell>
        </row>
        <row r="464">
          <cell r="A464" t="str">
            <v>Nonregulated electric revenues</v>
          </cell>
          <cell r="D464">
            <v>0</v>
          </cell>
          <cell r="F464">
            <v>-7931.47</v>
          </cell>
          <cell r="H464">
            <v>7931.47</v>
          </cell>
        </row>
        <row r="465">
          <cell r="A465">
            <v>680052</v>
          </cell>
          <cell r="C465" t="str">
            <v>VAS - Miscellaneous</v>
          </cell>
          <cell r="D465">
            <v>-1703625.81</v>
          </cell>
          <cell r="F465">
            <v>-1926443.82</v>
          </cell>
          <cell r="H465">
            <v>222818.01</v>
          </cell>
        </row>
        <row r="466">
          <cell r="A466">
            <v>680152</v>
          </cell>
          <cell r="C466" t="str">
            <v>VAS-Revenues Unbilled Electric-Special</v>
          </cell>
          <cell r="D466">
            <v>56297.81</v>
          </cell>
          <cell r="F466">
            <v>408804.11</v>
          </cell>
          <cell r="H466">
            <v>-352506.3</v>
          </cell>
        </row>
        <row r="467">
          <cell r="A467" t="str">
            <v>Diversified Revenues</v>
          </cell>
          <cell r="D467">
            <v>-1647328</v>
          </cell>
          <cell r="F467">
            <v>-1517639.71</v>
          </cell>
          <cell r="H467">
            <v>-129688.29000000004</v>
          </cell>
        </row>
        <row r="468">
          <cell r="A468" t="str">
            <v>Total Competitive Operations</v>
          </cell>
          <cell r="D468">
            <v>-1647328</v>
          </cell>
          <cell r="F468">
            <v>-1525571.18</v>
          </cell>
          <cell r="H468">
            <v>-121756.82000000007</v>
          </cell>
        </row>
        <row r="469">
          <cell r="H469">
            <v>0</v>
          </cell>
        </row>
        <row r="470">
          <cell r="A470">
            <v>400100</v>
          </cell>
          <cell r="C470" t="str">
            <v>Inter Company-Revenues</v>
          </cell>
          <cell r="D470">
            <v>-140772.87</v>
          </cell>
          <cell r="F470">
            <v>-48036.29</v>
          </cell>
          <cell r="H470">
            <v>-92736.579999999987</v>
          </cell>
        </row>
        <row r="471">
          <cell r="A471">
            <v>420100</v>
          </cell>
          <cell r="C471" t="str">
            <v>Intra Company-Co Use Revenue</v>
          </cell>
          <cell r="D471">
            <v>0</v>
          </cell>
          <cell r="F471">
            <v>-78818.720000000001</v>
          </cell>
          <cell r="H471">
            <v>78818.720000000001</v>
          </cell>
        </row>
        <row r="472">
          <cell r="A472">
            <v>420101</v>
          </cell>
          <cell r="C472" t="str">
            <v>Inter Company-Lease Revenue-Buildings</v>
          </cell>
          <cell r="D472">
            <v>-2685781.28</v>
          </cell>
          <cell r="F472">
            <v>-1884970.15</v>
          </cell>
          <cell r="H472">
            <v>-800811.12999999989</v>
          </cell>
        </row>
        <row r="473">
          <cell r="A473">
            <v>420102</v>
          </cell>
          <cell r="C473" t="str">
            <v>Inter Company-Lease Revenue-IS Assets</v>
          </cell>
          <cell r="D473">
            <v>-848717</v>
          </cell>
          <cell r="F473">
            <v>-848717</v>
          </cell>
          <cell r="H473">
            <v>0</v>
          </cell>
        </row>
        <row r="474">
          <cell r="A474">
            <v>420104</v>
          </cell>
          <cell r="C474" t="str">
            <v>Inter Company-CRP Revenue</v>
          </cell>
          <cell r="D474">
            <v>-70501.25</v>
          </cell>
          <cell r="F474">
            <v>-146087.32999999999</v>
          </cell>
          <cell r="H474">
            <v>75586.079999999987</v>
          </cell>
        </row>
        <row r="475">
          <cell r="A475" t="str">
            <v>Inter Company Revenues</v>
          </cell>
          <cell r="D475">
            <v>-3745772.4</v>
          </cell>
          <cell r="F475">
            <v>-3006629.49</v>
          </cell>
          <cell r="H475">
            <v>-739142.90999999968</v>
          </cell>
        </row>
        <row r="476">
          <cell r="A476">
            <v>420201</v>
          </cell>
          <cell r="C476" t="str">
            <v>Inter Company-Lease Expense-Buildings</v>
          </cell>
          <cell r="D476">
            <v>3577934.93</v>
          </cell>
          <cell r="F476">
            <v>5093547.5</v>
          </cell>
          <cell r="H476">
            <v>-1515612.5699999998</v>
          </cell>
        </row>
        <row r="477">
          <cell r="A477">
            <v>427260</v>
          </cell>
          <cell r="C477" t="str">
            <v>I/C Power Purchases-Pepco/CESI</v>
          </cell>
          <cell r="D477">
            <v>63321121.090000004</v>
          </cell>
          <cell r="F477">
            <v>35645455.439999998</v>
          </cell>
          <cell r="H477">
            <v>27675665.650000006</v>
          </cell>
        </row>
        <row r="478">
          <cell r="A478" t="str">
            <v>Inter Company Expenses</v>
          </cell>
          <cell r="D478">
            <v>66899056.020000003</v>
          </cell>
          <cell r="F478">
            <v>40739002.939999998</v>
          </cell>
          <cell r="H478">
            <v>26160053.080000006</v>
          </cell>
        </row>
        <row r="479">
          <cell r="A479" t="str">
            <v>Total Inter Company</v>
          </cell>
          <cell r="D479">
            <v>63153283.619999997</v>
          </cell>
          <cell r="F479">
            <v>37732373.450000003</v>
          </cell>
          <cell r="H479">
            <v>25420910.169999994</v>
          </cell>
        </row>
        <row r="480">
          <cell r="H480">
            <v>0</v>
          </cell>
        </row>
        <row r="481">
          <cell r="A481" t="str">
            <v>Total Operating Revenue</v>
          </cell>
          <cell r="D481">
            <v>-2137559785.8599999</v>
          </cell>
          <cell r="F481">
            <v>-2178731182.4899998</v>
          </cell>
          <cell r="H481">
            <v>41171396.629999876</v>
          </cell>
        </row>
        <row r="482">
          <cell r="H482">
            <v>0</v>
          </cell>
        </row>
        <row r="483">
          <cell r="A483" t="str">
            <v>Operating Expenses</v>
          </cell>
          <cell r="H483">
            <v>0</v>
          </cell>
        </row>
        <row r="484">
          <cell r="H484">
            <v>0</v>
          </cell>
        </row>
        <row r="485">
          <cell r="A485">
            <v>751000</v>
          </cell>
          <cell r="C485" t="str">
            <v>Purchased Power - System Regulation Cha</v>
          </cell>
          <cell r="D485">
            <v>251365.2</v>
          </cell>
          <cell r="F485">
            <v>250097.22</v>
          </cell>
          <cell r="H485">
            <v>1267.9800000000105</v>
          </cell>
        </row>
        <row r="486">
          <cell r="A486">
            <v>751001</v>
          </cell>
          <cell r="C486" t="str">
            <v>Purchased Power - System Operating Rese</v>
          </cell>
          <cell r="D486">
            <v>867482.18</v>
          </cell>
          <cell r="F486">
            <v>646042.04</v>
          </cell>
          <cell r="H486">
            <v>221440.14</v>
          </cell>
        </row>
        <row r="487">
          <cell r="A487">
            <v>751002</v>
          </cell>
          <cell r="C487" t="str">
            <v>Purchased Power - System Transmission L</v>
          </cell>
          <cell r="D487">
            <v>347170.91</v>
          </cell>
          <cell r="F487">
            <v>0</v>
          </cell>
          <cell r="H487">
            <v>347170.91</v>
          </cell>
        </row>
        <row r="488">
          <cell r="A488">
            <v>751006</v>
          </cell>
          <cell r="C488" t="str">
            <v>Purchased Power - System Meter Error Co</v>
          </cell>
          <cell r="D488">
            <v>-496713.27</v>
          </cell>
          <cell r="F488">
            <v>-313940.45</v>
          </cell>
          <cell r="H488">
            <v>-182772.82</v>
          </cell>
        </row>
        <row r="489">
          <cell r="A489">
            <v>751008</v>
          </cell>
          <cell r="C489" t="str">
            <v>Purchased Power - System Ramapo PAR</v>
          </cell>
          <cell r="D489">
            <v>174858.46</v>
          </cell>
          <cell r="F489">
            <v>183706.12</v>
          </cell>
          <cell r="H489">
            <v>-8847.6600000000035</v>
          </cell>
        </row>
        <row r="490">
          <cell r="A490">
            <v>751010</v>
          </cell>
          <cell r="C490" t="str">
            <v>Purchased Power - System Marketers</v>
          </cell>
          <cell r="D490">
            <v>1093930517.8</v>
          </cell>
          <cell r="F490">
            <v>1158804056.1600001</v>
          </cell>
          <cell r="H490">
            <v>-64873538.360000134</v>
          </cell>
        </row>
        <row r="491">
          <cell r="A491">
            <v>751012</v>
          </cell>
          <cell r="C491" t="str">
            <v>Purchased Power - Renewable Energy Cred</v>
          </cell>
          <cell r="D491">
            <v>1635.91</v>
          </cell>
          <cell r="F491">
            <v>24897.22</v>
          </cell>
          <cell r="H491">
            <v>-23261.31</v>
          </cell>
        </row>
        <row r="492">
          <cell r="A492">
            <v>751015</v>
          </cell>
          <cell r="C492" t="str">
            <v>Purchased Power - System Interchange</v>
          </cell>
          <cell r="D492">
            <v>22378865.140000001</v>
          </cell>
          <cell r="F492">
            <v>30604498.359999999</v>
          </cell>
          <cell r="H492">
            <v>-8225633.2199999988</v>
          </cell>
        </row>
        <row r="493">
          <cell r="A493">
            <v>751016</v>
          </cell>
          <cell r="C493" t="str">
            <v>Purch Power-Sys Transm Congestion Charg</v>
          </cell>
          <cell r="D493">
            <v>3344790.19</v>
          </cell>
          <cell r="F493">
            <v>0</v>
          </cell>
          <cell r="H493">
            <v>3344790.19</v>
          </cell>
        </row>
        <row r="494">
          <cell r="A494">
            <v>751017</v>
          </cell>
          <cell r="C494" t="str">
            <v>Purch Pwr-Sys-Reactive Supply &amp; Voltage</v>
          </cell>
          <cell r="D494">
            <v>122196.89</v>
          </cell>
          <cell r="F494">
            <v>58818.61</v>
          </cell>
          <cell r="H494">
            <v>63378.28</v>
          </cell>
        </row>
        <row r="495">
          <cell r="A495">
            <v>751021</v>
          </cell>
          <cell r="C495" t="str">
            <v>Purchased Power-System-Customer Chge</v>
          </cell>
          <cell r="D495">
            <v>2747599.48</v>
          </cell>
          <cell r="F495">
            <v>3673293.48</v>
          </cell>
          <cell r="H495">
            <v>-925694</v>
          </cell>
        </row>
        <row r="496">
          <cell r="A496">
            <v>751024</v>
          </cell>
          <cell r="C496" t="str">
            <v>Purchased Power - SECA Charge</v>
          </cell>
          <cell r="D496">
            <v>0</v>
          </cell>
          <cell r="F496">
            <v>1373149.76</v>
          </cell>
          <cell r="H496">
            <v>-1373149.76</v>
          </cell>
        </row>
        <row r="497">
          <cell r="A497">
            <v>751025</v>
          </cell>
          <cell r="C497" t="str">
            <v>Purchased Power - Other</v>
          </cell>
          <cell r="D497">
            <v>11938927.630000001</v>
          </cell>
          <cell r="F497">
            <v>999995.78</v>
          </cell>
          <cell r="H497">
            <v>10938931.850000001</v>
          </cell>
        </row>
        <row r="498">
          <cell r="A498">
            <v>751026</v>
          </cell>
          <cell r="C498" t="str">
            <v>Purchased Power-Sys Network Transmissio</v>
          </cell>
          <cell r="D498">
            <v>39064418.810000002</v>
          </cell>
          <cell r="F498">
            <v>50808629.100000001</v>
          </cell>
          <cell r="H498">
            <v>-11744210.289999999</v>
          </cell>
        </row>
        <row r="499">
          <cell r="A499">
            <v>751250</v>
          </cell>
          <cell r="C499" t="str">
            <v>Deferred Purchased Power Expense - SOS</v>
          </cell>
          <cell r="D499">
            <v>-13231305.18</v>
          </cell>
          <cell r="F499">
            <v>14409925.199999999</v>
          </cell>
          <cell r="H499">
            <v>-27641230.379999999</v>
          </cell>
        </row>
        <row r="500">
          <cell r="A500">
            <v>751251</v>
          </cell>
          <cell r="C500" t="str">
            <v>Deferred Transmission Expenses - SOS</v>
          </cell>
          <cell r="D500">
            <v>1217257.05</v>
          </cell>
          <cell r="F500">
            <v>2042653.23</v>
          </cell>
          <cell r="H500">
            <v>-825396.17999999993</v>
          </cell>
        </row>
        <row r="501">
          <cell r="A501" t="str">
            <v>Regulated Electric Fuel &amp; Purchased Power</v>
          </cell>
          <cell r="D501">
            <v>1162659067.2</v>
          </cell>
          <cell r="F501">
            <v>1263565821.8299999</v>
          </cell>
          <cell r="H501">
            <v>-100906754.62999988</v>
          </cell>
        </row>
        <row r="502">
          <cell r="A502">
            <v>751037</v>
          </cell>
          <cell r="C502" t="str">
            <v>Purchased Power-Transmission Market Cha</v>
          </cell>
          <cell r="D502">
            <v>3024.4</v>
          </cell>
          <cell r="F502">
            <v>2203.17</v>
          </cell>
          <cell r="H502">
            <v>821.23</v>
          </cell>
        </row>
        <row r="503">
          <cell r="A503">
            <v>751206</v>
          </cell>
          <cell r="C503" t="str">
            <v>Purchased Power -Non System Regulation</v>
          </cell>
          <cell r="D503">
            <v>0</v>
          </cell>
          <cell r="F503">
            <v>15995.74</v>
          </cell>
          <cell r="H503">
            <v>-15995.74</v>
          </cell>
        </row>
        <row r="504">
          <cell r="A504">
            <v>751207</v>
          </cell>
          <cell r="C504" t="str">
            <v>Misc PP Support Exp-Non System-Misc. Ex</v>
          </cell>
          <cell r="D504">
            <v>330.52</v>
          </cell>
          <cell r="F504">
            <v>0</v>
          </cell>
          <cell r="H504">
            <v>330.52</v>
          </cell>
        </row>
        <row r="505">
          <cell r="A505" t="str">
            <v>Nonregulated electric fuel &amp; pur. power</v>
          </cell>
          <cell r="D505">
            <v>3354.92</v>
          </cell>
          <cell r="F505">
            <v>18198.91</v>
          </cell>
          <cell r="H505">
            <v>-14843.99</v>
          </cell>
        </row>
        <row r="506">
          <cell r="A506">
            <v>751027</v>
          </cell>
          <cell r="C506" t="str">
            <v>Purchased Power-Sys-Black Start Service</v>
          </cell>
          <cell r="D506">
            <v>1404.53</v>
          </cell>
          <cell r="F506">
            <v>2594</v>
          </cell>
          <cell r="H506">
            <v>-1189.47</v>
          </cell>
        </row>
        <row r="507">
          <cell r="A507">
            <v>751100</v>
          </cell>
          <cell r="C507" t="str">
            <v>Purchased Power-System Capacity</v>
          </cell>
          <cell r="D507">
            <v>19839990.859999999</v>
          </cell>
          <cell r="F507">
            <v>503715.87</v>
          </cell>
          <cell r="H507">
            <v>19336274.989999998</v>
          </cell>
        </row>
        <row r="508">
          <cell r="A508" t="str">
            <v>Purchased Capacity</v>
          </cell>
          <cell r="D508">
            <v>19841395.390000001</v>
          </cell>
          <cell r="F508">
            <v>506309.87</v>
          </cell>
          <cell r="H508">
            <v>19335085.52</v>
          </cell>
        </row>
        <row r="509">
          <cell r="A509" t="str">
            <v>Total Fuel and Purchased Energy</v>
          </cell>
          <cell r="D509">
            <v>1182503817.51</v>
          </cell>
          <cell r="F509">
            <v>1264090330.6099999</v>
          </cell>
          <cell r="H509">
            <v>-81586513.099999905</v>
          </cell>
        </row>
        <row r="510">
          <cell r="H510">
            <v>0</v>
          </cell>
        </row>
        <row r="511">
          <cell r="A511">
            <v>710005</v>
          </cell>
          <cell r="C511" t="str">
            <v>Salaries-Base Wages</v>
          </cell>
          <cell r="D511">
            <v>90346550.359999999</v>
          </cell>
          <cell r="F511">
            <v>92449873.900000006</v>
          </cell>
          <cell r="H511">
            <v>-2103323.5400000066</v>
          </cell>
        </row>
        <row r="512">
          <cell r="A512">
            <v>710010</v>
          </cell>
          <cell r="C512" t="str">
            <v>Salaries-Overtime</v>
          </cell>
          <cell r="D512">
            <v>17572231.23</v>
          </cell>
          <cell r="F512">
            <v>13062258.6</v>
          </cell>
          <cell r="H512">
            <v>4509972.6300000008</v>
          </cell>
        </row>
        <row r="513">
          <cell r="A513">
            <v>710015</v>
          </cell>
          <cell r="C513" t="str">
            <v>Salaries-Meal Allowance</v>
          </cell>
          <cell r="D513">
            <v>636359.12</v>
          </cell>
          <cell r="F513">
            <v>460996.03</v>
          </cell>
          <cell r="H513">
            <v>175363.08999999997</v>
          </cell>
        </row>
        <row r="514">
          <cell r="A514">
            <v>710016</v>
          </cell>
          <cell r="C514" t="str">
            <v>Salaries-Auto Allowance</v>
          </cell>
          <cell r="D514">
            <v>184071.28</v>
          </cell>
          <cell r="F514">
            <v>191055.52</v>
          </cell>
          <cell r="H514">
            <v>-6984.2399999999907</v>
          </cell>
        </row>
        <row r="515">
          <cell r="A515">
            <v>710017</v>
          </cell>
          <cell r="C515" t="str">
            <v>Salaries-Vehicle Commuting Fee</v>
          </cell>
          <cell r="D515">
            <v>-54766.07</v>
          </cell>
          <cell r="F515">
            <v>-51065.89</v>
          </cell>
          <cell r="H515">
            <v>-3700.1800000000003</v>
          </cell>
        </row>
        <row r="516">
          <cell r="A516">
            <v>710020</v>
          </cell>
          <cell r="C516" t="str">
            <v>Salaries-Incentive Pay</v>
          </cell>
          <cell r="D516">
            <v>33169</v>
          </cell>
          <cell r="F516">
            <v>23954</v>
          </cell>
          <cell r="H516">
            <v>9215</v>
          </cell>
        </row>
        <row r="517">
          <cell r="A517">
            <v>710022</v>
          </cell>
          <cell r="C517" t="str">
            <v>Salaries-Employee Recognition Award</v>
          </cell>
          <cell r="D517">
            <v>91256.18</v>
          </cell>
          <cell r="F517">
            <v>86549.17</v>
          </cell>
          <cell r="H517">
            <v>4707.0099999999948</v>
          </cell>
        </row>
        <row r="518">
          <cell r="A518">
            <v>710030</v>
          </cell>
          <cell r="C518" t="str">
            <v>Salaries-Other</v>
          </cell>
          <cell r="D518">
            <v>63998.32</v>
          </cell>
          <cell r="F518">
            <v>-65005.120000000003</v>
          </cell>
          <cell r="H518">
            <v>129003.44</v>
          </cell>
        </row>
        <row r="519">
          <cell r="A519">
            <v>710035</v>
          </cell>
          <cell r="C519" t="str">
            <v>Salaries-LTIP/PARS Dividends</v>
          </cell>
          <cell r="D519">
            <v>2649.92</v>
          </cell>
          <cell r="F519">
            <v>1375.92</v>
          </cell>
          <cell r="H519">
            <v>1274</v>
          </cell>
        </row>
        <row r="520">
          <cell r="A520">
            <v>710036</v>
          </cell>
          <cell r="C520" t="str">
            <v>Salaries-PARS</v>
          </cell>
          <cell r="D520">
            <v>41811.42</v>
          </cell>
          <cell r="F520">
            <v>68477.53</v>
          </cell>
          <cell r="H520">
            <v>-26666.11</v>
          </cell>
        </row>
        <row r="521">
          <cell r="A521">
            <v>710041</v>
          </cell>
          <cell r="C521" t="str">
            <v>Salaries-Severance</v>
          </cell>
          <cell r="D521">
            <v>14159.53</v>
          </cell>
          <cell r="F521">
            <v>1575419.46</v>
          </cell>
          <cell r="H521">
            <v>-1561259.93</v>
          </cell>
        </row>
        <row r="522">
          <cell r="A522">
            <v>710051</v>
          </cell>
          <cell r="C522" t="str">
            <v>Salaries-Relocation</v>
          </cell>
          <cell r="D522">
            <v>4980</v>
          </cell>
          <cell r="F522">
            <v>1577</v>
          </cell>
          <cell r="H522">
            <v>3403</v>
          </cell>
        </row>
        <row r="523">
          <cell r="A523">
            <v>710055</v>
          </cell>
          <cell r="C523" t="str">
            <v>Salaries-Incentive-Safety</v>
          </cell>
          <cell r="D523">
            <v>577581.07999999996</v>
          </cell>
          <cell r="F523">
            <v>681823.24</v>
          </cell>
          <cell r="H523">
            <v>-104242.16000000003</v>
          </cell>
        </row>
        <row r="524">
          <cell r="A524">
            <v>710060</v>
          </cell>
          <cell r="C524" t="str">
            <v>Salaries-Incentive-AIP / MVIP</v>
          </cell>
          <cell r="D524">
            <v>1933404.47</v>
          </cell>
          <cell r="F524">
            <v>-864740</v>
          </cell>
          <cell r="H524">
            <v>2798144.4699999997</v>
          </cell>
        </row>
        <row r="525">
          <cell r="A525">
            <v>710068</v>
          </cell>
          <cell r="C525" t="str">
            <v>Salaries-Incentive-Executive</v>
          </cell>
          <cell r="D525">
            <v>59463.96</v>
          </cell>
          <cell r="F525">
            <v>20817.63</v>
          </cell>
          <cell r="H525">
            <v>38646.33</v>
          </cell>
        </row>
        <row r="526">
          <cell r="A526">
            <v>710071</v>
          </cell>
          <cell r="C526" t="str">
            <v>Incentive-Other CC Recognition-CR</v>
          </cell>
          <cell r="D526">
            <v>-2000</v>
          </cell>
          <cell r="F526">
            <v>-2500</v>
          </cell>
          <cell r="H526">
            <v>500</v>
          </cell>
        </row>
        <row r="527">
          <cell r="A527">
            <v>710072</v>
          </cell>
          <cell r="C527" t="str">
            <v>Incentive-Other CC Recognition-DR</v>
          </cell>
          <cell r="D527">
            <v>2000</v>
          </cell>
          <cell r="F527">
            <v>0</v>
          </cell>
          <cell r="H527">
            <v>2000</v>
          </cell>
        </row>
        <row r="528">
          <cell r="A528">
            <v>710080</v>
          </cell>
          <cell r="C528" t="str">
            <v>Deferred Compensation Liability Adjustm</v>
          </cell>
          <cell r="D528">
            <v>5549689.1799999997</v>
          </cell>
          <cell r="F528">
            <v>2296111.5099999998</v>
          </cell>
          <cell r="H528">
            <v>3253577.67</v>
          </cell>
        </row>
        <row r="529">
          <cell r="A529" t="str">
            <v>Salary</v>
          </cell>
          <cell r="D529">
            <v>117056608.98</v>
          </cell>
          <cell r="F529">
            <v>109936978.5</v>
          </cell>
          <cell r="H529">
            <v>7119630.4800000042</v>
          </cell>
        </row>
        <row r="530">
          <cell r="A530">
            <v>720005</v>
          </cell>
          <cell r="C530" t="str">
            <v>Benefits-FICA / Medicare</v>
          </cell>
          <cell r="D530">
            <v>8153682.5700000003</v>
          </cell>
          <cell r="F530">
            <v>8133246.2800000003</v>
          </cell>
          <cell r="H530">
            <v>20436.290000000037</v>
          </cell>
        </row>
        <row r="531">
          <cell r="A531">
            <v>720010</v>
          </cell>
          <cell r="C531" t="str">
            <v>Benefit-Federal Unemployment Insurance</v>
          </cell>
          <cell r="D531">
            <v>85091.77</v>
          </cell>
          <cell r="F531">
            <v>86801.21</v>
          </cell>
          <cell r="H531">
            <v>-1709.4400000000023</v>
          </cell>
        </row>
        <row r="532">
          <cell r="A532">
            <v>720015</v>
          </cell>
          <cell r="C532" t="str">
            <v>Benefit-State Unemployment Insurance</v>
          </cell>
          <cell r="D532">
            <v>152388.46</v>
          </cell>
          <cell r="F532">
            <v>189344.55</v>
          </cell>
          <cell r="H532">
            <v>-36956.089999999997</v>
          </cell>
        </row>
        <row r="533">
          <cell r="A533">
            <v>721005</v>
          </cell>
          <cell r="C533" t="str">
            <v>Benefit-Pension</v>
          </cell>
          <cell r="D533">
            <v>8038854</v>
          </cell>
          <cell r="F533">
            <v>12243427</v>
          </cell>
          <cell r="H533">
            <v>-4204573</v>
          </cell>
        </row>
        <row r="534">
          <cell r="A534">
            <v>721006</v>
          </cell>
          <cell r="C534" t="str">
            <v>Benefit-Pension Transfer</v>
          </cell>
          <cell r="D534">
            <v>-354308</v>
          </cell>
          <cell r="F534">
            <v>0</v>
          </cell>
          <cell r="H534">
            <v>-354308</v>
          </cell>
        </row>
        <row r="535">
          <cell r="A535">
            <v>721007</v>
          </cell>
          <cell r="C535" t="str">
            <v>Benefit-SERP</v>
          </cell>
          <cell r="D535">
            <v>997767</v>
          </cell>
          <cell r="F535">
            <v>1031289</v>
          </cell>
          <cell r="H535">
            <v>-33522</v>
          </cell>
        </row>
        <row r="536">
          <cell r="A536">
            <v>721021</v>
          </cell>
          <cell r="C536" t="str">
            <v>Benefit - Accrued Vacation</v>
          </cell>
          <cell r="D536">
            <v>-67089.09</v>
          </cell>
          <cell r="F536">
            <v>-437536.75</v>
          </cell>
          <cell r="H536">
            <v>370447.66000000003</v>
          </cell>
        </row>
        <row r="537">
          <cell r="A537">
            <v>721025</v>
          </cell>
          <cell r="C537" t="str">
            <v>Benefit-Workmens Comp</v>
          </cell>
          <cell r="D537">
            <v>5868702.71</v>
          </cell>
          <cell r="F537">
            <v>5474363.5599999996</v>
          </cell>
          <cell r="H537">
            <v>394339.15000000037</v>
          </cell>
        </row>
        <row r="538">
          <cell r="A538">
            <v>721030</v>
          </cell>
          <cell r="C538" t="str">
            <v>Benefit-Savings &amp; Thrift</v>
          </cell>
          <cell r="D538">
            <v>2305100.19</v>
          </cell>
          <cell r="F538">
            <v>2387610.2599999998</v>
          </cell>
          <cell r="H538">
            <v>-82510.069999999832</v>
          </cell>
        </row>
        <row r="539">
          <cell r="A539">
            <v>721035</v>
          </cell>
          <cell r="C539" t="str">
            <v>Benefit-OPEB Medical</v>
          </cell>
          <cell r="D539">
            <v>13300484</v>
          </cell>
          <cell r="F539">
            <v>18798615</v>
          </cell>
          <cell r="H539">
            <v>-5498131</v>
          </cell>
        </row>
        <row r="540">
          <cell r="A540">
            <v>721036</v>
          </cell>
          <cell r="C540" t="str">
            <v>Benefit-OPEB Medical Transfer</v>
          </cell>
          <cell r="D540">
            <v>-339200</v>
          </cell>
          <cell r="F540">
            <v>0</v>
          </cell>
          <cell r="H540">
            <v>-339200</v>
          </cell>
        </row>
        <row r="541">
          <cell r="A541">
            <v>721050</v>
          </cell>
          <cell r="C541" t="str">
            <v>Benefit-LT Disability</v>
          </cell>
          <cell r="D541">
            <v>1739298.6</v>
          </cell>
          <cell r="F541">
            <v>1737714.86</v>
          </cell>
          <cell r="H541">
            <v>1583.7399999999907</v>
          </cell>
        </row>
        <row r="542">
          <cell r="A542">
            <v>721052</v>
          </cell>
          <cell r="C542" t="str">
            <v>Benefit-Surviving Spouse Welfare Plan</v>
          </cell>
          <cell r="D542">
            <v>32911.32</v>
          </cell>
          <cell r="F542">
            <v>0</v>
          </cell>
          <cell r="H542">
            <v>32911.32</v>
          </cell>
        </row>
        <row r="543">
          <cell r="A543">
            <v>721055</v>
          </cell>
          <cell r="C543" t="str">
            <v>Benefit-Medical</v>
          </cell>
          <cell r="D543">
            <v>8225</v>
          </cell>
          <cell r="F543">
            <v>10900</v>
          </cell>
          <cell r="H543">
            <v>-2675</v>
          </cell>
        </row>
        <row r="544">
          <cell r="A544">
            <v>721060</v>
          </cell>
          <cell r="C544" t="str">
            <v>Benefit-Education Plan</v>
          </cell>
          <cell r="D544">
            <v>574880.82999999996</v>
          </cell>
          <cell r="F544">
            <v>615457.29</v>
          </cell>
          <cell r="H544">
            <v>-40576.460000000079</v>
          </cell>
        </row>
        <row r="545">
          <cell r="A545">
            <v>721075</v>
          </cell>
          <cell r="C545" t="str">
            <v>Benefit-Spending Accounts</v>
          </cell>
          <cell r="D545">
            <v>31992.06</v>
          </cell>
          <cell r="F545">
            <v>60531.02</v>
          </cell>
          <cell r="H545">
            <v>-28538.959999999995</v>
          </cell>
        </row>
        <row r="546">
          <cell r="A546">
            <v>721080</v>
          </cell>
          <cell r="C546" t="str">
            <v>Benefit-Employee Association</v>
          </cell>
          <cell r="D546">
            <v>131435</v>
          </cell>
          <cell r="F546">
            <v>109902.21</v>
          </cell>
          <cell r="H546">
            <v>21532.789999999994</v>
          </cell>
        </row>
        <row r="547">
          <cell r="A547">
            <v>721081</v>
          </cell>
          <cell r="C547" t="str">
            <v>Benefit-Child/Elder Care Referral</v>
          </cell>
          <cell r="D547">
            <v>125</v>
          </cell>
          <cell r="F547">
            <v>0</v>
          </cell>
          <cell r="H547">
            <v>125</v>
          </cell>
        </row>
        <row r="548">
          <cell r="A548">
            <v>721082</v>
          </cell>
          <cell r="C548" t="str">
            <v>Benefit-Service Awards</v>
          </cell>
          <cell r="D548">
            <v>0</v>
          </cell>
          <cell r="F548">
            <v>250</v>
          </cell>
          <cell r="H548">
            <v>-250</v>
          </cell>
        </row>
        <row r="549">
          <cell r="A549">
            <v>721084</v>
          </cell>
          <cell r="C549" t="str">
            <v>Benefit-Wellness</v>
          </cell>
          <cell r="D549">
            <v>20587.38</v>
          </cell>
          <cell r="F549">
            <v>26490.080000000002</v>
          </cell>
          <cell r="H549">
            <v>-5902.7000000000007</v>
          </cell>
        </row>
        <row r="550">
          <cell r="A550">
            <v>721085</v>
          </cell>
          <cell r="C550" t="str">
            <v>Benefit-Administration Fee</v>
          </cell>
          <cell r="D550">
            <v>27696.11</v>
          </cell>
          <cell r="F550">
            <v>0</v>
          </cell>
          <cell r="H550">
            <v>27696.11</v>
          </cell>
        </row>
        <row r="551">
          <cell r="A551">
            <v>721086</v>
          </cell>
          <cell r="C551" t="str">
            <v>Benefit-Retiree Costs</v>
          </cell>
          <cell r="D551">
            <v>60235.56</v>
          </cell>
          <cell r="F551">
            <v>2247662.1800000002</v>
          </cell>
          <cell r="H551">
            <v>-2187426.62</v>
          </cell>
        </row>
        <row r="552">
          <cell r="A552">
            <v>721096</v>
          </cell>
          <cell r="C552" t="str">
            <v>Benefit-Allocated from Total Corporate</v>
          </cell>
          <cell r="D552">
            <v>15256699.42</v>
          </cell>
          <cell r="F552">
            <v>16067438.15</v>
          </cell>
          <cell r="H552">
            <v>-810738.73000000045</v>
          </cell>
        </row>
        <row r="553">
          <cell r="A553">
            <v>721098</v>
          </cell>
          <cell r="C553" t="str">
            <v>Benefit-Employee Contributions</v>
          </cell>
          <cell r="D553">
            <v>-1789075.85</v>
          </cell>
          <cell r="F553">
            <v>-1676147.46</v>
          </cell>
          <cell r="H553">
            <v>-112928.39000000013</v>
          </cell>
        </row>
        <row r="554">
          <cell r="A554">
            <v>721099</v>
          </cell>
          <cell r="C554" t="str">
            <v>Benefit-Offset of Actual Expenses</v>
          </cell>
          <cell r="D554">
            <v>-33179002.379999999</v>
          </cell>
          <cell r="F554">
            <v>-33897960.149999999</v>
          </cell>
          <cell r="H554">
            <v>718957.76999999955</v>
          </cell>
        </row>
        <row r="555">
          <cell r="A555">
            <v>722000</v>
          </cell>
          <cell r="C555" t="str">
            <v>Benefit-Accrued Expenses</v>
          </cell>
          <cell r="D555">
            <v>33677952.719999999</v>
          </cell>
          <cell r="F555">
            <v>33639960.149999999</v>
          </cell>
          <cell r="H555">
            <v>37992.570000000298</v>
          </cell>
        </row>
        <row r="556">
          <cell r="A556">
            <v>723000</v>
          </cell>
          <cell r="C556" t="str">
            <v>Benefit-Other</v>
          </cell>
          <cell r="D556">
            <v>116636.7</v>
          </cell>
          <cell r="F556">
            <v>-849287.3</v>
          </cell>
          <cell r="H556">
            <v>965924</v>
          </cell>
        </row>
        <row r="557">
          <cell r="A557" t="str">
            <v>Benefits</v>
          </cell>
          <cell r="D557">
            <v>54852071.079999998</v>
          </cell>
          <cell r="F557">
            <v>66000071.140000001</v>
          </cell>
          <cell r="H557">
            <v>-11148000.060000002</v>
          </cell>
        </row>
        <row r="558">
          <cell r="A558">
            <v>730005</v>
          </cell>
          <cell r="C558" t="str">
            <v>Material-DPL CPD</v>
          </cell>
          <cell r="D558">
            <v>89324.69</v>
          </cell>
          <cell r="F558">
            <v>1239.23</v>
          </cell>
          <cell r="H558">
            <v>88085.46</v>
          </cell>
        </row>
        <row r="559">
          <cell r="A559">
            <v>730007</v>
          </cell>
          <cell r="C559" t="str">
            <v>Material Expense-Direct Ship</v>
          </cell>
          <cell r="D559">
            <v>14077498.92</v>
          </cell>
          <cell r="F559">
            <v>25109669.219999999</v>
          </cell>
          <cell r="H559">
            <v>-11032170.299999999</v>
          </cell>
        </row>
        <row r="560">
          <cell r="A560">
            <v>730008</v>
          </cell>
          <cell r="C560" t="str">
            <v>Material Expense-Fabrication Shop</v>
          </cell>
          <cell r="D560">
            <v>-1400159.29</v>
          </cell>
          <cell r="F560">
            <v>-989796.24</v>
          </cell>
          <cell r="H560">
            <v>-410363.05000000005</v>
          </cell>
        </row>
        <row r="561">
          <cell r="A561">
            <v>730010</v>
          </cell>
          <cell r="C561" t="str">
            <v>Material Expense-Nonstock</v>
          </cell>
          <cell r="D561">
            <v>5588094.6699999999</v>
          </cell>
          <cell r="F561">
            <v>7847532.0999999996</v>
          </cell>
          <cell r="H561">
            <v>-2259437.4299999997</v>
          </cell>
        </row>
        <row r="562">
          <cell r="A562">
            <v>730012</v>
          </cell>
          <cell r="C562" t="str">
            <v>Material-HULV</v>
          </cell>
          <cell r="D562">
            <v>330061.01</v>
          </cell>
          <cell r="F562">
            <v>139586</v>
          </cell>
          <cell r="H562">
            <v>190475.01</v>
          </cell>
        </row>
        <row r="563">
          <cell r="A563">
            <v>730013</v>
          </cell>
          <cell r="C563" t="str">
            <v>Material - Deposits</v>
          </cell>
          <cell r="D563">
            <v>1668210.94</v>
          </cell>
          <cell r="F563">
            <v>0</v>
          </cell>
          <cell r="H563">
            <v>1668210.94</v>
          </cell>
        </row>
        <row r="564">
          <cell r="A564">
            <v>730020</v>
          </cell>
          <cell r="C564" t="str">
            <v>Material Expense-Gasoline</v>
          </cell>
          <cell r="D564">
            <v>1581444.8</v>
          </cell>
          <cell r="F564">
            <v>1596278.02</v>
          </cell>
          <cell r="H564">
            <v>-14833.219999999972</v>
          </cell>
        </row>
        <row r="565">
          <cell r="A565">
            <v>730025</v>
          </cell>
          <cell r="C565" t="str">
            <v>Material-Freight Stock</v>
          </cell>
          <cell r="D565">
            <v>1700</v>
          </cell>
          <cell r="F565">
            <v>0</v>
          </cell>
          <cell r="H565">
            <v>1700</v>
          </cell>
        </row>
        <row r="566">
          <cell r="A566">
            <v>730030</v>
          </cell>
          <cell r="C566" t="str">
            <v>Material-Freight Nonstock</v>
          </cell>
          <cell r="D566">
            <v>12152.97</v>
          </cell>
          <cell r="F566">
            <v>10591</v>
          </cell>
          <cell r="H566">
            <v>1561.9699999999993</v>
          </cell>
        </row>
        <row r="567">
          <cell r="A567">
            <v>730035</v>
          </cell>
          <cell r="C567" t="str">
            <v>Material Expense-Consignment-PEPCO</v>
          </cell>
          <cell r="D567">
            <v>529990.56999999995</v>
          </cell>
          <cell r="F567">
            <v>375772.47</v>
          </cell>
          <cell r="H567">
            <v>154218.09999999998</v>
          </cell>
        </row>
        <row r="568">
          <cell r="A568">
            <v>730052</v>
          </cell>
          <cell r="C568" t="str">
            <v>Material-ACE CPD</v>
          </cell>
          <cell r="D568">
            <v>0</v>
          </cell>
          <cell r="F568">
            <v>173</v>
          </cell>
          <cell r="H568">
            <v>-173</v>
          </cell>
        </row>
        <row r="569">
          <cell r="A569">
            <v>730055</v>
          </cell>
          <cell r="C569" t="str">
            <v>Material-CDG</v>
          </cell>
          <cell r="D569">
            <v>325.06</v>
          </cell>
          <cell r="F569">
            <v>0</v>
          </cell>
          <cell r="H569">
            <v>325.06</v>
          </cell>
        </row>
        <row r="570">
          <cell r="A570">
            <v>730059</v>
          </cell>
          <cell r="C570" t="str">
            <v>Material-PEPCO</v>
          </cell>
          <cell r="D570">
            <v>58507004.100000001</v>
          </cell>
          <cell r="F570">
            <v>42319495.619999997</v>
          </cell>
          <cell r="H570">
            <v>16187508.480000004</v>
          </cell>
        </row>
        <row r="571">
          <cell r="A571">
            <v>730060</v>
          </cell>
          <cell r="C571" t="str">
            <v>Pepco-Material Expense-Direct Ship (4M)</v>
          </cell>
          <cell r="D571">
            <v>0</v>
          </cell>
          <cell r="F571">
            <v>4614136.3099999996</v>
          </cell>
          <cell r="H571">
            <v>-4614136.3099999996</v>
          </cell>
        </row>
        <row r="572">
          <cell r="A572">
            <v>731005</v>
          </cell>
          <cell r="C572" t="str">
            <v>Material-Scrapped</v>
          </cell>
          <cell r="D572">
            <v>1562332.95</v>
          </cell>
          <cell r="F572">
            <v>1225723.18</v>
          </cell>
          <cell r="H572">
            <v>336609.77</v>
          </cell>
        </row>
        <row r="573">
          <cell r="A573">
            <v>731006</v>
          </cell>
          <cell r="C573" t="str">
            <v>Material-Returned to Storeroom</v>
          </cell>
          <cell r="D573">
            <v>-8834344.0099999998</v>
          </cell>
          <cell r="F573">
            <v>-6206397.1100000003</v>
          </cell>
          <cell r="H573">
            <v>-2627946.8999999994</v>
          </cell>
        </row>
        <row r="574">
          <cell r="A574">
            <v>731007</v>
          </cell>
          <cell r="C574" t="str">
            <v>Material-Scrap Material</v>
          </cell>
          <cell r="D574">
            <v>-2607913.71</v>
          </cell>
          <cell r="F574">
            <v>-2462656.2200000002</v>
          </cell>
          <cell r="H574">
            <v>-145257.48999999976</v>
          </cell>
        </row>
        <row r="575">
          <cell r="A575">
            <v>731010</v>
          </cell>
          <cell r="C575" t="str">
            <v>Material-Gain Inventory Difference</v>
          </cell>
          <cell r="D575">
            <v>-571607.36</v>
          </cell>
          <cell r="F575">
            <v>-1333699.2</v>
          </cell>
          <cell r="H575">
            <v>762091.84</v>
          </cell>
        </row>
        <row r="576">
          <cell r="A576">
            <v>731015</v>
          </cell>
          <cell r="C576" t="str">
            <v>Material-Losses Inventory Variance</v>
          </cell>
          <cell r="D576">
            <v>484912.65</v>
          </cell>
          <cell r="F576">
            <v>902177.25</v>
          </cell>
          <cell r="H576">
            <v>-417264.6</v>
          </cell>
        </row>
        <row r="577">
          <cell r="A577">
            <v>731021</v>
          </cell>
          <cell r="C577" t="str">
            <v>Material-Gain price adjustments</v>
          </cell>
          <cell r="D577">
            <v>182991.4</v>
          </cell>
          <cell r="F577">
            <v>-4110.7700000000004</v>
          </cell>
          <cell r="H577">
            <v>187102.16999999998</v>
          </cell>
        </row>
        <row r="578">
          <cell r="A578">
            <v>731060</v>
          </cell>
          <cell r="C578" t="str">
            <v>Material-Loss/Gain price variances</v>
          </cell>
          <cell r="D578">
            <v>-160121.84</v>
          </cell>
          <cell r="F578">
            <v>47218.63</v>
          </cell>
          <cell r="H578">
            <v>-207340.47</v>
          </cell>
        </row>
        <row r="579">
          <cell r="A579">
            <v>731080</v>
          </cell>
          <cell r="C579" t="str">
            <v>Material-Discount Lost</v>
          </cell>
          <cell r="D579">
            <v>17663.47</v>
          </cell>
          <cell r="F579">
            <v>71152.36</v>
          </cell>
          <cell r="H579">
            <v>-53488.89</v>
          </cell>
        </row>
        <row r="580">
          <cell r="A580">
            <v>800045</v>
          </cell>
          <cell r="C580" t="str">
            <v>Material - Capital Accruals</v>
          </cell>
          <cell r="D580">
            <v>272000</v>
          </cell>
          <cell r="F580">
            <v>0</v>
          </cell>
          <cell r="H580">
            <v>272000</v>
          </cell>
        </row>
        <row r="581">
          <cell r="A581" t="str">
            <v>Materials and Supplies</v>
          </cell>
          <cell r="D581">
            <v>71331561.989999995</v>
          </cell>
          <cell r="F581">
            <v>73264084.849999994</v>
          </cell>
          <cell r="H581">
            <v>-1932522.8599999994</v>
          </cell>
        </row>
        <row r="582">
          <cell r="A582">
            <v>760005</v>
          </cell>
          <cell r="C582" t="str">
            <v>Contractor-Professional and Consulting</v>
          </cell>
          <cell r="D582">
            <v>11006650.050000001</v>
          </cell>
          <cell r="F582">
            <v>10237074.99</v>
          </cell>
          <cell r="H582">
            <v>769575.06000000052</v>
          </cell>
        </row>
        <row r="583">
          <cell r="A583">
            <v>760010</v>
          </cell>
          <cell r="C583" t="str">
            <v>Contractor-Other Services</v>
          </cell>
          <cell r="D583">
            <v>22730702.649999999</v>
          </cell>
          <cell r="F583">
            <v>21645742.859999999</v>
          </cell>
          <cell r="H583">
            <v>1084959.7899999991</v>
          </cell>
        </row>
        <row r="584">
          <cell r="A584">
            <v>760015</v>
          </cell>
          <cell r="C584" t="str">
            <v>Contractor-Temporary Employment</v>
          </cell>
          <cell r="D584">
            <v>1661367.41</v>
          </cell>
          <cell r="F584">
            <v>1541749.23</v>
          </cell>
          <cell r="H584">
            <v>119618.17999999993</v>
          </cell>
        </row>
        <row r="585">
          <cell r="A585">
            <v>760020</v>
          </cell>
          <cell r="C585" t="str">
            <v>Contractor-Maintenance</v>
          </cell>
          <cell r="D585">
            <v>4149349.98</v>
          </cell>
          <cell r="F585">
            <v>4612908.8499999996</v>
          </cell>
          <cell r="H585">
            <v>-463558.86999999965</v>
          </cell>
        </row>
        <row r="586">
          <cell r="A586">
            <v>760025</v>
          </cell>
          <cell r="C586" t="str">
            <v>Contractor-Training</v>
          </cell>
          <cell r="D586">
            <v>292290.44</v>
          </cell>
          <cell r="F586">
            <v>330276.05</v>
          </cell>
          <cell r="H586">
            <v>-37985.609999999986</v>
          </cell>
        </row>
        <row r="587">
          <cell r="A587">
            <v>760035</v>
          </cell>
          <cell r="C587" t="str">
            <v>Contractor-Outside Counsel/Legal</v>
          </cell>
          <cell r="D587">
            <v>3266880.54</v>
          </cell>
          <cell r="F587">
            <v>2098292.6</v>
          </cell>
          <cell r="H587">
            <v>1168587.94</v>
          </cell>
        </row>
        <row r="588">
          <cell r="A588">
            <v>760040</v>
          </cell>
          <cell r="C588" t="str">
            <v>Contractor-Supplemental Skills</v>
          </cell>
          <cell r="D588">
            <v>93952740.629999995</v>
          </cell>
          <cell r="F588">
            <v>72305379.120000005</v>
          </cell>
          <cell r="H588">
            <v>21647361.50999999</v>
          </cell>
        </row>
        <row r="589">
          <cell r="A589">
            <v>760041</v>
          </cell>
          <cell r="C589" t="str">
            <v>Contractor-External Craft Skills</v>
          </cell>
          <cell r="D589">
            <v>17059529.059999999</v>
          </cell>
          <cell r="F589">
            <v>16784625.859999999</v>
          </cell>
          <cell r="H589">
            <v>274903.19999999925</v>
          </cell>
        </row>
        <row r="590">
          <cell r="A590">
            <v>760042</v>
          </cell>
          <cell r="C590" t="str">
            <v>Contractor-Design for Construction</v>
          </cell>
          <cell r="D590">
            <v>1560750.91</v>
          </cell>
          <cell r="F590">
            <v>1331822.1499999999</v>
          </cell>
          <cell r="H590">
            <v>228928.76</v>
          </cell>
        </row>
        <row r="591">
          <cell r="A591">
            <v>760100</v>
          </cell>
          <cell r="C591" t="str">
            <v>Contractor-Publicity/Public Relations</v>
          </cell>
          <cell r="D591">
            <v>0</v>
          </cell>
          <cell r="F591">
            <v>8062.54</v>
          </cell>
          <cell r="H591">
            <v>-8062.54</v>
          </cell>
        </row>
        <row r="592">
          <cell r="A592">
            <v>760102</v>
          </cell>
          <cell r="C592" t="str">
            <v>Contractor-Advertising-Media</v>
          </cell>
          <cell r="D592">
            <v>1094318.44</v>
          </cell>
          <cell r="F592">
            <v>1259555.92</v>
          </cell>
          <cell r="H592">
            <v>-165237.47999999998</v>
          </cell>
        </row>
        <row r="593">
          <cell r="A593">
            <v>760105</v>
          </cell>
          <cell r="C593" t="str">
            <v>Contractor-Legal Other</v>
          </cell>
          <cell r="D593">
            <v>51577.39</v>
          </cell>
          <cell r="F593">
            <v>-90453.65</v>
          </cell>
          <cell r="H593">
            <v>142031.03999999998</v>
          </cell>
        </row>
        <row r="594">
          <cell r="A594">
            <v>760110</v>
          </cell>
          <cell r="C594" t="str">
            <v>Contractor-Estimated Accruals</v>
          </cell>
          <cell r="D594">
            <v>3125078</v>
          </cell>
          <cell r="F594">
            <v>0</v>
          </cell>
          <cell r="H594">
            <v>3125078</v>
          </cell>
        </row>
        <row r="595">
          <cell r="A595">
            <v>800040</v>
          </cell>
          <cell r="C595" t="str">
            <v>Contractor - Capital Accruals</v>
          </cell>
          <cell r="D595">
            <v>3785666</v>
          </cell>
          <cell r="F595">
            <v>0</v>
          </cell>
          <cell r="H595">
            <v>3785666</v>
          </cell>
        </row>
        <row r="596">
          <cell r="A596" t="str">
            <v>Contractors</v>
          </cell>
          <cell r="D596">
            <v>163736901.5</v>
          </cell>
          <cell r="F596">
            <v>132065036.52</v>
          </cell>
          <cell r="H596">
            <v>31671864.980000004</v>
          </cell>
        </row>
        <row r="597">
          <cell r="A597">
            <v>770005</v>
          </cell>
          <cell r="C597" t="str">
            <v>Rents-Building and Property</v>
          </cell>
          <cell r="D597">
            <v>242276.22</v>
          </cell>
          <cell r="F597">
            <v>-9725.41</v>
          </cell>
          <cell r="H597">
            <v>252001.63</v>
          </cell>
        </row>
        <row r="598">
          <cell r="A598">
            <v>770010</v>
          </cell>
          <cell r="C598" t="str">
            <v>Rents-Pole Attachments</v>
          </cell>
          <cell r="D598">
            <v>223864</v>
          </cell>
          <cell r="F598">
            <v>4284</v>
          </cell>
          <cell r="H598">
            <v>219580</v>
          </cell>
        </row>
        <row r="599">
          <cell r="A599">
            <v>770015</v>
          </cell>
          <cell r="C599" t="str">
            <v>Rents-Other</v>
          </cell>
          <cell r="D599">
            <v>15567997.84</v>
          </cell>
          <cell r="F599">
            <v>15483898.34</v>
          </cell>
          <cell r="H599">
            <v>84099.5</v>
          </cell>
        </row>
        <row r="600">
          <cell r="A600">
            <v>770016</v>
          </cell>
          <cell r="C600" t="str">
            <v>Rents-Transmission Agreements</v>
          </cell>
          <cell r="D600">
            <v>133400.57999999999</v>
          </cell>
          <cell r="F600">
            <v>235663.39</v>
          </cell>
          <cell r="H600">
            <v>-102262.81000000003</v>
          </cell>
        </row>
        <row r="601">
          <cell r="A601">
            <v>771005</v>
          </cell>
          <cell r="C601" t="str">
            <v>Leases-Equipment and Computers</v>
          </cell>
          <cell r="D601">
            <v>358642.31</v>
          </cell>
          <cell r="F601">
            <v>480533.4</v>
          </cell>
          <cell r="H601">
            <v>-121891.09000000003</v>
          </cell>
        </row>
        <row r="602">
          <cell r="A602">
            <v>771010</v>
          </cell>
          <cell r="C602" t="str">
            <v>Leases-Vehicle</v>
          </cell>
          <cell r="D602">
            <v>2774569.05</v>
          </cell>
          <cell r="F602">
            <v>2908846.88</v>
          </cell>
          <cell r="H602">
            <v>-134277.83000000007</v>
          </cell>
        </row>
        <row r="603">
          <cell r="A603" t="str">
            <v>Rents</v>
          </cell>
          <cell r="D603">
            <v>19300750</v>
          </cell>
          <cell r="F603">
            <v>19103500.600000001</v>
          </cell>
          <cell r="H603">
            <v>197249.39999999851</v>
          </cell>
        </row>
        <row r="604">
          <cell r="A604">
            <v>772005</v>
          </cell>
          <cell r="C604" t="str">
            <v>Insurance-Property</v>
          </cell>
          <cell r="D604">
            <v>3307.58</v>
          </cell>
          <cell r="F604">
            <v>0</v>
          </cell>
          <cell r="H604">
            <v>3307.58</v>
          </cell>
        </row>
        <row r="605">
          <cell r="A605">
            <v>772010</v>
          </cell>
          <cell r="C605" t="str">
            <v>Insurance-Liability</v>
          </cell>
          <cell r="D605">
            <v>24533.06</v>
          </cell>
          <cell r="F605">
            <v>6837.1</v>
          </cell>
          <cell r="H605">
            <v>17695.96</v>
          </cell>
        </row>
        <row r="606">
          <cell r="A606">
            <v>772015</v>
          </cell>
          <cell r="C606" t="str">
            <v>Insurance-Other</v>
          </cell>
          <cell r="D606">
            <v>-2720135.61</v>
          </cell>
          <cell r="F606">
            <v>523393.82</v>
          </cell>
          <cell r="H606">
            <v>-3243529.4299999997</v>
          </cell>
        </row>
        <row r="607">
          <cell r="A607">
            <v>772020</v>
          </cell>
          <cell r="C607" t="str">
            <v>Claims-General Liability</v>
          </cell>
          <cell r="D607">
            <v>1109116.42</v>
          </cell>
          <cell r="F607">
            <v>249026.8</v>
          </cell>
          <cell r="H607">
            <v>860089.61999999988</v>
          </cell>
        </row>
        <row r="608">
          <cell r="A608">
            <v>772025</v>
          </cell>
          <cell r="C608" t="str">
            <v>Claims-Auto Liability</v>
          </cell>
          <cell r="D608">
            <v>356195.83</v>
          </cell>
          <cell r="F608">
            <v>19922.77</v>
          </cell>
          <cell r="H608">
            <v>336273.06</v>
          </cell>
        </row>
        <row r="609">
          <cell r="A609" t="str">
            <v>Insurance</v>
          </cell>
          <cell r="D609">
            <v>-1226982.72</v>
          </cell>
          <cell r="F609">
            <v>799180.49</v>
          </cell>
          <cell r="H609">
            <v>-2026163.21</v>
          </cell>
        </row>
        <row r="610">
          <cell r="A610">
            <v>790005</v>
          </cell>
          <cell r="C610" t="str">
            <v>Travel-Registration Fees</v>
          </cell>
          <cell r="D610">
            <v>14997</v>
          </cell>
          <cell r="F610">
            <v>12978.16</v>
          </cell>
          <cell r="H610">
            <v>2018.8400000000001</v>
          </cell>
        </row>
        <row r="611">
          <cell r="A611">
            <v>790010</v>
          </cell>
          <cell r="C611" t="str">
            <v>Travel-Expenses</v>
          </cell>
          <cell r="D611">
            <v>363891.34</v>
          </cell>
          <cell r="F611">
            <v>285847.84000000003</v>
          </cell>
          <cell r="H611">
            <v>78043.5</v>
          </cell>
        </row>
        <row r="612">
          <cell r="A612">
            <v>790015</v>
          </cell>
          <cell r="C612" t="str">
            <v>Travel-Nondeductible</v>
          </cell>
          <cell r="D612">
            <v>45.5</v>
          </cell>
          <cell r="F612">
            <v>1575.97</v>
          </cell>
          <cell r="H612">
            <v>-1530.47</v>
          </cell>
        </row>
        <row r="613">
          <cell r="A613">
            <v>790020</v>
          </cell>
          <cell r="C613" t="str">
            <v>Travel-Meals and Entertainment</v>
          </cell>
          <cell r="D613">
            <v>50</v>
          </cell>
          <cell r="F613">
            <v>0</v>
          </cell>
          <cell r="H613">
            <v>50</v>
          </cell>
        </row>
        <row r="614">
          <cell r="A614">
            <v>790025</v>
          </cell>
          <cell r="C614" t="str">
            <v>Travel-Employee Mileage</v>
          </cell>
          <cell r="D614">
            <v>189429.41</v>
          </cell>
          <cell r="F614">
            <v>206476.41</v>
          </cell>
          <cell r="H614">
            <v>-17047</v>
          </cell>
        </row>
        <row r="615">
          <cell r="A615" t="str">
            <v>Travel</v>
          </cell>
          <cell r="D615">
            <v>568413.25</v>
          </cell>
          <cell r="F615">
            <v>506878.38</v>
          </cell>
          <cell r="H615">
            <v>61534.869999999995</v>
          </cell>
        </row>
        <row r="616">
          <cell r="A616">
            <v>791005</v>
          </cell>
          <cell r="C616" t="str">
            <v>General -Registration Fees</v>
          </cell>
          <cell r="D616">
            <v>102581.09</v>
          </cell>
          <cell r="F616">
            <v>109059.22</v>
          </cell>
          <cell r="H616">
            <v>-6478.1300000000047</v>
          </cell>
        </row>
        <row r="617">
          <cell r="A617">
            <v>791010</v>
          </cell>
          <cell r="C617" t="str">
            <v>Training-Materials and Other</v>
          </cell>
          <cell r="D617">
            <v>50838.09</v>
          </cell>
          <cell r="F617">
            <v>53734.95</v>
          </cell>
          <cell r="H617">
            <v>-2896.8600000000006</v>
          </cell>
        </row>
        <row r="618">
          <cell r="A618" t="str">
            <v>Training</v>
          </cell>
          <cell r="D618">
            <v>153419.18</v>
          </cell>
          <cell r="F618">
            <v>162794.17000000001</v>
          </cell>
          <cell r="H618">
            <v>-9374.9900000000198</v>
          </cell>
        </row>
        <row r="619">
          <cell r="A619">
            <v>792005</v>
          </cell>
          <cell r="C619" t="str">
            <v>Employee Memberships-Deductible</v>
          </cell>
          <cell r="D619">
            <v>28522.9</v>
          </cell>
          <cell r="F619">
            <v>566859.01</v>
          </cell>
          <cell r="H619">
            <v>-538336.11</v>
          </cell>
        </row>
        <row r="620">
          <cell r="A620">
            <v>792006</v>
          </cell>
          <cell r="C620" t="str">
            <v>Corporate Memberships-Deductible</v>
          </cell>
          <cell r="D620">
            <v>445505.51</v>
          </cell>
          <cell r="F620">
            <v>52295.22</v>
          </cell>
          <cell r="H620">
            <v>393210.29000000004</v>
          </cell>
        </row>
        <row r="621">
          <cell r="A621">
            <v>792010</v>
          </cell>
          <cell r="C621" t="str">
            <v>Employee Memberships-Nondeductible</v>
          </cell>
          <cell r="D621">
            <v>26133.09</v>
          </cell>
          <cell r="F621">
            <v>40700.14</v>
          </cell>
          <cell r="H621">
            <v>-14567.05</v>
          </cell>
        </row>
        <row r="622">
          <cell r="A622">
            <v>792011</v>
          </cell>
          <cell r="C622" t="str">
            <v>Corporate Memberships-Nondeductible</v>
          </cell>
          <cell r="D622">
            <v>69461.11</v>
          </cell>
          <cell r="F622">
            <v>14854.12</v>
          </cell>
          <cell r="H622">
            <v>54606.99</v>
          </cell>
        </row>
        <row r="623">
          <cell r="A623" t="str">
            <v>Memberships and Dues</v>
          </cell>
          <cell r="D623">
            <v>569622.61</v>
          </cell>
          <cell r="F623">
            <v>674708.49</v>
          </cell>
          <cell r="H623">
            <v>-105085.88</v>
          </cell>
        </row>
        <row r="624">
          <cell r="A624">
            <v>794005</v>
          </cell>
          <cell r="C624" t="str">
            <v>Collection-Uncollectible Accts</v>
          </cell>
          <cell r="D624">
            <v>15159130.789999999</v>
          </cell>
          <cell r="F624">
            <v>10998736.84</v>
          </cell>
          <cell r="H624">
            <v>4160393.9499999993</v>
          </cell>
        </row>
        <row r="625">
          <cell r="A625">
            <v>794006</v>
          </cell>
          <cell r="C625" t="str">
            <v>Collection-Agency Fees</v>
          </cell>
          <cell r="D625">
            <v>375447.81</v>
          </cell>
          <cell r="F625">
            <v>891311.49</v>
          </cell>
          <cell r="H625">
            <v>-515863.68</v>
          </cell>
        </row>
        <row r="626">
          <cell r="A626">
            <v>794007</v>
          </cell>
          <cell r="C626" t="str">
            <v>Collection-Uncollectible-Special Billin</v>
          </cell>
          <cell r="D626">
            <v>425489.75</v>
          </cell>
          <cell r="F626">
            <v>153258.32</v>
          </cell>
          <cell r="H626">
            <v>272231.43</v>
          </cell>
        </row>
        <row r="627">
          <cell r="A627" t="str">
            <v>Collection</v>
          </cell>
          <cell r="D627">
            <v>15960068.35</v>
          </cell>
          <cell r="F627">
            <v>12043306.65</v>
          </cell>
          <cell r="H627">
            <v>3916761.6999999993</v>
          </cell>
        </row>
        <row r="628">
          <cell r="A628">
            <v>530150</v>
          </cell>
          <cell r="C628" t="str">
            <v>Gain on Claim Settlement</v>
          </cell>
          <cell r="D628">
            <v>-33440422.739999998</v>
          </cell>
          <cell r="F628">
            <v>0</v>
          </cell>
          <cell r="H628">
            <v>-33440422.739999998</v>
          </cell>
        </row>
        <row r="629">
          <cell r="A629" t="str">
            <v>Gain on Claim Settlement</v>
          </cell>
          <cell r="D629">
            <v>-33440422.739999998</v>
          </cell>
          <cell r="F629">
            <v>0</v>
          </cell>
          <cell r="H629">
            <v>-33440422.739999998</v>
          </cell>
        </row>
        <row r="630">
          <cell r="A630">
            <v>530005</v>
          </cell>
          <cell r="C630" t="str">
            <v>Gain / Loss on Disposition of Property</v>
          </cell>
          <cell r="D630">
            <v>-580178.84</v>
          </cell>
          <cell r="F630">
            <v>-711.44</v>
          </cell>
          <cell r="H630">
            <v>-579467.4</v>
          </cell>
        </row>
        <row r="631">
          <cell r="A631" t="str">
            <v>Gain from Sale of Assets</v>
          </cell>
          <cell r="D631">
            <v>-580178.84</v>
          </cell>
          <cell r="F631">
            <v>-711.44</v>
          </cell>
          <cell r="H631">
            <v>-579467.4</v>
          </cell>
        </row>
        <row r="632">
          <cell r="A632">
            <v>751031</v>
          </cell>
          <cell r="C632" t="str">
            <v>PJM - Scheduling, System Control &amp; Disp</v>
          </cell>
          <cell r="D632">
            <v>58783.6</v>
          </cell>
          <cell r="F632">
            <v>52604.18</v>
          </cell>
          <cell r="H632">
            <v>6179.4199999999983</v>
          </cell>
        </row>
        <row r="633">
          <cell r="A633">
            <v>751032</v>
          </cell>
          <cell r="C633" t="str">
            <v>PJM - LT Reliability Planning &amp; Standar</v>
          </cell>
          <cell r="D633">
            <v>8593.98</v>
          </cell>
          <cell r="F633">
            <v>2586.4299999999998</v>
          </cell>
          <cell r="H633">
            <v>6007.5499999999993</v>
          </cell>
        </row>
        <row r="634">
          <cell r="A634">
            <v>751033</v>
          </cell>
          <cell r="C634" t="str">
            <v>PJM - Market Facilitation, Monitoring &amp;</v>
          </cell>
          <cell r="D634">
            <v>26354.03</v>
          </cell>
          <cell r="F634">
            <v>16362.95</v>
          </cell>
          <cell r="H634">
            <v>9991.0799999999981</v>
          </cell>
        </row>
        <row r="635">
          <cell r="A635">
            <v>751035</v>
          </cell>
          <cell r="C635" t="str">
            <v>Purc Power System Load Dispatch &amp; Addit</v>
          </cell>
          <cell r="D635">
            <v>13214</v>
          </cell>
          <cell r="F635">
            <v>176864.15</v>
          </cell>
          <cell r="H635">
            <v>-163650.15</v>
          </cell>
        </row>
        <row r="636">
          <cell r="A636">
            <v>792015</v>
          </cell>
          <cell r="C636" t="str">
            <v>Sponsorship/Associations</v>
          </cell>
          <cell r="D636">
            <v>220964.04</v>
          </cell>
          <cell r="F636">
            <v>150278.1</v>
          </cell>
          <cell r="H636">
            <v>70685.94</v>
          </cell>
        </row>
        <row r="637">
          <cell r="A637">
            <v>793005</v>
          </cell>
          <cell r="C637" t="str">
            <v>Donations-Deductible</v>
          </cell>
          <cell r="D637">
            <v>1771300.26</v>
          </cell>
          <cell r="F637">
            <v>1851142.91</v>
          </cell>
          <cell r="H637">
            <v>-79842.649999999907</v>
          </cell>
        </row>
        <row r="638">
          <cell r="A638">
            <v>793010</v>
          </cell>
          <cell r="C638" t="str">
            <v>Donations-Nondeductible</v>
          </cell>
          <cell r="D638">
            <v>162652.04999999999</v>
          </cell>
          <cell r="F638">
            <v>177533.97</v>
          </cell>
          <cell r="H638">
            <v>-14881.920000000013</v>
          </cell>
        </row>
        <row r="639">
          <cell r="A639">
            <v>794010</v>
          </cell>
          <cell r="C639" t="str">
            <v>General-Penalties</v>
          </cell>
          <cell r="D639">
            <v>-237193.24</v>
          </cell>
          <cell r="F639">
            <v>257253.55</v>
          </cell>
          <cell r="H639">
            <v>-494446.79</v>
          </cell>
        </row>
        <row r="640">
          <cell r="A640">
            <v>794015</v>
          </cell>
          <cell r="C640" t="str">
            <v>General-Advertising Expenses</v>
          </cell>
          <cell r="D640">
            <v>42803.09</v>
          </cell>
          <cell r="F640">
            <v>56250.46</v>
          </cell>
          <cell r="H640">
            <v>-13447.370000000003</v>
          </cell>
        </row>
        <row r="641">
          <cell r="A641">
            <v>794020</v>
          </cell>
          <cell r="C641" t="str">
            <v>General-Utilities</v>
          </cell>
          <cell r="D641">
            <v>60906.82</v>
          </cell>
          <cell r="F641">
            <v>33755.230000000003</v>
          </cell>
          <cell r="H641">
            <v>27151.589999999997</v>
          </cell>
        </row>
        <row r="642">
          <cell r="A642">
            <v>794035</v>
          </cell>
          <cell r="C642" t="str">
            <v>General-Fees and Licenses</v>
          </cell>
          <cell r="D642">
            <v>5758350.1100000003</v>
          </cell>
          <cell r="F642">
            <v>2198018.3199999998</v>
          </cell>
          <cell r="H642">
            <v>3560331.7900000005</v>
          </cell>
        </row>
        <row r="643">
          <cell r="A643">
            <v>794038</v>
          </cell>
          <cell r="C643" t="str">
            <v>Bank Fees</v>
          </cell>
          <cell r="D643">
            <v>1017451.49</v>
          </cell>
          <cell r="F643">
            <v>1036973.23</v>
          </cell>
          <cell r="H643">
            <v>-19521.739999999991</v>
          </cell>
        </row>
        <row r="644">
          <cell r="A644">
            <v>794040</v>
          </cell>
          <cell r="C644" t="str">
            <v>General-Postage</v>
          </cell>
          <cell r="D644">
            <v>3185205.99</v>
          </cell>
          <cell r="F644">
            <v>3225187.79</v>
          </cell>
          <cell r="H644">
            <v>-39981.799999999814</v>
          </cell>
        </row>
        <row r="645">
          <cell r="A645">
            <v>794075</v>
          </cell>
          <cell r="C645" t="str">
            <v>Deferred Administrative Expenses - SOS</v>
          </cell>
          <cell r="D645">
            <v>-4236225.05</v>
          </cell>
          <cell r="F645">
            <v>-2150803.36</v>
          </cell>
          <cell r="H645">
            <v>-2085421.69</v>
          </cell>
        </row>
        <row r="646">
          <cell r="A646">
            <v>794100</v>
          </cell>
          <cell r="C646" t="str">
            <v>General - Safety Apparel</v>
          </cell>
          <cell r="D646">
            <v>531279.91</v>
          </cell>
          <cell r="F646">
            <v>280476.81</v>
          </cell>
          <cell r="H646">
            <v>250803.10000000003</v>
          </cell>
        </row>
        <row r="647">
          <cell r="A647">
            <v>795010</v>
          </cell>
          <cell r="C647" t="str">
            <v>General-Meals</v>
          </cell>
          <cell r="D647">
            <v>394462.67</v>
          </cell>
          <cell r="F647">
            <v>311257.34000000003</v>
          </cell>
          <cell r="H647">
            <v>83205.329999999958</v>
          </cell>
        </row>
        <row r="648">
          <cell r="A648">
            <v>795012</v>
          </cell>
          <cell r="C648" t="str">
            <v>General-Entertainment</v>
          </cell>
          <cell r="D648">
            <v>256689.3</v>
          </cell>
          <cell r="F648">
            <v>292193.68</v>
          </cell>
          <cell r="H648">
            <v>-35504.380000000005</v>
          </cell>
        </row>
        <row r="649">
          <cell r="A649">
            <v>795015</v>
          </cell>
          <cell r="C649" t="str">
            <v>General-Office Supplies and Expense</v>
          </cell>
          <cell r="D649">
            <v>761885.95</v>
          </cell>
          <cell r="F649">
            <v>787527.34</v>
          </cell>
          <cell r="H649">
            <v>-25641.390000000014</v>
          </cell>
        </row>
        <row r="650">
          <cell r="A650">
            <v>795016</v>
          </cell>
          <cell r="C650" t="str">
            <v>General-Telephone</v>
          </cell>
          <cell r="D650">
            <v>624763.56999999995</v>
          </cell>
          <cell r="F650">
            <v>573755.56000000006</v>
          </cell>
          <cell r="H650">
            <v>51008.009999999893</v>
          </cell>
        </row>
        <row r="651">
          <cell r="A651">
            <v>795017</v>
          </cell>
          <cell r="C651" t="str">
            <v>General-Software</v>
          </cell>
          <cell r="D651">
            <v>2888383.9</v>
          </cell>
          <cell r="F651">
            <v>1855223.42</v>
          </cell>
          <cell r="H651">
            <v>1033160.48</v>
          </cell>
        </row>
        <row r="652">
          <cell r="A652">
            <v>795018</v>
          </cell>
          <cell r="C652" t="str">
            <v>General-Noncash Service/Safety Awards</v>
          </cell>
          <cell r="D652">
            <v>38690.94</v>
          </cell>
          <cell r="F652">
            <v>9393.39</v>
          </cell>
          <cell r="H652">
            <v>29297.550000000003</v>
          </cell>
        </row>
        <row r="653">
          <cell r="A653">
            <v>795019</v>
          </cell>
          <cell r="C653" t="str">
            <v>General-Noncash Employee Small Gifts</v>
          </cell>
          <cell r="D653">
            <v>8673.5400000000009</v>
          </cell>
          <cell r="F653">
            <v>7246.52</v>
          </cell>
          <cell r="H653">
            <v>1427.0200000000004</v>
          </cell>
        </row>
        <row r="654">
          <cell r="A654">
            <v>795020</v>
          </cell>
          <cell r="C654" t="str">
            <v>General-Promotional Expenses</v>
          </cell>
          <cell r="D654">
            <v>58307.43</v>
          </cell>
          <cell r="F654">
            <v>23060.93</v>
          </cell>
          <cell r="H654">
            <v>35246.5</v>
          </cell>
        </row>
        <row r="655">
          <cell r="A655">
            <v>795022</v>
          </cell>
          <cell r="C655" t="str">
            <v>General-Computers &amp; Equipment Purchases</v>
          </cell>
          <cell r="D655">
            <v>1433931.81</v>
          </cell>
          <cell r="F655">
            <v>674029.5</v>
          </cell>
          <cell r="H655">
            <v>759902.31</v>
          </cell>
        </row>
        <row r="656">
          <cell r="A656">
            <v>796001</v>
          </cell>
          <cell r="C656" t="str">
            <v>General-Regulatory Credits</v>
          </cell>
          <cell r="D656">
            <v>-1143276</v>
          </cell>
          <cell r="F656">
            <v>0</v>
          </cell>
          <cell r="H656">
            <v>-1143276</v>
          </cell>
        </row>
        <row r="657">
          <cell r="A657">
            <v>796005</v>
          </cell>
          <cell r="C657" t="str">
            <v>General-Miscellaneous Deductions</v>
          </cell>
          <cell r="D657">
            <v>430123.74</v>
          </cell>
          <cell r="F657">
            <v>-309406.36</v>
          </cell>
          <cell r="H657">
            <v>739530.1</v>
          </cell>
        </row>
        <row r="658">
          <cell r="A658" t="str">
            <v>General</v>
          </cell>
          <cell r="D658">
            <v>14137077.93</v>
          </cell>
          <cell r="F658">
            <v>11588766.039999999</v>
          </cell>
          <cell r="H658">
            <v>2548311.8900000006</v>
          </cell>
        </row>
        <row r="659">
          <cell r="A659">
            <v>783500</v>
          </cell>
          <cell r="C659" t="str">
            <v>CIAC-Taxable</v>
          </cell>
          <cell r="D659">
            <v>-20045809.420000002</v>
          </cell>
          <cell r="F659">
            <v>-17189776.91</v>
          </cell>
          <cell r="H659">
            <v>-2856032.5100000016</v>
          </cell>
        </row>
        <row r="660">
          <cell r="A660">
            <v>783510</v>
          </cell>
          <cell r="C660" t="str">
            <v>CIAC-Non Taxable</v>
          </cell>
          <cell r="D660">
            <v>-3907864.63</v>
          </cell>
          <cell r="F660">
            <v>-4570961.8099999996</v>
          </cell>
          <cell r="H660">
            <v>663097.1799999997</v>
          </cell>
        </row>
        <row r="661">
          <cell r="A661">
            <v>783520</v>
          </cell>
          <cell r="C661" t="str">
            <v>CIAC-Nonstandard Taxable</v>
          </cell>
          <cell r="D661">
            <v>-1339817</v>
          </cell>
          <cell r="F661">
            <v>-2865743.33</v>
          </cell>
          <cell r="H661">
            <v>1525926.33</v>
          </cell>
        </row>
        <row r="662">
          <cell r="A662">
            <v>783600</v>
          </cell>
          <cell r="C662" t="str">
            <v>AFUDC to Projects</v>
          </cell>
          <cell r="D662">
            <v>8020186.0099999998</v>
          </cell>
          <cell r="F662">
            <v>4027941.67</v>
          </cell>
          <cell r="H662">
            <v>3992244.34</v>
          </cell>
        </row>
        <row r="663">
          <cell r="A663">
            <v>783700</v>
          </cell>
          <cell r="C663" t="str">
            <v>Salvage</v>
          </cell>
          <cell r="D663">
            <v>-252494.93</v>
          </cell>
          <cell r="F663">
            <v>-246969.56</v>
          </cell>
          <cell r="H663">
            <v>-5525.3699999999953</v>
          </cell>
        </row>
        <row r="664">
          <cell r="A664">
            <v>783800</v>
          </cell>
          <cell r="C664" t="str">
            <v>Reimbursed Costs</v>
          </cell>
          <cell r="D664">
            <v>-15579950.279999999</v>
          </cell>
          <cell r="F664">
            <v>-632213.17000000004</v>
          </cell>
          <cell r="H664">
            <v>-14947737.109999999</v>
          </cell>
        </row>
        <row r="665">
          <cell r="A665">
            <v>783999</v>
          </cell>
          <cell r="C665" t="str">
            <v>Costs Transferred</v>
          </cell>
          <cell r="D665">
            <v>-105307.37</v>
          </cell>
          <cell r="F665">
            <v>-506495.09</v>
          </cell>
          <cell r="H665">
            <v>401187.72000000003</v>
          </cell>
        </row>
        <row r="666">
          <cell r="A666">
            <v>800005</v>
          </cell>
          <cell r="C666" t="str">
            <v>Transfer-Labor Costs</v>
          </cell>
          <cell r="D666">
            <v>2293428</v>
          </cell>
          <cell r="F666">
            <v>-63680</v>
          </cell>
          <cell r="H666">
            <v>2357108</v>
          </cell>
        </row>
        <row r="667">
          <cell r="A667">
            <v>800009</v>
          </cell>
          <cell r="C667" t="str">
            <v>Transfer-E&amp;S and A&amp;G</v>
          </cell>
          <cell r="D667">
            <v>135305.97</v>
          </cell>
          <cell r="F667">
            <v>0</v>
          </cell>
          <cell r="H667">
            <v>135305.97</v>
          </cell>
        </row>
        <row r="668">
          <cell r="A668">
            <v>800010</v>
          </cell>
          <cell r="C668" t="str">
            <v>Transfer-Other</v>
          </cell>
          <cell r="D668">
            <v>6643300.3799999999</v>
          </cell>
          <cell r="F668">
            <v>-294462.67</v>
          </cell>
          <cell r="H668">
            <v>6937763.0499999998</v>
          </cell>
        </row>
        <row r="669">
          <cell r="A669">
            <v>800025</v>
          </cell>
          <cell r="C669" t="str">
            <v>Transfer-Facility Costs</v>
          </cell>
          <cell r="D669">
            <v>0</v>
          </cell>
          <cell r="F669">
            <v>-0.03</v>
          </cell>
          <cell r="H669">
            <v>0.03</v>
          </cell>
        </row>
        <row r="670">
          <cell r="A670" t="str">
            <v>Costs Transferred</v>
          </cell>
          <cell r="D670">
            <v>-24139023.27</v>
          </cell>
          <cell r="F670">
            <v>-22342360.899999999</v>
          </cell>
          <cell r="H670">
            <v>-1796662.370000001</v>
          </cell>
        </row>
        <row r="671">
          <cell r="A671">
            <v>783000</v>
          </cell>
          <cell r="C671" t="str">
            <v>Settlement-Assets</v>
          </cell>
          <cell r="D671">
            <v>-272972396.81</v>
          </cell>
          <cell r="F671">
            <v>-240053022.34999999</v>
          </cell>
          <cell r="H671">
            <v>-32919374.460000008</v>
          </cell>
        </row>
        <row r="672">
          <cell r="A672">
            <v>783005</v>
          </cell>
          <cell r="C672" t="str">
            <v>Settlement-CIAC</v>
          </cell>
          <cell r="D672">
            <v>25294435.050000001</v>
          </cell>
          <cell r="F672">
            <v>24623538.050000001</v>
          </cell>
          <cell r="H672">
            <v>670897</v>
          </cell>
        </row>
        <row r="673">
          <cell r="A673">
            <v>783010</v>
          </cell>
          <cell r="C673" t="str">
            <v>Settlement-AFUDC</v>
          </cell>
          <cell r="D673">
            <v>-8020186.0099999998</v>
          </cell>
          <cell r="F673">
            <v>-4027941.67</v>
          </cell>
          <cell r="H673">
            <v>-3992244.34</v>
          </cell>
        </row>
        <row r="674">
          <cell r="A674">
            <v>783015</v>
          </cell>
          <cell r="C674" t="str">
            <v>Settlement-Removal Costs</v>
          </cell>
          <cell r="D674">
            <v>-882224.36</v>
          </cell>
          <cell r="F674">
            <v>445045.13</v>
          </cell>
          <cell r="H674">
            <v>-1327269.49</v>
          </cell>
        </row>
        <row r="675">
          <cell r="A675">
            <v>783020</v>
          </cell>
          <cell r="C675" t="str">
            <v>Settlement-Salvage</v>
          </cell>
          <cell r="D675">
            <v>252494.93</v>
          </cell>
          <cell r="F675">
            <v>246969.56</v>
          </cell>
          <cell r="H675">
            <v>5525.3699999999953</v>
          </cell>
        </row>
        <row r="676">
          <cell r="A676">
            <v>783100</v>
          </cell>
          <cell r="C676" t="str">
            <v>Settlement-Deferred Costs</v>
          </cell>
          <cell r="D676">
            <v>-2582524.91</v>
          </cell>
          <cell r="F676">
            <v>-23443278.359999999</v>
          </cell>
          <cell r="H676">
            <v>20860753.449999999</v>
          </cell>
        </row>
        <row r="677">
          <cell r="A677">
            <v>796010</v>
          </cell>
          <cell r="C677" t="str">
            <v>Business Transformation Costs</v>
          </cell>
          <cell r="D677">
            <v>-1290546.81</v>
          </cell>
          <cell r="F677">
            <v>0</v>
          </cell>
          <cell r="H677">
            <v>-1290546.81</v>
          </cell>
        </row>
        <row r="678">
          <cell r="A678" t="str">
            <v>Capitalized Costs</v>
          </cell>
          <cell r="D678">
            <v>-260200948.91999999</v>
          </cell>
          <cell r="F678">
            <v>-242208689.63999999</v>
          </cell>
          <cell r="H678">
            <v>-17992259.280000001</v>
          </cell>
        </row>
        <row r="679">
          <cell r="A679">
            <v>798502</v>
          </cell>
          <cell r="C679" t="str">
            <v>Direct Charge Debit</v>
          </cell>
          <cell r="D679">
            <v>96510830.799999997</v>
          </cell>
          <cell r="F679">
            <v>97141526.280000001</v>
          </cell>
          <cell r="H679">
            <v>-630695.48000000417</v>
          </cell>
        </row>
        <row r="680">
          <cell r="A680">
            <v>798503</v>
          </cell>
          <cell r="C680" t="str">
            <v>Direct Charge Credit</v>
          </cell>
          <cell r="D680">
            <v>-52901210.770000003</v>
          </cell>
          <cell r="F680">
            <v>-57139012.020000003</v>
          </cell>
          <cell r="H680">
            <v>4237801.25</v>
          </cell>
        </row>
        <row r="681">
          <cell r="A681">
            <v>798504</v>
          </cell>
          <cell r="C681" t="str">
            <v>Assessment Debit</v>
          </cell>
          <cell r="D681">
            <v>132848422.27</v>
          </cell>
          <cell r="F681">
            <v>123458452.13</v>
          </cell>
          <cell r="H681">
            <v>9389970.1400000006</v>
          </cell>
        </row>
        <row r="682">
          <cell r="A682">
            <v>798505</v>
          </cell>
          <cell r="C682" t="str">
            <v>Assessment Credit</v>
          </cell>
          <cell r="D682">
            <v>-48594461.490000002</v>
          </cell>
          <cell r="F682">
            <v>-49826576.109999999</v>
          </cell>
          <cell r="H682">
            <v>1232114.6199999973</v>
          </cell>
        </row>
        <row r="683">
          <cell r="A683">
            <v>798506</v>
          </cell>
          <cell r="C683" t="str">
            <v>Overhead Debit</v>
          </cell>
          <cell r="D683">
            <v>816197.78</v>
          </cell>
          <cell r="F683">
            <v>697584.69</v>
          </cell>
          <cell r="H683">
            <v>118613.09000000008</v>
          </cell>
        </row>
        <row r="684">
          <cell r="A684">
            <v>798507</v>
          </cell>
          <cell r="C684" t="str">
            <v>Overhead Credit</v>
          </cell>
          <cell r="D684">
            <v>-816197.78</v>
          </cell>
          <cell r="F684">
            <v>-697584.69</v>
          </cell>
          <cell r="H684">
            <v>-118613.09000000008</v>
          </cell>
        </row>
        <row r="685">
          <cell r="A685">
            <v>798508</v>
          </cell>
          <cell r="C685" t="str">
            <v>Order Settlmt Debit</v>
          </cell>
          <cell r="D685">
            <v>37043253.890000001</v>
          </cell>
          <cell r="F685">
            <v>38998134.450000003</v>
          </cell>
          <cell r="H685">
            <v>-1954880.5600000024</v>
          </cell>
        </row>
        <row r="686">
          <cell r="A686">
            <v>798509</v>
          </cell>
          <cell r="C686" t="str">
            <v>Order Settlmt Credit</v>
          </cell>
          <cell r="D686">
            <v>-37043253.890000001</v>
          </cell>
          <cell r="F686">
            <v>-38998134.450000003</v>
          </cell>
          <cell r="H686">
            <v>1954880.5600000024</v>
          </cell>
        </row>
        <row r="687">
          <cell r="A687" t="str">
            <v>Business Area Clearing</v>
          </cell>
          <cell r="D687">
            <v>127863580.81</v>
          </cell>
          <cell r="F687">
            <v>113634390.28</v>
          </cell>
          <cell r="H687">
            <v>14229190.530000001</v>
          </cell>
        </row>
        <row r="688">
          <cell r="A688" t="str">
            <v>Total Operation and Maintenance</v>
          </cell>
          <cell r="D688">
            <v>265942519.19</v>
          </cell>
          <cell r="F688">
            <v>275227934.13</v>
          </cell>
          <cell r="H688">
            <v>-9285414.9399999976</v>
          </cell>
        </row>
        <row r="689">
          <cell r="H689">
            <v>0</v>
          </cell>
        </row>
        <row r="690">
          <cell r="A690">
            <v>780005</v>
          </cell>
          <cell r="C690" t="str">
            <v>Amortization-General</v>
          </cell>
          <cell r="D690">
            <v>427606.8</v>
          </cell>
          <cell r="F690">
            <v>427486</v>
          </cell>
          <cell r="H690">
            <v>120.79999999998836</v>
          </cell>
        </row>
        <row r="691">
          <cell r="A691">
            <v>780020</v>
          </cell>
          <cell r="C691" t="str">
            <v>Amortization of Regulatory Debits</v>
          </cell>
          <cell r="D691">
            <v>59762.23</v>
          </cell>
          <cell r="F691">
            <v>0</v>
          </cell>
          <cell r="H691">
            <v>59762.23</v>
          </cell>
        </row>
        <row r="692">
          <cell r="A692">
            <v>780021</v>
          </cell>
          <cell r="C692" t="str">
            <v>Amortization of Regulatory Asset - Rate</v>
          </cell>
          <cell r="D692">
            <v>90487.54</v>
          </cell>
          <cell r="F692">
            <v>0</v>
          </cell>
          <cell r="H692">
            <v>90487.54</v>
          </cell>
        </row>
        <row r="693">
          <cell r="A693">
            <v>780030</v>
          </cell>
          <cell r="C693" t="str">
            <v>Amortization of Software</v>
          </cell>
          <cell r="D693">
            <v>8908543.4700000007</v>
          </cell>
          <cell r="F693">
            <v>9299323.6999999993</v>
          </cell>
          <cell r="H693">
            <v>-390780.22999999858</v>
          </cell>
        </row>
        <row r="694">
          <cell r="A694">
            <v>781005</v>
          </cell>
          <cell r="C694" t="str">
            <v>Depreciation-Regulated</v>
          </cell>
          <cell r="D694">
            <v>141814145.03</v>
          </cell>
          <cell r="F694">
            <v>156380197.88</v>
          </cell>
          <cell r="H694">
            <v>-14566052.849999994</v>
          </cell>
        </row>
        <row r="695">
          <cell r="A695">
            <v>781010</v>
          </cell>
          <cell r="C695" t="str">
            <v>Depreciation-Unregulated</v>
          </cell>
          <cell r="D695">
            <v>79169</v>
          </cell>
          <cell r="F695">
            <v>79169</v>
          </cell>
          <cell r="H695">
            <v>0</v>
          </cell>
        </row>
        <row r="696">
          <cell r="A696" t="str">
            <v>Depreciation and Amortization</v>
          </cell>
          <cell r="D696">
            <v>151379714.06999999</v>
          </cell>
          <cell r="F696">
            <v>166186176.58000001</v>
          </cell>
          <cell r="H696">
            <v>-14806462.51000002</v>
          </cell>
        </row>
        <row r="697">
          <cell r="H697">
            <v>0</v>
          </cell>
        </row>
        <row r="698">
          <cell r="A698">
            <v>797020</v>
          </cell>
          <cell r="C698" t="str">
            <v>Taxes-Other than Income Taxes</v>
          </cell>
          <cell r="D698">
            <v>143419250</v>
          </cell>
          <cell r="F698">
            <v>127769102.12</v>
          </cell>
          <cell r="H698">
            <v>15650147.879999995</v>
          </cell>
        </row>
        <row r="699">
          <cell r="A699">
            <v>797022</v>
          </cell>
          <cell r="C699" t="str">
            <v>Property Tax Expense</v>
          </cell>
          <cell r="D699">
            <v>37730794.850000001</v>
          </cell>
          <cell r="F699">
            <v>36733024.140000001</v>
          </cell>
          <cell r="H699">
            <v>997770.71000000089</v>
          </cell>
        </row>
        <row r="700">
          <cell r="A700">
            <v>797025</v>
          </cell>
          <cell r="C700" t="str">
            <v>Taxes-Gross Receipts Tax</v>
          </cell>
          <cell r="D700">
            <v>108384558.26000001</v>
          </cell>
          <cell r="F700">
            <v>108608082.38</v>
          </cell>
          <cell r="H700">
            <v>-223524.11999998987</v>
          </cell>
        </row>
        <row r="701">
          <cell r="A701">
            <v>797030</v>
          </cell>
          <cell r="C701" t="str">
            <v>Taxes-Sales and Use Tax</v>
          </cell>
          <cell r="D701">
            <v>-15792.15</v>
          </cell>
          <cell r="F701">
            <v>0</v>
          </cell>
          <cell r="H701">
            <v>-15792.15</v>
          </cell>
        </row>
        <row r="702">
          <cell r="A702">
            <v>797120</v>
          </cell>
          <cell r="C702" t="str">
            <v>Non Op Taxes-Other than Income</v>
          </cell>
          <cell r="D702">
            <v>4704.3</v>
          </cell>
          <cell r="F702">
            <v>2025.68</v>
          </cell>
          <cell r="H702">
            <v>2678.62</v>
          </cell>
        </row>
        <row r="703">
          <cell r="A703" t="str">
            <v>Taxes other than Income Taxes</v>
          </cell>
          <cell r="D703">
            <v>289523515.25999999</v>
          </cell>
          <cell r="F703">
            <v>273112234.31999999</v>
          </cell>
          <cell r="H703">
            <v>16411280.939999998</v>
          </cell>
        </row>
        <row r="704">
          <cell r="H704">
            <v>0</v>
          </cell>
        </row>
        <row r="705">
          <cell r="A705" t="str">
            <v>Total Operating Expenses</v>
          </cell>
          <cell r="D705">
            <v>1889349566.03</v>
          </cell>
          <cell r="F705">
            <v>1978616675.6400001</v>
          </cell>
          <cell r="H705">
            <v>-89267109.610000134</v>
          </cell>
        </row>
        <row r="706">
          <cell r="A706" t="str">
            <v>Income from Operations</v>
          </cell>
          <cell r="D706">
            <v>-248210219.83000001</v>
          </cell>
          <cell r="F706">
            <v>-200114506.84999999</v>
          </cell>
          <cell r="H706">
            <v>-48095712.980000019</v>
          </cell>
        </row>
        <row r="707">
          <cell r="H707">
            <v>0</v>
          </cell>
        </row>
        <row r="708">
          <cell r="A708" t="str">
            <v>Other Income and Expense</v>
          </cell>
          <cell r="H708">
            <v>0</v>
          </cell>
        </row>
        <row r="709">
          <cell r="H709">
            <v>0</v>
          </cell>
        </row>
        <row r="710">
          <cell r="A710">
            <v>640000</v>
          </cell>
          <cell r="C710" t="str">
            <v>Interest and Dividend Income</v>
          </cell>
          <cell r="D710">
            <v>-9372366.0800000001</v>
          </cell>
          <cell r="F710">
            <v>-4212726.0199999996</v>
          </cell>
          <cell r="H710">
            <v>-5159640.0600000005</v>
          </cell>
        </row>
        <row r="711">
          <cell r="A711" t="str">
            <v>Interest and Dividend Income</v>
          </cell>
          <cell r="D711">
            <v>-9372366.0800000001</v>
          </cell>
          <cell r="F711">
            <v>-4212726.0199999996</v>
          </cell>
          <cell r="H711">
            <v>-5159640.0600000005</v>
          </cell>
        </row>
        <row r="712">
          <cell r="H712">
            <v>0</v>
          </cell>
        </row>
        <row r="713">
          <cell r="A713" t="str">
            <v>Interest Charges</v>
          </cell>
          <cell r="H713">
            <v>0</v>
          </cell>
        </row>
        <row r="714">
          <cell r="H714">
            <v>0</v>
          </cell>
        </row>
        <row r="715">
          <cell r="A715">
            <v>782004</v>
          </cell>
          <cell r="C715" t="str">
            <v>Interest-Short Term Debt</v>
          </cell>
          <cell r="D715">
            <v>44701.39</v>
          </cell>
          <cell r="F715">
            <v>3353.58</v>
          </cell>
          <cell r="H715">
            <v>41347.81</v>
          </cell>
        </row>
        <row r="716">
          <cell r="A716">
            <v>782005</v>
          </cell>
          <cell r="C716" t="str">
            <v>Interest-Long Term Debt</v>
          </cell>
          <cell r="D716">
            <v>62202179.409999996</v>
          </cell>
          <cell r="F716">
            <v>68670749.609999999</v>
          </cell>
          <cell r="H716">
            <v>-6468570.200000003</v>
          </cell>
        </row>
        <row r="717">
          <cell r="A717">
            <v>782010</v>
          </cell>
          <cell r="C717" t="str">
            <v>Interest-Other</v>
          </cell>
          <cell r="D717">
            <v>12513445.210000001</v>
          </cell>
          <cell r="F717">
            <v>3400081.15</v>
          </cell>
          <cell r="H717">
            <v>9113364.0600000005</v>
          </cell>
        </row>
        <row r="718">
          <cell r="A718">
            <v>782015</v>
          </cell>
          <cell r="C718" t="str">
            <v>Amortization of Debt Discount (L/T Debt</v>
          </cell>
          <cell r="D718">
            <v>1127557.3500000001</v>
          </cell>
          <cell r="F718">
            <v>1122173.3600000001</v>
          </cell>
          <cell r="H718">
            <v>5383.9899999999907</v>
          </cell>
        </row>
        <row r="719">
          <cell r="A719">
            <v>782016</v>
          </cell>
          <cell r="C719" t="str">
            <v>Amortization of Debt Discount (S/T Debt</v>
          </cell>
          <cell r="D719">
            <v>3689094.93</v>
          </cell>
          <cell r="F719">
            <v>822840.59</v>
          </cell>
          <cell r="H719">
            <v>2866254.3400000003</v>
          </cell>
        </row>
        <row r="720">
          <cell r="A720">
            <v>782017</v>
          </cell>
          <cell r="C720" t="str">
            <v>Amortization of Debt Issuance Costs - M</v>
          </cell>
          <cell r="D720">
            <v>100076.3</v>
          </cell>
          <cell r="F720">
            <v>120308.89</v>
          </cell>
          <cell r="H720">
            <v>-20232.589999999997</v>
          </cell>
        </row>
        <row r="721">
          <cell r="A721">
            <v>782020</v>
          </cell>
          <cell r="C721" t="str">
            <v>Amortization of Reacquired Debt</v>
          </cell>
          <cell r="D721">
            <v>2861145.13</v>
          </cell>
          <cell r="F721">
            <v>2823817.92</v>
          </cell>
          <cell r="H721">
            <v>37327.209999999963</v>
          </cell>
        </row>
        <row r="722">
          <cell r="A722" t="str">
            <v>Interest Expense</v>
          </cell>
          <cell r="D722">
            <v>82538199.719999999</v>
          </cell>
          <cell r="F722">
            <v>76963325.099999994</v>
          </cell>
          <cell r="H722">
            <v>5574874.6200000048</v>
          </cell>
        </row>
        <row r="723">
          <cell r="A723">
            <v>640900</v>
          </cell>
          <cell r="C723" t="str">
            <v>I/C Interest Income</v>
          </cell>
          <cell r="D723">
            <v>-2770.26</v>
          </cell>
          <cell r="F723">
            <v>-1676914.51</v>
          </cell>
          <cell r="H723">
            <v>1674144.25</v>
          </cell>
        </row>
        <row r="724">
          <cell r="A724">
            <v>782900</v>
          </cell>
          <cell r="C724" t="str">
            <v>I/C Interest Expense</v>
          </cell>
          <cell r="D724">
            <v>3937151.27</v>
          </cell>
          <cell r="F724">
            <v>167545.68</v>
          </cell>
          <cell r="H724">
            <v>3769605.59</v>
          </cell>
        </row>
        <row r="725">
          <cell r="A725">
            <v>782950</v>
          </cell>
          <cell r="C725" t="str">
            <v>I/C Interest Expense - Margins</v>
          </cell>
          <cell r="D725">
            <v>5361.53</v>
          </cell>
          <cell r="F725">
            <v>255.75</v>
          </cell>
          <cell r="H725">
            <v>5105.78</v>
          </cell>
        </row>
        <row r="726">
          <cell r="A726" t="str">
            <v>Intercompany Interest Expense/Income</v>
          </cell>
          <cell r="D726">
            <v>3939742.54</v>
          </cell>
          <cell r="F726">
            <v>-1509113.08</v>
          </cell>
          <cell r="H726">
            <v>5448855.6200000001</v>
          </cell>
        </row>
        <row r="727">
          <cell r="A727">
            <v>782035</v>
          </cell>
          <cell r="C727" t="str">
            <v>AFUDC-Debt</v>
          </cell>
          <cell r="D727">
            <v>-4732308.04</v>
          </cell>
          <cell r="F727">
            <v>-1460672.4</v>
          </cell>
          <cell r="H727">
            <v>-3271635.64</v>
          </cell>
        </row>
        <row r="728">
          <cell r="A728" t="str">
            <v>Capitalized Interest</v>
          </cell>
          <cell r="D728">
            <v>-4732308.04</v>
          </cell>
          <cell r="F728">
            <v>-1460672.4</v>
          </cell>
          <cell r="H728">
            <v>-3271635.64</v>
          </cell>
        </row>
        <row r="729">
          <cell r="A729" t="str">
            <v>Total Interest Charges</v>
          </cell>
          <cell r="D729">
            <v>81745634.219999999</v>
          </cell>
          <cell r="F729">
            <v>73993539.620000005</v>
          </cell>
          <cell r="H729">
            <v>7752094.599999994</v>
          </cell>
        </row>
        <row r="730">
          <cell r="H730">
            <v>0</v>
          </cell>
        </row>
        <row r="731">
          <cell r="A731" t="str">
            <v>Various Other Income and Expense</v>
          </cell>
          <cell r="H731">
            <v>0</v>
          </cell>
        </row>
        <row r="732">
          <cell r="H732">
            <v>0</v>
          </cell>
        </row>
        <row r="733">
          <cell r="A733">
            <v>620000</v>
          </cell>
          <cell r="C733" t="str">
            <v>Miscellaneous Nonoperating Income</v>
          </cell>
          <cell r="D733">
            <v>-6797820.1299999999</v>
          </cell>
          <cell r="F733">
            <v>-7741830.2300000004</v>
          </cell>
          <cell r="H733">
            <v>944010.10000000056</v>
          </cell>
        </row>
        <row r="734">
          <cell r="A734">
            <v>620002</v>
          </cell>
          <cell r="C734" t="str">
            <v>Gain/Loss-Sale of Securities</v>
          </cell>
          <cell r="D734">
            <v>26732.87</v>
          </cell>
          <cell r="F734">
            <v>-21122.46</v>
          </cell>
          <cell r="H734">
            <v>47855.33</v>
          </cell>
        </row>
        <row r="735">
          <cell r="A735">
            <v>620004</v>
          </cell>
          <cell r="C735" t="str">
            <v>Nonoperating Income - Nonstandard CIAC</v>
          </cell>
          <cell r="D735">
            <v>-1124789</v>
          </cell>
          <cell r="F735">
            <v>-1907483.96</v>
          </cell>
          <cell r="H735">
            <v>782694.96</v>
          </cell>
        </row>
        <row r="736">
          <cell r="A736" t="str">
            <v>Miscellaneous nonoperating income</v>
          </cell>
          <cell r="D736">
            <v>-7895876.2599999998</v>
          </cell>
          <cell r="F736">
            <v>-9670436.6500000004</v>
          </cell>
          <cell r="H736">
            <v>1774560.3900000006</v>
          </cell>
        </row>
        <row r="737">
          <cell r="A737">
            <v>630000</v>
          </cell>
          <cell r="C737" t="str">
            <v>Nonoperating Rental Income and Expenses</v>
          </cell>
          <cell r="D737">
            <v>-373113.58</v>
          </cell>
          <cell r="F737">
            <v>-186558.7</v>
          </cell>
          <cell r="H737">
            <v>-186554.88</v>
          </cell>
        </row>
        <row r="738">
          <cell r="A738" t="str">
            <v>Nonoperating rental income &amp; expense</v>
          </cell>
          <cell r="D738">
            <v>-373113.58</v>
          </cell>
          <cell r="F738">
            <v>-186558.7</v>
          </cell>
          <cell r="H738">
            <v>-186554.88</v>
          </cell>
        </row>
        <row r="739">
          <cell r="A739">
            <v>632000</v>
          </cell>
          <cell r="C739" t="str">
            <v>AFUDC-Equity</v>
          </cell>
          <cell r="D739">
            <v>-3287877.97</v>
          </cell>
          <cell r="F739">
            <v>-2567269.27</v>
          </cell>
          <cell r="H739">
            <v>-720608.70000000019</v>
          </cell>
        </row>
        <row r="740">
          <cell r="A740" t="str">
            <v>AFUDC</v>
          </cell>
          <cell r="D740">
            <v>-3287877.97</v>
          </cell>
          <cell r="F740">
            <v>-2567269.27</v>
          </cell>
          <cell r="H740">
            <v>-720608.70000000019</v>
          </cell>
        </row>
        <row r="741">
          <cell r="A741">
            <v>531000</v>
          </cell>
          <cell r="C741" t="str">
            <v>Loss on Disp of Prop</v>
          </cell>
          <cell r="D741">
            <v>13198.92</v>
          </cell>
          <cell r="F741">
            <v>0</v>
          </cell>
          <cell r="H741">
            <v>13198.92</v>
          </cell>
        </row>
        <row r="742">
          <cell r="A742" t="str">
            <v>Gain (Loss) on Disposition of Property</v>
          </cell>
          <cell r="D742">
            <v>13198.92</v>
          </cell>
          <cell r="F742">
            <v>0</v>
          </cell>
          <cell r="H742">
            <v>13198.92</v>
          </cell>
        </row>
        <row r="743">
          <cell r="A743" t="str">
            <v>Total Various Other Income and Expense</v>
          </cell>
          <cell r="D743">
            <v>-11543668.890000001</v>
          </cell>
          <cell r="F743">
            <v>-12424264.619999999</v>
          </cell>
          <cell r="H743">
            <v>880595.72999999858</v>
          </cell>
        </row>
        <row r="744">
          <cell r="H744">
            <v>0</v>
          </cell>
        </row>
        <row r="745">
          <cell r="A745" t="str">
            <v>Total Other Income and Expense</v>
          </cell>
          <cell r="D745">
            <v>60829599.25</v>
          </cell>
          <cell r="F745">
            <v>57356548.979999997</v>
          </cell>
          <cell r="H745">
            <v>3473050.2700000033</v>
          </cell>
        </row>
        <row r="746">
          <cell r="A746" t="str">
            <v>Income Before Preferred Div and Income Taxes</v>
          </cell>
          <cell r="D746">
            <v>-187380620.58000001</v>
          </cell>
          <cell r="F746">
            <v>-142757957.87</v>
          </cell>
          <cell r="H746">
            <v>-44622662.710000008</v>
          </cell>
        </row>
        <row r="747">
          <cell r="H747">
            <v>0</v>
          </cell>
        </row>
        <row r="748">
          <cell r="A748" t="str">
            <v>Preferred Dividends</v>
          </cell>
          <cell r="H748">
            <v>0</v>
          </cell>
        </row>
        <row r="749">
          <cell r="H749">
            <v>0</v>
          </cell>
        </row>
        <row r="750">
          <cell r="A750">
            <v>782550</v>
          </cell>
          <cell r="C750" t="str">
            <v>Preferred Dividends</v>
          </cell>
          <cell r="D750">
            <v>0</v>
          </cell>
          <cell r="F750">
            <v>1015000.78</v>
          </cell>
          <cell r="H750">
            <v>-1015000.78</v>
          </cell>
        </row>
        <row r="751">
          <cell r="A751" t="str">
            <v>Preferred Dividends</v>
          </cell>
          <cell r="D751">
            <v>0</v>
          </cell>
          <cell r="F751">
            <v>1015000.78</v>
          </cell>
          <cell r="H751">
            <v>-1015000.78</v>
          </cell>
        </row>
        <row r="752">
          <cell r="H752">
            <v>0</v>
          </cell>
        </row>
        <row r="753">
          <cell r="A753" t="str">
            <v>Total Preferred Dividends</v>
          </cell>
          <cell r="D753">
            <v>0</v>
          </cell>
          <cell r="F753">
            <v>1015000.78</v>
          </cell>
          <cell r="H753">
            <v>-1015000.78</v>
          </cell>
        </row>
        <row r="754">
          <cell r="A754" t="str">
            <v>Income Before Income Taxes</v>
          </cell>
          <cell r="D754">
            <v>-187380620.58000001</v>
          </cell>
          <cell r="F754">
            <v>-141742957.09</v>
          </cell>
          <cell r="H754">
            <v>-45637663.49000001</v>
          </cell>
        </row>
        <row r="755">
          <cell r="H755">
            <v>0</v>
          </cell>
        </row>
        <row r="756">
          <cell r="A756">
            <v>797010</v>
          </cell>
          <cell r="C756" t="str">
            <v>Taxes-Federal Income Tax</v>
          </cell>
          <cell r="D756">
            <v>70657213.290000007</v>
          </cell>
          <cell r="F756">
            <v>15339334.5</v>
          </cell>
          <cell r="H756">
            <v>55317878.790000007</v>
          </cell>
        </row>
        <row r="757">
          <cell r="A757">
            <v>797015</v>
          </cell>
          <cell r="C757" t="str">
            <v>Taxes-State Inc Tax</v>
          </cell>
          <cell r="D757">
            <v>16122195.640000001</v>
          </cell>
          <cell r="F757">
            <v>1683823.43</v>
          </cell>
          <cell r="H757">
            <v>14438372.210000001</v>
          </cell>
        </row>
        <row r="758">
          <cell r="A758">
            <v>797035</v>
          </cell>
          <cell r="C758" t="str">
            <v>Taxes-Deferred Federal Income Taxes</v>
          </cell>
          <cell r="D758">
            <v>57236901.140000001</v>
          </cell>
          <cell r="F758">
            <v>124158904.90000001</v>
          </cell>
          <cell r="H758">
            <v>-66922003.760000005</v>
          </cell>
        </row>
        <row r="759">
          <cell r="A759">
            <v>797037</v>
          </cell>
          <cell r="C759" t="str">
            <v>Taxes-Deferred Federal Income Taxes - C</v>
          </cell>
          <cell r="D759">
            <v>-64293152.93</v>
          </cell>
          <cell r="F759">
            <v>-88256184.980000004</v>
          </cell>
          <cell r="H759">
            <v>23963032.050000004</v>
          </cell>
        </row>
        <row r="760">
          <cell r="A760">
            <v>797045</v>
          </cell>
          <cell r="C760" t="str">
            <v>Taxes-Deferred State Income Taxes</v>
          </cell>
          <cell r="D760">
            <v>15197938.01</v>
          </cell>
          <cell r="F760">
            <v>30498341.77</v>
          </cell>
          <cell r="H760">
            <v>-15300403.76</v>
          </cell>
        </row>
        <row r="761">
          <cell r="A761">
            <v>797047</v>
          </cell>
          <cell r="C761" t="str">
            <v>Taxes-Deferred State Income Taxes-Credi</v>
          </cell>
          <cell r="D761">
            <v>-14678739.289999999</v>
          </cell>
          <cell r="F761">
            <v>-28349709.489999998</v>
          </cell>
          <cell r="H761">
            <v>13670970.199999999</v>
          </cell>
        </row>
        <row r="762">
          <cell r="A762">
            <v>797060</v>
          </cell>
          <cell r="C762" t="str">
            <v>Investment Tax Credit - Amortized</v>
          </cell>
          <cell r="D762">
            <v>-2034384</v>
          </cell>
          <cell r="F762">
            <v>-2034384</v>
          </cell>
          <cell r="H762">
            <v>0</v>
          </cell>
        </row>
        <row r="763">
          <cell r="A763">
            <v>797080</v>
          </cell>
          <cell r="C763" t="str">
            <v>Federal Income Tax - FIN 48 &amp; Effective</v>
          </cell>
          <cell r="D763">
            <v>207446.63</v>
          </cell>
          <cell r="F763">
            <v>0</v>
          </cell>
          <cell r="H763">
            <v>207446.63</v>
          </cell>
        </row>
        <row r="764">
          <cell r="A764">
            <v>797081</v>
          </cell>
          <cell r="C764" t="str">
            <v>State Income Tax - FIN 48 &amp; Effectively</v>
          </cell>
          <cell r="D764">
            <v>159961.84</v>
          </cell>
          <cell r="F764">
            <v>0</v>
          </cell>
          <cell r="H764">
            <v>159961.84</v>
          </cell>
        </row>
        <row r="765">
          <cell r="A765">
            <v>797110</v>
          </cell>
          <cell r="C765" t="str">
            <v>Non Op Taxes-Federal Income Tax</v>
          </cell>
          <cell r="D765">
            <v>10480148.050000001</v>
          </cell>
          <cell r="F765">
            <v>-2347112</v>
          </cell>
          <cell r="H765">
            <v>12827260.050000001</v>
          </cell>
        </row>
        <row r="766">
          <cell r="A766">
            <v>797115</v>
          </cell>
          <cell r="C766" t="str">
            <v>Non Op Taxes-State Income Tax</v>
          </cell>
          <cell r="D766">
            <v>-29943279</v>
          </cell>
          <cell r="F766">
            <v>6706033</v>
          </cell>
          <cell r="H766">
            <v>-36649312</v>
          </cell>
        </row>
        <row r="767">
          <cell r="A767">
            <v>797135</v>
          </cell>
          <cell r="C767" t="str">
            <v>Non Op Taxes-Def Fed</v>
          </cell>
          <cell r="D767">
            <v>3209499</v>
          </cell>
          <cell r="F767">
            <v>0</v>
          </cell>
          <cell r="H767">
            <v>3209499</v>
          </cell>
        </row>
        <row r="768">
          <cell r="A768" t="str">
            <v>Income Taxes</v>
          </cell>
          <cell r="D768">
            <v>62321748.380000003</v>
          </cell>
          <cell r="F768">
            <v>57399047.130000003</v>
          </cell>
          <cell r="H768">
            <v>4922701.25</v>
          </cell>
        </row>
        <row r="769">
          <cell r="H769">
            <v>0</v>
          </cell>
        </row>
        <row r="770">
          <cell r="A770" t="str">
            <v>Net Profit or Loss</v>
          </cell>
          <cell r="D770">
            <v>125058872.2</v>
          </cell>
          <cell r="F770">
            <v>84343909.959999993</v>
          </cell>
          <cell r="H770">
            <v>40714962.24000001</v>
          </cell>
        </row>
        <row r="772">
          <cell r="A772" t="str">
            <v>Net Profit (Loss)</v>
          </cell>
          <cell r="D772">
            <v>0</v>
          </cell>
          <cell r="F772">
            <v>0</v>
          </cell>
          <cell r="H772">
            <v>0</v>
          </cell>
        </row>
        <row r="774">
          <cell r="A774" t="str">
            <v>Net Profit (Loss)</v>
          </cell>
          <cell r="C774">
            <v>0</v>
          </cell>
          <cell r="E774">
            <v>0</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sheetName val="Average Rates"/>
      <sheetName val="Unbund Rev Sum w  Tax &amp; SBC"/>
      <sheetName val="Unbundled Revenue Summary "/>
      <sheetName val="Unbundled Rev Summary with Tax"/>
      <sheetName val="NUG Savings Revenue Proof"/>
      <sheetName val="2000 Target Rates"/>
      <sheetName val="Rate Class Detail"/>
      <sheetName val="Rate Class Detail with Tax"/>
      <sheetName val="BGS 1999"/>
      <sheetName val="BGS 2000"/>
      <sheetName val="BGS Rates"/>
      <sheetName val="Shopping Credit Table"/>
      <sheetName val="Distribution Rates"/>
      <sheetName val="NNC Rates"/>
      <sheetName val="2000 NNC Rate"/>
      <sheetName val="2000 NNC Rate Reduction"/>
      <sheetName val="MTC NNC RATES"/>
      <sheetName val="Regulatory Assets"/>
      <sheetName val="SBC"/>
      <sheetName val="Determinants"/>
      <sheetName val="AGS-TOU Determinants"/>
      <sheetName val="OTRA Discounts"/>
      <sheetName val="Merger &amp; TEFA"/>
      <sheetName val="Bill Impact Analysis"/>
      <sheetName val="2000 Sales"/>
      <sheetName val="2000 TEFA"/>
      <sheetName val="2000 BGS Deferral"/>
      <sheetName val="BGS Ancillary &amp; Admin."/>
      <sheetName val="2000 Rates"/>
      <sheetName val="G"/>
      <sheetName val="HQ"/>
      <sheetName val="R"/>
      <sheetName val="V"/>
      <sheetName val="COSS Results UNBUND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UDC"/>
      <sheetName val="criteria"/>
    </sheetNames>
    <sheetDataSet>
      <sheetData sheetId="0">
        <row r="5">
          <cell r="A5" t="str">
            <v>ACCT</v>
          </cell>
        </row>
      </sheetData>
      <sheetData sheetId="1">
        <row r="5">
          <cell r="A5" t="str">
            <v>ACCT</v>
          </cell>
          <cell r="B5" t="str">
            <v>AREA_NO</v>
          </cell>
        </row>
        <row r="6">
          <cell r="A6" t="str">
            <v>?303*</v>
          </cell>
          <cell r="B6">
            <v>910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Tax Exp"/>
      <sheetName val="PHI Consol - Curr"/>
      <sheetName val="PHI Current"/>
      <sheetName val="Phisco Current"/>
      <sheetName val="Pepco Current"/>
      <sheetName val="PCI Current"/>
      <sheetName val="CIV (cc 9999) Current"/>
      <sheetName val="CIV Subs Current"/>
      <sheetName val="Consolco I Current"/>
      <sheetName val="CE Current-Continued Ops"/>
      <sheetName val="ACE Current"/>
      <sheetName val="PES Current"/>
      <sheetName val="DPL Current"/>
      <sheetName val="Consolco II"/>
      <sheetName val="PHI cosol - Def"/>
      <sheetName val="PHI Def"/>
      <sheetName val="Phisco Def"/>
      <sheetName val="Pepco Def"/>
      <sheetName val="PCI Def"/>
      <sheetName val="CIV (cc 9999)Def Contd Ops"/>
      <sheetName val="CIV Subs Def "/>
      <sheetName val="Consolco I Def"/>
      <sheetName val="CE Def Contd Ops"/>
      <sheetName val="ACE Def"/>
      <sheetName val="DPL Def"/>
      <sheetName val="PES Def"/>
      <sheetName val="CONSOLCO II Def"/>
      <sheetName val="Lists"/>
    </sheetNames>
    <sheetDataSet>
      <sheetData sheetId="0" refreshError="1"/>
      <sheetData sheetId="1" refreshError="1"/>
      <sheetData sheetId="2" refreshError="1"/>
      <sheetData sheetId="3" refreshError="1"/>
      <sheetData sheetId="4">
        <row r="51">
          <cell r="H51">
            <v>0.40232499999999999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3">
          <cell r="E13">
            <v>3502447.52935</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2">
          <cell r="A2">
            <v>190</v>
          </cell>
        </row>
        <row r="3">
          <cell r="A3">
            <v>282</v>
          </cell>
        </row>
        <row r="4">
          <cell r="A4">
            <v>283</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 04-08 with doc"/>
      <sheetName val="JAN 07"/>
      <sheetName val="FEB 07"/>
      <sheetName val="SUD Adj Q1"/>
      <sheetName val=" Mar 08 Q1"/>
      <sheetName val="March"/>
      <sheetName val="RPT80MAR"/>
      <sheetName val="1st qtr 2008"/>
      <sheetName val="Reclass Nonop Tax Entry"/>
      <sheetName val="May 08 Q2"/>
      <sheetName val="May "/>
      <sheetName val="RPT80May"/>
      <sheetName val="May 2008 "/>
      <sheetName val="Reclass Nonop Tax Entry May"/>
      <sheetName val="2nd Qtr 08 Q2"/>
      <sheetName val="June Rpt50 "/>
      <sheetName val="RPT80June"/>
      <sheetName val="June 2008 "/>
      <sheetName val="Reclass Nonop Tax EntryJune"/>
      <sheetName val="July 08 "/>
      <sheetName val="July Rpt50 "/>
      <sheetName val="RPT80July"/>
      <sheetName val="July 2008"/>
      <sheetName val="Reclass Nonop Tax EntryJuly"/>
      <sheetName val="Sept 08 Q3"/>
      <sheetName val="Sept "/>
      <sheetName val="RPT80Sept"/>
      <sheetName val="3rd qtr 2008"/>
      <sheetName val="Reclass Nonop Tax Entry Sept "/>
      <sheetName val="Dec 08 Q4"/>
      <sheetName val="Dec 08"/>
      <sheetName val="RPT80DEC"/>
      <sheetName val="4th qtr 2008"/>
      <sheetName val="Reclass Nonop Tax Entry Dec"/>
    </sheetNames>
    <sheetDataSet>
      <sheetData sheetId="0"/>
      <sheetData sheetId="1"/>
      <sheetData sheetId="2"/>
      <sheetData sheetId="3"/>
      <sheetData sheetId="4"/>
      <sheetData sheetId="5"/>
      <sheetData sheetId="6"/>
      <sheetData sheetId="7">
        <row r="1">
          <cell r="A1" t="str">
            <v>Potomac Electric Power Company</v>
          </cell>
        </row>
        <row r="2">
          <cell r="A2" t="str">
            <v>Report 80</v>
          </cell>
        </row>
        <row r="3">
          <cell r="A3" t="str">
            <v>YTD MARCH 2008  CLOSE</v>
          </cell>
          <cell r="B3" t="str">
            <v>YTD</v>
          </cell>
        </row>
        <row r="4">
          <cell r="A4">
            <v>39702</v>
          </cell>
        </row>
        <row r="5">
          <cell r="C5" t="str">
            <v>FINAL</v>
          </cell>
        </row>
        <row r="6">
          <cell r="C6" t="str">
            <v>Manual Input</v>
          </cell>
        </row>
        <row r="8">
          <cell r="B8" t="str">
            <v>Operating</v>
          </cell>
          <cell r="C8" t="str">
            <v>Non-Operating</v>
          </cell>
          <cell r="D8" t="str">
            <v>Total</v>
          </cell>
        </row>
        <row r="9">
          <cell r="A9" t="str">
            <v>Pre-Tax Book Income (per SAP)</v>
          </cell>
          <cell r="B9">
            <v>25455283</v>
          </cell>
          <cell r="D9">
            <v>25455283</v>
          </cell>
        </row>
        <row r="10">
          <cell r="A10" t="str">
            <v>Preferred Dividend Reclass</v>
          </cell>
          <cell r="B10">
            <v>0</v>
          </cell>
          <cell r="C10">
            <v>0</v>
          </cell>
          <cell r="D10">
            <v>0</v>
          </cell>
        </row>
        <row r="11">
          <cell r="A11" t="str">
            <v>Pre-Tax Book Income ADJ (per Tax)</v>
          </cell>
          <cell r="B11">
            <v>25455283</v>
          </cell>
          <cell r="C11">
            <v>0</v>
          </cell>
          <cell r="D11">
            <v>25455283</v>
          </cell>
        </row>
        <row r="12">
          <cell r="A12" t="str">
            <v>Fines &amp; Penalties</v>
          </cell>
          <cell r="C12">
            <v>70</v>
          </cell>
          <cell r="D12">
            <v>70</v>
          </cell>
        </row>
        <row r="13">
          <cell r="A13" t="str">
            <v>Officer's Life Insurance</v>
          </cell>
          <cell r="C13">
            <v>1542100</v>
          </cell>
          <cell r="D13">
            <v>1542100</v>
          </cell>
        </row>
        <row r="14">
          <cell r="A14" t="str">
            <v>Lobbying Expenses - N/O</v>
          </cell>
          <cell r="C14">
            <v>0</v>
          </cell>
          <cell r="D14">
            <v>0</v>
          </cell>
        </row>
        <row r="15">
          <cell r="A15" t="str">
            <v>Non-Deductible Meals</v>
          </cell>
          <cell r="B15">
            <v>52377.88</v>
          </cell>
          <cell r="D15">
            <v>52377.88</v>
          </cell>
        </row>
        <row r="16">
          <cell r="A16" t="str">
            <v>OPEB Medicare Subsidy</v>
          </cell>
          <cell r="B16">
            <v>-279778</v>
          </cell>
          <cell r="D16">
            <v>-279778</v>
          </cell>
        </row>
        <row r="17">
          <cell r="A17" t="str">
            <v>Non-Operating Costs TBT (sum a+b)</v>
          </cell>
          <cell r="C17">
            <v>0</v>
          </cell>
          <cell r="D17">
            <v>0</v>
          </cell>
        </row>
        <row r="18">
          <cell r="A18" t="str">
            <v xml:space="preserve">Tax allocation from Service </v>
          </cell>
          <cell r="B18">
            <v>196976.66</v>
          </cell>
          <cell r="C18">
            <v>0</v>
          </cell>
          <cell r="D18">
            <v>196976.66</v>
          </cell>
        </row>
        <row r="19">
          <cell r="A19" t="str">
            <v xml:space="preserve">IRS Interest </v>
          </cell>
          <cell r="B19">
            <v>0</v>
          </cell>
          <cell r="D19">
            <v>0</v>
          </cell>
        </row>
        <row r="20">
          <cell r="A20" t="str">
            <v>Nondeductible Contributions</v>
          </cell>
          <cell r="B20">
            <v>0</v>
          </cell>
          <cell r="C20">
            <v>0</v>
          </cell>
          <cell r="D20">
            <v>0</v>
          </cell>
        </row>
        <row r="22">
          <cell r="A22" t="str">
            <v xml:space="preserve">Subtotal - Permanent </v>
          </cell>
          <cell r="B22">
            <v>-30423.459999999992</v>
          </cell>
          <cell r="C22">
            <v>1542170</v>
          </cell>
          <cell r="D22">
            <v>1511746.5399999998</v>
          </cell>
        </row>
        <row r="24">
          <cell r="A24" t="str">
            <v>Removal Costs</v>
          </cell>
          <cell r="B24">
            <v>-8598687.9800000004</v>
          </cell>
          <cell r="D24">
            <v>-8598687.9800000004</v>
          </cell>
        </row>
        <row r="25">
          <cell r="A25" t="str">
            <v>Removal Cost</v>
          </cell>
          <cell r="B25">
            <v>0</v>
          </cell>
          <cell r="D25">
            <v>0</v>
          </cell>
        </row>
        <row r="26">
          <cell r="A26" t="str">
            <v>Adj Removal Costs</v>
          </cell>
          <cell r="B26">
            <v>1284083.7</v>
          </cell>
          <cell r="D26">
            <v>1284083.7</v>
          </cell>
        </row>
        <row r="27">
          <cell r="A27" t="str">
            <v>Removal Costs Adjustment - DC</v>
          </cell>
          <cell r="B27">
            <v>2675559.59</v>
          </cell>
          <cell r="D27">
            <v>2675559.59</v>
          </cell>
        </row>
        <row r="28">
          <cell r="A28" t="str">
            <v>MD Property Tax Adjustment</v>
          </cell>
          <cell r="B28">
            <v>250000</v>
          </cell>
          <cell r="D28">
            <v>250000</v>
          </cell>
        </row>
        <row r="29">
          <cell r="A29" t="str">
            <v>Excess Book / Tax Depr (pre '75)</v>
          </cell>
          <cell r="B29">
            <v>3821158.75</v>
          </cell>
          <cell r="D29">
            <v>3821158.75</v>
          </cell>
        </row>
        <row r="30">
          <cell r="A30" t="str">
            <v>AFUDC Equity (Control Center)</v>
          </cell>
          <cell r="B30">
            <v>276309</v>
          </cell>
          <cell r="D30">
            <v>276309</v>
          </cell>
        </row>
        <row r="31">
          <cell r="A31" t="str">
            <v xml:space="preserve">AFUDC Equity </v>
          </cell>
          <cell r="C31">
            <v>-471301.44</v>
          </cell>
          <cell r="D31">
            <v>-471301.44</v>
          </cell>
        </row>
        <row r="32">
          <cell r="A32" t="str">
            <v>Bk Depr on AFUDC - DC</v>
          </cell>
          <cell r="B32">
            <v>274000</v>
          </cell>
          <cell r="D32">
            <v>274000</v>
          </cell>
        </row>
        <row r="33">
          <cell r="A33" t="str">
            <v>Bk Depr on AFUDC - Smeco</v>
          </cell>
          <cell r="B33">
            <v>29250</v>
          </cell>
          <cell r="D33">
            <v>29250</v>
          </cell>
        </row>
        <row r="34">
          <cell r="A34" t="str">
            <v>Bk Depr on AFUDC - MD</v>
          </cell>
          <cell r="B34">
            <v>387250</v>
          </cell>
          <cell r="D34">
            <v>387250</v>
          </cell>
        </row>
        <row r="35">
          <cell r="A35" t="str">
            <v>Amortization Software Costs</v>
          </cell>
          <cell r="B35">
            <v>1823158.72</v>
          </cell>
          <cell r="D35">
            <v>1823158.72</v>
          </cell>
        </row>
        <row r="36">
          <cell r="A36" t="str">
            <v>Software Costs &amp; NPDES Permits</v>
          </cell>
          <cell r="B36">
            <v>0</v>
          </cell>
          <cell r="D36">
            <v>0</v>
          </cell>
        </row>
        <row r="37">
          <cell r="A37" t="str">
            <v>Purchased Software (Tax Amort 3 yrs)</v>
          </cell>
          <cell r="B37">
            <v>-140764.75</v>
          </cell>
          <cell r="D37">
            <v>-140764.75</v>
          </cell>
        </row>
        <row r="38">
          <cell r="A38" t="str">
            <v>Bond Interest - Operating/Nonoperating</v>
          </cell>
          <cell r="B38">
            <v>0</v>
          </cell>
          <cell r="C38">
            <v>0</v>
          </cell>
          <cell r="D38">
            <v>0</v>
          </cell>
        </row>
        <row r="40">
          <cell r="A40" t="str">
            <v>Subtotal Flowthrough</v>
          </cell>
          <cell r="B40">
            <v>2081317.0299999993</v>
          </cell>
          <cell r="C40">
            <v>-471301.44</v>
          </cell>
          <cell r="D40">
            <v>1610015.5899999996</v>
          </cell>
        </row>
        <row r="42">
          <cell r="A42" t="str">
            <v>Normalization Adj - 190</v>
          </cell>
          <cell r="B42">
            <v>0</v>
          </cell>
          <cell r="D42">
            <v>0</v>
          </cell>
        </row>
        <row r="43">
          <cell r="A43" t="str">
            <v>Normalization Adj - 282 FT</v>
          </cell>
          <cell r="B43">
            <v>-864275</v>
          </cell>
          <cell r="D43">
            <v>-864275</v>
          </cell>
        </row>
        <row r="44">
          <cell r="A44" t="str">
            <v>Normalization Adj - 283</v>
          </cell>
          <cell r="B44">
            <v>0</v>
          </cell>
          <cell r="D44">
            <v>0</v>
          </cell>
        </row>
        <row r="46">
          <cell r="A46" t="str">
            <v>Subtotal Normalization</v>
          </cell>
          <cell r="B46">
            <v>-864275</v>
          </cell>
          <cell r="D46">
            <v>-864275</v>
          </cell>
        </row>
        <row r="47">
          <cell r="A47" t="str">
            <v>Sum of M-1 *35%</v>
          </cell>
        </row>
        <row r="48">
          <cell r="A48" t="str">
            <v>Book Income Subject to Tax</v>
          </cell>
          <cell r="B48">
            <v>26641901.57</v>
          </cell>
          <cell r="C48">
            <v>1070868.56</v>
          </cell>
          <cell r="D48">
            <v>27712770.129999999</v>
          </cell>
        </row>
        <row r="49">
          <cell r="D49">
            <v>0</v>
          </cell>
        </row>
        <row r="50">
          <cell r="A50" t="str">
            <v>Adjustments to Compute DC Tax</v>
          </cell>
        </row>
        <row r="51">
          <cell r="A51" t="str">
            <v>Book Depr on Capitalized Taxes</v>
          </cell>
          <cell r="B51">
            <v>138000</v>
          </cell>
          <cell r="D51">
            <v>138000</v>
          </cell>
        </row>
        <row r="52">
          <cell r="A52" t="str">
            <v>Removal Costs Adjust - DC</v>
          </cell>
          <cell r="B52">
            <v>4600914.6900000004</v>
          </cell>
          <cell r="D52">
            <v>4600914.6900000004</v>
          </cell>
        </row>
        <row r="54">
          <cell r="A54" t="str">
            <v>Subtotal Flowthrough</v>
          </cell>
          <cell r="B54">
            <v>4738914.6900000004</v>
          </cell>
          <cell r="C54">
            <v>0</v>
          </cell>
          <cell r="D54">
            <v>4738914.6900000004</v>
          </cell>
        </row>
        <row r="56">
          <cell r="A56" t="str">
            <v>Normalization Adj - 190</v>
          </cell>
          <cell r="B56">
            <v>0</v>
          </cell>
          <cell r="D56">
            <v>0</v>
          </cell>
        </row>
        <row r="57">
          <cell r="A57" t="str">
            <v>Normalization Adj - 282</v>
          </cell>
          <cell r="B57">
            <v>864275</v>
          </cell>
          <cell r="D57">
            <v>864275</v>
          </cell>
        </row>
        <row r="58">
          <cell r="A58" t="str">
            <v>Normalization Adj - 283</v>
          </cell>
          <cell r="B58">
            <v>0</v>
          </cell>
          <cell r="D58">
            <v>0</v>
          </cell>
        </row>
        <row r="60">
          <cell r="A60" t="str">
            <v>Subtotal Normalization</v>
          </cell>
          <cell r="B60">
            <v>864275</v>
          </cell>
          <cell r="C60">
            <v>0</v>
          </cell>
          <cell r="D60">
            <v>864275</v>
          </cell>
        </row>
        <row r="62">
          <cell r="A62" t="str">
            <v>DC Taxable Income</v>
          </cell>
          <cell r="B62">
            <v>32245091.260000002</v>
          </cell>
          <cell r="C62">
            <v>1070868.56</v>
          </cell>
          <cell r="D62">
            <v>33315959.82</v>
          </cell>
        </row>
        <row r="64">
          <cell r="A64" t="str">
            <v>DC Income Tax Provision</v>
          </cell>
          <cell r="B64">
            <v>2595729.8464300004</v>
          </cell>
          <cell r="C64">
            <v>86204.919080000007</v>
          </cell>
          <cell r="D64">
            <v>2681934.7655100003</v>
          </cell>
        </row>
        <row r="66">
          <cell r="A66" t="str">
            <v>Federal Taxable Income</v>
          </cell>
          <cell r="B66">
            <v>24046171.72357</v>
          </cell>
          <cell r="C66">
            <v>984663.64092000003</v>
          </cell>
          <cell r="D66">
            <v>25030835.364489999</v>
          </cell>
        </row>
        <row r="68">
          <cell r="A68" t="str">
            <v>Federal Income Tax Provision</v>
          </cell>
          <cell r="B68">
            <v>8416160.1032494996</v>
          </cell>
          <cell r="C68">
            <v>344632.27432199998</v>
          </cell>
          <cell r="D68">
            <v>8760792.377571499</v>
          </cell>
        </row>
        <row r="70">
          <cell r="A70" t="str">
            <v>Fin 48 adj</v>
          </cell>
          <cell r="D70">
            <v>0</v>
          </cell>
        </row>
        <row r="71">
          <cell r="A71" t="str">
            <v>ITC</v>
          </cell>
          <cell r="B71">
            <v>-508596</v>
          </cell>
          <cell r="D71">
            <v>-508596</v>
          </cell>
        </row>
        <row r="73">
          <cell r="A73" t="str">
            <v>Net Federal Tax Provision</v>
          </cell>
          <cell r="B73">
            <v>7907564.1032494996</v>
          </cell>
          <cell r="C73">
            <v>344632.27432199998</v>
          </cell>
          <cell r="D73">
            <v>8252196.3775714999</v>
          </cell>
        </row>
        <row r="76">
          <cell r="A76" t="str">
            <v>NOTE: Excludes adjusting entries/true-ups</v>
          </cell>
          <cell r="C76" t="str">
            <v>Total Taxes</v>
          </cell>
          <cell r="D76">
            <v>10934131.143081501</v>
          </cell>
        </row>
        <row r="77">
          <cell r="C77" t="str">
            <v>CM JE Tax upload</v>
          </cell>
          <cell r="D77">
            <v>10934131.369999999</v>
          </cell>
        </row>
        <row r="84">
          <cell r="A84" t="str">
            <v>Potomac Electric Power Company</v>
          </cell>
          <cell r="C84" t="str">
            <v>NOT USED</v>
          </cell>
        </row>
        <row r="85">
          <cell r="A85" t="str">
            <v>Report 80</v>
          </cell>
        </row>
        <row r="86">
          <cell r="A86" t="str">
            <v>YTD MARCH 2008  CLOSE</v>
          </cell>
          <cell r="B86" t="str">
            <v>YTD</v>
          </cell>
        </row>
        <row r="87">
          <cell r="A87">
            <v>39702</v>
          </cell>
          <cell r="C87" t="str">
            <v>FINAL</v>
          </cell>
        </row>
        <row r="88">
          <cell r="A88" t="str">
            <v>H:\g056\powertax\Rpt 80PT.XLS</v>
          </cell>
        </row>
        <row r="91">
          <cell r="B91" t="str">
            <v>Operating</v>
          </cell>
          <cell r="C91" t="str">
            <v>Non-Operating</v>
          </cell>
          <cell r="D91" t="str">
            <v>Total</v>
          </cell>
        </row>
        <row r="92">
          <cell r="A92" t="str">
            <v>Pre-Tax Book Income  (per SAP)</v>
          </cell>
          <cell r="B92">
            <v>25455283</v>
          </cell>
          <cell r="D92">
            <v>25455283</v>
          </cell>
        </row>
        <row r="93">
          <cell r="A93" t="str">
            <v>Preferred Dividend Reclass</v>
          </cell>
          <cell r="B93">
            <v>0</v>
          </cell>
          <cell r="D93">
            <v>0</v>
          </cell>
        </row>
        <row r="94">
          <cell r="A94" t="str">
            <v>Pre-Tax Book Income adj (per Tax)</v>
          </cell>
          <cell r="B94">
            <v>25455283</v>
          </cell>
          <cell r="C94">
            <v>0</v>
          </cell>
          <cell r="D94">
            <v>25455283</v>
          </cell>
        </row>
        <row r="95">
          <cell r="A95" t="str">
            <v>Fines &amp; Penalties</v>
          </cell>
          <cell r="B95">
            <v>0</v>
          </cell>
          <cell r="C95">
            <v>70</v>
          </cell>
          <cell r="D95">
            <v>70</v>
          </cell>
        </row>
        <row r="96">
          <cell r="A96" t="str">
            <v>Officer's Life Insurance</v>
          </cell>
          <cell r="B96">
            <v>0</v>
          </cell>
          <cell r="C96">
            <v>1542100</v>
          </cell>
          <cell r="D96">
            <v>1542100</v>
          </cell>
        </row>
        <row r="97">
          <cell r="A97" t="str">
            <v>Lobbying Expenses - N/O</v>
          </cell>
          <cell r="B97">
            <v>0</v>
          </cell>
          <cell r="C97">
            <v>0</v>
          </cell>
          <cell r="D97">
            <v>0</v>
          </cell>
        </row>
        <row r="98">
          <cell r="A98" t="str">
            <v>Non-Deductible Meals</v>
          </cell>
          <cell r="B98">
            <v>52377.88</v>
          </cell>
          <cell r="C98">
            <v>0</v>
          </cell>
          <cell r="D98">
            <v>52377.88</v>
          </cell>
        </row>
        <row r="99">
          <cell r="A99" t="str">
            <v>OPEB Medicare Subsidy</v>
          </cell>
          <cell r="B99">
            <v>-279778</v>
          </cell>
          <cell r="D99">
            <v>-279778</v>
          </cell>
        </row>
        <row r="100">
          <cell r="A100" t="str">
            <v>Non-Operating Costs TBT</v>
          </cell>
          <cell r="B100">
            <v>0</v>
          </cell>
          <cell r="C100">
            <v>0</v>
          </cell>
          <cell r="D100">
            <v>0</v>
          </cell>
        </row>
        <row r="101">
          <cell r="A101" t="str">
            <v xml:space="preserve">Tax allocation from Service </v>
          </cell>
          <cell r="B101">
            <v>196976.66</v>
          </cell>
          <cell r="C101">
            <v>0</v>
          </cell>
          <cell r="D101">
            <v>196976.66</v>
          </cell>
        </row>
        <row r="102">
          <cell r="A102" t="str">
            <v xml:space="preserve">IRS Interest </v>
          </cell>
          <cell r="B102">
            <v>0</v>
          </cell>
          <cell r="D102">
            <v>0</v>
          </cell>
        </row>
        <row r="103">
          <cell r="A103" t="str">
            <v>Nondeductible Contributions</v>
          </cell>
          <cell r="B103">
            <v>0</v>
          </cell>
          <cell r="C103">
            <v>0</v>
          </cell>
          <cell r="D103">
            <v>0</v>
          </cell>
        </row>
        <row r="105">
          <cell r="A105" t="str">
            <v xml:space="preserve">Subtotal - Permanent </v>
          </cell>
          <cell r="B105">
            <v>-30423.459999999992</v>
          </cell>
          <cell r="C105">
            <v>1542170</v>
          </cell>
          <cell r="D105">
            <v>1511746.54</v>
          </cell>
        </row>
        <row r="107">
          <cell r="A107" t="str">
            <v>Removal Costs</v>
          </cell>
          <cell r="B107">
            <v>-8598687.9800000004</v>
          </cell>
          <cell r="C107">
            <v>0</v>
          </cell>
          <cell r="D107">
            <v>-8598687.9800000004</v>
          </cell>
        </row>
        <row r="108">
          <cell r="A108" t="str">
            <v>Removal Cost</v>
          </cell>
          <cell r="B108">
            <v>0</v>
          </cell>
          <cell r="C108">
            <v>0</v>
          </cell>
          <cell r="D108">
            <v>0</v>
          </cell>
        </row>
        <row r="109">
          <cell r="A109" t="str">
            <v>Adj Removal Costs</v>
          </cell>
          <cell r="B109">
            <v>1284083.7</v>
          </cell>
          <cell r="C109">
            <v>0</v>
          </cell>
          <cell r="D109">
            <v>1284083.7</v>
          </cell>
        </row>
        <row r="110">
          <cell r="A110" t="str">
            <v>Removal Costs Adjustment - DC</v>
          </cell>
          <cell r="B110">
            <v>2675559.59</v>
          </cell>
          <cell r="C110">
            <v>0</v>
          </cell>
          <cell r="D110">
            <v>2675559.59</v>
          </cell>
        </row>
        <row r="111">
          <cell r="A111" t="str">
            <v>MD Property Tax Adjustment</v>
          </cell>
          <cell r="B111">
            <v>250000</v>
          </cell>
          <cell r="C111">
            <v>0</v>
          </cell>
          <cell r="D111">
            <v>250000</v>
          </cell>
        </row>
        <row r="112">
          <cell r="A112" t="str">
            <v>Excess Book / Tax Depr (pre '75)</v>
          </cell>
          <cell r="B112">
            <v>3821158.75</v>
          </cell>
          <cell r="C112">
            <v>0</v>
          </cell>
          <cell r="D112">
            <v>3821158.75</v>
          </cell>
        </row>
        <row r="113">
          <cell r="A113" t="str">
            <v>AFUDC Equity (Control Center)</v>
          </cell>
          <cell r="B113">
            <v>276309</v>
          </cell>
          <cell r="C113">
            <v>0</v>
          </cell>
          <cell r="D113">
            <v>276309</v>
          </cell>
        </row>
        <row r="114">
          <cell r="A114" t="str">
            <v xml:space="preserve">AFUDC Equity </v>
          </cell>
          <cell r="B114">
            <v>0</v>
          </cell>
          <cell r="C114">
            <v>-471301.44</v>
          </cell>
          <cell r="D114">
            <v>-471301.44</v>
          </cell>
        </row>
        <row r="115">
          <cell r="A115" t="str">
            <v>Bk Depr on AFUDC - DC</v>
          </cell>
          <cell r="B115">
            <v>274000</v>
          </cell>
          <cell r="C115">
            <v>0</v>
          </cell>
          <cell r="D115">
            <v>274000</v>
          </cell>
        </row>
        <row r="116">
          <cell r="A116" t="str">
            <v>Bk Depr on AFUDC - Smeco</v>
          </cell>
          <cell r="B116">
            <v>29250</v>
          </cell>
          <cell r="C116">
            <v>0</v>
          </cell>
          <cell r="D116">
            <v>29250</v>
          </cell>
        </row>
        <row r="117">
          <cell r="A117" t="str">
            <v>Bk Depr on AFUDC - MD</v>
          </cell>
          <cell r="B117">
            <v>387250</v>
          </cell>
          <cell r="C117">
            <v>0</v>
          </cell>
          <cell r="D117">
            <v>387250</v>
          </cell>
        </row>
        <row r="118">
          <cell r="A118" t="str">
            <v>Amortization Software Costs</v>
          </cell>
          <cell r="B118">
            <v>1823158.72</v>
          </cell>
          <cell r="C118">
            <v>0</v>
          </cell>
          <cell r="D118">
            <v>1823158.72</v>
          </cell>
        </row>
        <row r="119">
          <cell r="A119" t="str">
            <v>Software Costs &amp; NPDES Permits</v>
          </cell>
          <cell r="B119">
            <v>0</v>
          </cell>
          <cell r="C119">
            <v>0</v>
          </cell>
          <cell r="D119">
            <v>0</v>
          </cell>
        </row>
        <row r="120">
          <cell r="A120" t="str">
            <v>Purchased Software</v>
          </cell>
          <cell r="B120">
            <v>-140764.75</v>
          </cell>
          <cell r="C120">
            <v>0</v>
          </cell>
          <cell r="D120">
            <v>-140764.75</v>
          </cell>
        </row>
        <row r="121">
          <cell r="A121" t="str">
            <v>Bond Interest - Operating/Nonoperating</v>
          </cell>
          <cell r="B121">
            <v>0</v>
          </cell>
          <cell r="C121">
            <v>0</v>
          </cell>
          <cell r="D121">
            <v>0</v>
          </cell>
        </row>
        <row r="123">
          <cell r="A123" t="str">
            <v>Subtotal Flowthrough</v>
          </cell>
          <cell r="B123">
            <v>2081317.0299999993</v>
          </cell>
          <cell r="C123">
            <v>-471301.44</v>
          </cell>
          <cell r="D123">
            <v>1610015.5899999994</v>
          </cell>
        </row>
        <row r="125">
          <cell r="A125" t="str">
            <v>Normalization Adj - 190</v>
          </cell>
          <cell r="B125">
            <v>0</v>
          </cell>
          <cell r="C125">
            <v>0</v>
          </cell>
          <cell r="D125">
            <v>0</v>
          </cell>
        </row>
        <row r="126">
          <cell r="A126" t="str">
            <v>Normalization Adj - 282 FT</v>
          </cell>
          <cell r="B126">
            <v>-864275</v>
          </cell>
          <cell r="C126">
            <v>0</v>
          </cell>
          <cell r="D126">
            <v>-864275</v>
          </cell>
        </row>
        <row r="127">
          <cell r="A127" t="str">
            <v>Normalization Adj - 283</v>
          </cell>
          <cell r="B127">
            <v>0</v>
          </cell>
          <cell r="C127">
            <v>0</v>
          </cell>
          <cell r="D127">
            <v>0</v>
          </cell>
        </row>
        <row r="129">
          <cell r="A129" t="str">
            <v>Subtotal Normalization</v>
          </cell>
          <cell r="B129">
            <v>-864275</v>
          </cell>
          <cell r="C129">
            <v>0</v>
          </cell>
          <cell r="D129">
            <v>-864275</v>
          </cell>
        </row>
        <row r="131">
          <cell r="A131" t="str">
            <v>Book Income Subject to Tax</v>
          </cell>
          <cell r="B131">
            <v>26641901.57</v>
          </cell>
          <cell r="C131">
            <v>1070868.56</v>
          </cell>
          <cell r="D131">
            <v>27712770.129999999</v>
          </cell>
        </row>
        <row r="133">
          <cell r="A133" t="str">
            <v>Adjustments to Compute DC Tax</v>
          </cell>
          <cell r="B133">
            <v>0</v>
          </cell>
          <cell r="C133">
            <v>0</v>
          </cell>
        </row>
        <row r="134">
          <cell r="A134" t="str">
            <v>Book Depr on Capitalized Taxes</v>
          </cell>
          <cell r="B134">
            <v>138000</v>
          </cell>
          <cell r="C134">
            <v>0</v>
          </cell>
          <cell r="D134">
            <v>138000</v>
          </cell>
        </row>
        <row r="135">
          <cell r="A135" t="str">
            <v>Removal Costs Adjust - DC</v>
          </cell>
          <cell r="B135">
            <v>4600914.6900000004</v>
          </cell>
          <cell r="C135">
            <v>0</v>
          </cell>
          <cell r="D135">
            <v>4600914.6900000004</v>
          </cell>
        </row>
        <row r="137">
          <cell r="A137" t="str">
            <v>Subtotal Flowthrough</v>
          </cell>
          <cell r="B137">
            <v>4738914.6900000004</v>
          </cell>
          <cell r="C137">
            <v>0</v>
          </cell>
          <cell r="D137">
            <v>4738914.6900000004</v>
          </cell>
        </row>
        <row r="139">
          <cell r="A139" t="str">
            <v>Normalization Adj - 190</v>
          </cell>
          <cell r="B139">
            <v>0</v>
          </cell>
          <cell r="C139">
            <v>0</v>
          </cell>
          <cell r="D139">
            <v>0</v>
          </cell>
        </row>
        <row r="140">
          <cell r="A140" t="str">
            <v>Normalization Adj - 282</v>
          </cell>
          <cell r="B140">
            <v>864275</v>
          </cell>
          <cell r="C140">
            <v>0</v>
          </cell>
          <cell r="D140">
            <v>864275</v>
          </cell>
        </row>
        <row r="141">
          <cell r="A141" t="str">
            <v>Normalization Adj - 283</v>
          </cell>
          <cell r="B141">
            <v>0</v>
          </cell>
          <cell r="C141">
            <v>0</v>
          </cell>
          <cell r="D141">
            <v>0</v>
          </cell>
        </row>
        <row r="143">
          <cell r="A143" t="str">
            <v>Subtotal Normalization</v>
          </cell>
          <cell r="B143">
            <v>864275</v>
          </cell>
          <cell r="C143">
            <v>0</v>
          </cell>
          <cell r="D143">
            <v>864275</v>
          </cell>
        </row>
        <row r="145">
          <cell r="A145" t="str">
            <v>DC Taxable Income</v>
          </cell>
          <cell r="B145">
            <v>32245091.260000002</v>
          </cell>
          <cell r="C145">
            <v>1070868.56</v>
          </cell>
          <cell r="D145">
            <v>33315959.82</v>
          </cell>
        </row>
        <row r="147">
          <cell r="A147" t="str">
            <v>DC Income Tax Provision</v>
          </cell>
          <cell r="B147">
            <v>2595729.8464300004</v>
          </cell>
          <cell r="C147">
            <v>86204.919080000007</v>
          </cell>
          <cell r="D147">
            <v>2681934.7655100003</v>
          </cell>
        </row>
        <row r="149">
          <cell r="A149" t="str">
            <v>Federal Taxable Income</v>
          </cell>
          <cell r="B149">
            <v>24046171.72357</v>
          </cell>
          <cell r="C149">
            <v>984663.64092000003</v>
          </cell>
          <cell r="D149">
            <v>25030835.364489999</v>
          </cell>
        </row>
        <row r="151">
          <cell r="A151" t="str">
            <v>Federal Income Tax Provision</v>
          </cell>
          <cell r="B151">
            <v>8416160.1032494996</v>
          </cell>
          <cell r="C151">
            <v>344632.27432199998</v>
          </cell>
          <cell r="D151">
            <v>8760792.377571499</v>
          </cell>
        </row>
        <row r="153">
          <cell r="A153" t="str">
            <v>Empowerment Zone Credit</v>
          </cell>
          <cell r="B153">
            <v>0</v>
          </cell>
          <cell r="D153">
            <v>0</v>
          </cell>
        </row>
        <row r="154">
          <cell r="A154" t="str">
            <v>ITC</v>
          </cell>
          <cell r="B154">
            <v>-508596</v>
          </cell>
          <cell r="C154">
            <v>0</v>
          </cell>
          <cell r="D154">
            <v>-508596</v>
          </cell>
        </row>
        <row r="156">
          <cell r="A156" t="str">
            <v>Net Federal Tax Provision</v>
          </cell>
          <cell r="B156">
            <v>7907564.1032494996</v>
          </cell>
          <cell r="C156">
            <v>344632.27432199998</v>
          </cell>
          <cell r="D156">
            <v>8252196.3775714999</v>
          </cell>
        </row>
        <row r="158">
          <cell r="A158" t="str">
            <v>NOTE: Excludes adjusting entries</v>
          </cell>
          <cell r="C158" t="str">
            <v>Total Taxes</v>
          </cell>
          <cell r="D158">
            <v>10934131.143081501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CTIVE$"/>
      <sheetName val="DACTIVE#"/>
      <sheetName val="DINACTIVE$"/>
      <sheetName val="DINACTIVE#"/>
      <sheetName val="NEWTPA"/>
      <sheetName val="PYMTPLANS"/>
      <sheetName val="GROSSWO$"/>
      <sheetName val="GROSSWO#"/>
      <sheetName val="RESREV"/>
      <sheetName val="MMETER$"/>
      <sheetName val="MMETER#"/>
      <sheetName val="ARTURN"/>
      <sheetName val="DCARTURN"/>
      <sheetName val="ANTWO"/>
      <sheetName val="05PROGRESS$"/>
      <sheetName val="06PROGRESS$"/>
      <sheetName val="05PROGRESS#"/>
      <sheetName val="06PROGRESS#"/>
      <sheetName val="FCOLLECTIONS"/>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Month"/>
      <sheetName val="ALL"/>
      <sheetName val="Percent Read YTD "/>
    </sheetNames>
    <sheetDataSet>
      <sheetData sheetId="0" refreshError="1">
        <row r="1">
          <cell r="E1" t="str">
            <v>POTOMAC ELECTRIC POWER COMPANY</v>
          </cell>
        </row>
        <row r="2">
          <cell r="E2" t="str">
            <v>CUSTOMER CREDIT DEPARTMENT</v>
          </cell>
        </row>
        <row r="3">
          <cell r="E3" t="str">
            <v>DATA INPUT SPREADSHEET</v>
          </cell>
        </row>
        <row r="4">
          <cell r="E4">
            <v>2006</v>
          </cell>
        </row>
        <row r="6">
          <cell r="A6" t="str">
            <v xml:space="preserve">DEBIT ACTIVE ACCOUNTS </v>
          </cell>
        </row>
        <row r="8">
          <cell r="A8" t="str">
            <v>Type</v>
          </cell>
        </row>
        <row r="10">
          <cell r="A10" t="str">
            <v>District of Columbia Residential</v>
          </cell>
        </row>
        <row r="11">
          <cell r="A11" t="str">
            <v>Montgomery Cty Residential</v>
          </cell>
        </row>
        <row r="12">
          <cell r="A12" t="str">
            <v>Prince George's Cty Residential</v>
          </cell>
        </row>
        <row r="14">
          <cell r="A14" t="str">
            <v>Total Residential</v>
          </cell>
        </row>
        <row r="15">
          <cell r="A15" t="str">
            <v>Total Commercial</v>
          </cell>
        </row>
        <row r="16">
          <cell r="A16" t="str">
            <v>Total Graphic</v>
          </cell>
        </row>
        <row r="17">
          <cell r="A17" t="str">
            <v>Total State &amp; Local</v>
          </cell>
        </row>
        <row r="18">
          <cell r="A18" t="str">
            <v>Total U.S. Govt</v>
          </cell>
        </row>
        <row r="19">
          <cell r="A19" t="str">
            <v>Total St. Lighting</v>
          </cell>
        </row>
        <row r="20">
          <cell r="A20" t="str">
            <v>Total Credit Balances</v>
          </cell>
        </row>
        <row r="22">
          <cell r="A22" t="str">
            <v>Final Billed Accounts</v>
          </cell>
        </row>
        <row r="27">
          <cell r="A27" t="str">
            <v>SUMMATIONS BELOW:</v>
          </cell>
        </row>
        <row r="28">
          <cell r="A28" t="str">
            <v>Total Commercial</v>
          </cell>
        </row>
        <row r="29">
          <cell r="A29" t="str">
            <v>Total Government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fD E-1"/>
      <sheetName val="BofD Year over Year"/>
      <sheetName val="CPD Stats"/>
      <sheetName val="Actual-2005"/>
      <sheetName val="Budget-2005"/>
      <sheetName val="IS-Legal Entity"/>
      <sheetName val="O&amp;M by processes"/>
      <sheetName val="O&amp;M Savings"/>
      <sheetName val="Electric Delivery Residual"/>
      <sheetName val="Admin"/>
      <sheetName val="CS"/>
      <sheetName val="SAP import - 823"/>
      <sheetName val="Capital"/>
      <sheetName val="Res Cost"/>
      <sheetName val="PHI FTEs"/>
      <sheetName val="CPD FTEs"/>
      <sheetName val="Customers"/>
      <sheetName val="Elec Cust"/>
      <sheetName val="CPD Non-Process"/>
      <sheetName val="kWh-Mcf"/>
      <sheetName val="O&amp;M per cust-Forecast"/>
      <sheetName val="YTD &amp; Forecast"/>
      <sheetName val="O&amp;M per cust-CPD"/>
      <sheetName val="Graphs-O&amp;M"/>
      <sheetName val="Graphs- Sales &amp; Revs"/>
      <sheetName val="Chart Data"/>
      <sheetName val="kWh per class"/>
      <sheetName val="O&amp;M %age"/>
      <sheetName val="Total O&amp;M"/>
      <sheetName val="Rep Inst"/>
      <sheetName val="Other Input"/>
      <sheetName val="PHI Safety"/>
      <sheetName val="Safety"/>
      <sheetName val="Process Page Year over Year"/>
      <sheetName val="DACTIVE$"/>
      <sheetName val="summary"/>
      <sheetName val="proforma int"/>
      <sheetName val="fit"/>
      <sheetName val="Dollar Computations By Co"/>
      <sheetName val="Mon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82">
          <cell r="B82" t="str">
            <v xml:space="preserve">2004 Actual </v>
          </cell>
        </row>
        <row r="83">
          <cell r="C83" t="str">
            <v>Current</v>
          </cell>
          <cell r="E83" t="str">
            <v>Jan</v>
          </cell>
        </row>
        <row r="84">
          <cell r="B84" t="str">
            <v>Consolidated Electric</v>
          </cell>
        </row>
        <row r="85">
          <cell r="B85" t="str">
            <v xml:space="preserve">kWh </v>
          </cell>
          <cell r="C85">
            <v>1773988560</v>
          </cell>
          <cell r="E85">
            <v>2076417923</v>
          </cell>
        </row>
        <row r="86">
          <cell r="B86" t="str">
            <v>accounts</v>
          </cell>
          <cell r="C86">
            <v>1021476</v>
          </cell>
          <cell r="E86">
            <v>1015488</v>
          </cell>
        </row>
        <row r="87">
          <cell r="B87" t="str">
            <v>YTD kWh</v>
          </cell>
          <cell r="C87">
            <v>20108499752</v>
          </cell>
          <cell r="E87">
            <v>2076417923</v>
          </cell>
        </row>
        <row r="88">
          <cell r="B88" t="str">
            <v>YTD avg. accounts</v>
          </cell>
          <cell r="C88">
            <v>1017137</v>
          </cell>
          <cell r="E88">
            <v>1015488</v>
          </cell>
        </row>
        <row r="90">
          <cell r="B90" t="str">
            <v xml:space="preserve">Atlantic </v>
          </cell>
        </row>
        <row r="91">
          <cell r="B91" t="str">
            <v xml:space="preserve">kWh </v>
          </cell>
          <cell r="C91">
            <v>767606822</v>
          </cell>
          <cell r="E91">
            <v>836002725</v>
          </cell>
        </row>
        <row r="92">
          <cell r="B92" t="str">
            <v>accounts</v>
          </cell>
          <cell r="C92">
            <v>521752</v>
          </cell>
          <cell r="E92">
            <v>521760</v>
          </cell>
        </row>
        <row r="93">
          <cell r="B93" t="str">
            <v>YTD kWh</v>
          </cell>
          <cell r="C93">
            <v>6727042311</v>
          </cell>
          <cell r="E93">
            <v>836002725</v>
          </cell>
        </row>
        <row r="94">
          <cell r="B94" t="str">
            <v>YTD avg. accounts</v>
          </cell>
          <cell r="C94">
            <v>520427</v>
          </cell>
          <cell r="E94">
            <v>521760</v>
          </cell>
        </row>
        <row r="96">
          <cell r="B96" t="str">
            <v>Delmarva</v>
          </cell>
        </row>
        <row r="97">
          <cell r="B97" t="str">
            <v xml:space="preserve">kWh </v>
          </cell>
          <cell r="C97">
            <v>1006381738</v>
          </cell>
          <cell r="E97">
            <v>1240415198</v>
          </cell>
        </row>
        <row r="98">
          <cell r="B98" t="str">
            <v>accounts</v>
          </cell>
          <cell r="C98">
            <v>499724</v>
          </cell>
          <cell r="E98">
            <v>493728</v>
          </cell>
        </row>
        <row r="99">
          <cell r="B99" t="str">
            <v>Resale-regulated</v>
          </cell>
        </row>
        <row r="100">
          <cell r="B100" t="str">
            <v>YTD kWh</v>
          </cell>
          <cell r="C100">
            <v>9120460478</v>
          </cell>
          <cell r="E100">
            <v>1240415198</v>
          </cell>
        </row>
        <row r="101">
          <cell r="B101" t="str">
            <v>YTD avg. accounts</v>
          </cell>
          <cell r="C101">
            <v>496711</v>
          </cell>
          <cell r="E101">
            <v>493728</v>
          </cell>
        </row>
        <row r="103">
          <cell r="B103" t="str">
            <v>Bay</v>
          </cell>
        </row>
        <row r="104">
          <cell r="B104" t="str">
            <v>accounts</v>
          </cell>
          <cell r="C104">
            <v>213814</v>
          </cell>
          <cell r="E104">
            <v>210196</v>
          </cell>
        </row>
        <row r="105">
          <cell r="B105" t="str">
            <v>YTD avg. accounts</v>
          </cell>
          <cell r="C105">
            <v>212030</v>
          </cell>
          <cell r="E105">
            <v>210196</v>
          </cell>
        </row>
        <row r="107">
          <cell r="B107" t="str">
            <v>New Castle</v>
          </cell>
        </row>
        <row r="108">
          <cell r="B108" t="str">
            <v>accounts</v>
          </cell>
          <cell r="C108">
            <v>285910</v>
          </cell>
          <cell r="E108">
            <v>283532</v>
          </cell>
        </row>
        <row r="109">
          <cell r="B109" t="str">
            <v>YTD avg. accounts</v>
          </cell>
          <cell r="C109">
            <v>284681</v>
          </cell>
          <cell r="E109">
            <v>283532</v>
          </cell>
        </row>
        <row r="111">
          <cell r="B111" t="str">
            <v>Gas</v>
          </cell>
        </row>
        <row r="112">
          <cell r="B112" t="str">
            <v>Mcf</v>
          </cell>
          <cell r="C112">
            <v>986447</v>
          </cell>
          <cell r="E112">
            <v>3464227</v>
          </cell>
        </row>
        <row r="113">
          <cell r="B113" t="str">
            <v>accounts</v>
          </cell>
          <cell r="C113">
            <v>117305</v>
          </cell>
          <cell r="E113">
            <v>117035</v>
          </cell>
        </row>
        <row r="114">
          <cell r="B114" t="str">
            <v>YTD MCF</v>
          </cell>
          <cell r="C114">
            <v>17368807</v>
          </cell>
          <cell r="E114">
            <v>3464227</v>
          </cell>
        </row>
        <row r="115">
          <cell r="B115" t="str">
            <v>YTD avg. accounts</v>
          </cell>
          <cell r="C115">
            <v>117209</v>
          </cell>
          <cell r="E115">
            <v>117035</v>
          </cell>
        </row>
        <row r="117">
          <cell r="B117" t="str">
            <v xml:space="preserve">2003 Actual </v>
          </cell>
        </row>
        <row r="118">
          <cell r="C118" t="str">
            <v>Current</v>
          </cell>
          <cell r="E118" t="str">
            <v>Jan</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Notes"/>
      <sheetName val="Combined Revenue"/>
      <sheetName val="Rvenue&amp;Tax"/>
      <sheetName val="RES &amp; GL Revenue"/>
      <sheetName val="RSH Revenue"/>
      <sheetName val="Trans Taxes"/>
      <sheetName val="GG Revenue"/>
      <sheetName val="GG C&amp;I splits"/>
      <sheetName val="WilmTax"/>
      <sheetName val="Rate Block Splits"/>
      <sheetName val="Rates"/>
      <sheetName val="BudgetSales"/>
      <sheetName val="ConsolSalesForecast"/>
      <sheetName val="History &amp; Forecast"/>
      <sheetName val="Customers"/>
      <sheetName val="LgCustomers"/>
      <sheetName val="Unbilled"/>
      <sheetName val="Chart1"/>
      <sheetName val="Chart2"/>
      <sheetName val="Chart2a"/>
      <sheetName val="Chart3"/>
      <sheetName val="Chart4"/>
      <sheetName val="Chart4a"/>
      <sheetName val="Chart5"/>
      <sheetName val="Chart6"/>
      <sheetName val="Chart7"/>
      <sheetName val="Chart8"/>
      <sheetName val="Chart1,2 &amp; 4 data"/>
      <sheetName val="Chart3 &amp; 5 data"/>
      <sheetName val="Chart6-8 data"/>
      <sheetName val="Graph"/>
      <sheetName val="RevComps"/>
      <sheetName val="RevComps (2)"/>
      <sheetName val="ChartA"/>
      <sheetName val="ChartB"/>
      <sheetName val="ChartC"/>
      <sheetName val="2000Sales"/>
      <sheetName val="kWh-Mcf"/>
      <sheetName val="O&amp;M per cust-CPD"/>
      <sheetName val="LEGAL ENTITY SUMMARY"/>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96">
          <cell r="B96">
            <v>38353</v>
          </cell>
          <cell r="C96">
            <v>6.9103000000000003</v>
          </cell>
        </row>
        <row r="97">
          <cell r="B97">
            <v>38384</v>
          </cell>
          <cell r="C97">
            <v>6.7782999999999998</v>
          </cell>
        </row>
        <row r="98">
          <cell r="B98">
            <v>38412</v>
          </cell>
          <cell r="C98">
            <v>7.0305999999999997</v>
          </cell>
        </row>
        <row r="99">
          <cell r="B99">
            <v>38443</v>
          </cell>
          <cell r="C99">
            <v>7.1192000000000002</v>
          </cell>
        </row>
        <row r="100">
          <cell r="B100">
            <v>38473</v>
          </cell>
          <cell r="C100">
            <v>6.4542999999999999</v>
          </cell>
        </row>
        <row r="101">
          <cell r="B101">
            <v>38504</v>
          </cell>
          <cell r="C101">
            <v>6.0772000000000004</v>
          </cell>
        </row>
        <row r="102">
          <cell r="B102">
            <v>38534</v>
          </cell>
          <cell r="C102">
            <v>6.1077000000000004</v>
          </cell>
        </row>
        <row r="103">
          <cell r="B103">
            <v>38565</v>
          </cell>
          <cell r="C103">
            <v>6.2251000000000003</v>
          </cell>
        </row>
        <row r="104">
          <cell r="B104">
            <v>38596</v>
          </cell>
          <cell r="C104">
            <v>7.0206999999999997</v>
          </cell>
        </row>
        <row r="105">
          <cell r="B105">
            <v>38626</v>
          </cell>
          <cell r="C105">
            <v>10.5701</v>
          </cell>
        </row>
        <row r="106">
          <cell r="B106">
            <v>38657</v>
          </cell>
          <cell r="C106">
            <v>12.042</v>
          </cell>
        </row>
        <row r="107">
          <cell r="B107">
            <v>38687</v>
          </cell>
          <cell r="C107">
            <v>11.069000000000001</v>
          </cell>
        </row>
        <row r="108">
          <cell r="B108">
            <v>38718</v>
          </cell>
          <cell r="C108">
            <v>10.820399999999999</v>
          </cell>
        </row>
        <row r="109">
          <cell r="B109">
            <v>38749</v>
          </cell>
          <cell r="C109">
            <v>9.9863999999999997</v>
          </cell>
        </row>
        <row r="110">
          <cell r="B110">
            <v>38777</v>
          </cell>
          <cell r="C110">
            <v>12.1105</v>
          </cell>
        </row>
        <row r="111">
          <cell r="B111">
            <v>38808</v>
          </cell>
          <cell r="C111">
            <v>10.4755</v>
          </cell>
        </row>
        <row r="112">
          <cell r="B112">
            <v>38838</v>
          </cell>
          <cell r="C112">
            <v>8.9533000000000005</v>
          </cell>
        </row>
        <row r="113">
          <cell r="B113">
            <v>38869</v>
          </cell>
          <cell r="C113">
            <v>8.7004999999999999</v>
          </cell>
        </row>
        <row r="114">
          <cell r="B114">
            <v>38899</v>
          </cell>
          <cell r="C114">
            <v>8.3070000000000004</v>
          </cell>
        </row>
        <row r="115">
          <cell r="B115">
            <v>38930</v>
          </cell>
          <cell r="C115">
            <v>9.6660000000000004</v>
          </cell>
        </row>
        <row r="116">
          <cell r="B116">
            <v>38961</v>
          </cell>
          <cell r="C116">
            <v>10.737299999999999</v>
          </cell>
        </row>
        <row r="117">
          <cell r="B117">
            <v>38991</v>
          </cell>
          <cell r="C117">
            <v>9.7626000000000008</v>
          </cell>
        </row>
        <row r="118">
          <cell r="B118">
            <v>39022</v>
          </cell>
          <cell r="C118">
            <v>9.4421999999999997</v>
          </cell>
        </row>
        <row r="119">
          <cell r="B119">
            <v>39052</v>
          </cell>
          <cell r="C119">
            <v>9.2276000000000007</v>
          </cell>
        </row>
        <row r="120">
          <cell r="B120">
            <v>39083</v>
          </cell>
          <cell r="C120">
            <v>9.4620999999999995</v>
          </cell>
        </row>
        <row r="121">
          <cell r="B121">
            <v>39114</v>
          </cell>
          <cell r="C121">
            <v>9.2688000000000006</v>
          </cell>
        </row>
        <row r="122">
          <cell r="B122">
            <v>39142</v>
          </cell>
          <cell r="C122">
            <v>9.3672000000000004</v>
          </cell>
        </row>
        <row r="123">
          <cell r="B123">
            <v>39173</v>
          </cell>
          <cell r="C123">
            <v>8.9056999999999995</v>
          </cell>
        </row>
        <row r="124">
          <cell r="B124">
            <v>39203</v>
          </cell>
          <cell r="C124">
            <v>8.4395000000000007</v>
          </cell>
        </row>
        <row r="125">
          <cell r="B125">
            <v>39234</v>
          </cell>
          <cell r="C125">
            <v>8.5990000000000002</v>
          </cell>
        </row>
        <row r="126">
          <cell r="B126">
            <v>39264</v>
          </cell>
          <cell r="C126">
            <v>8.7819000000000003</v>
          </cell>
        </row>
        <row r="127">
          <cell r="B127">
            <v>39295</v>
          </cell>
          <cell r="C127">
            <v>8.1499000000000006</v>
          </cell>
        </row>
        <row r="128">
          <cell r="B128">
            <v>39326</v>
          </cell>
          <cell r="C128">
            <v>8.0441000000000003</v>
          </cell>
        </row>
        <row r="129">
          <cell r="B129">
            <v>39356</v>
          </cell>
          <cell r="C129">
            <v>8.7649000000000008</v>
          </cell>
        </row>
        <row r="130">
          <cell r="B130">
            <v>39387</v>
          </cell>
          <cell r="C130">
            <v>9.4421999999999997</v>
          </cell>
        </row>
        <row r="131">
          <cell r="B131">
            <v>39417</v>
          </cell>
          <cell r="C131">
            <v>9.2276000000000007</v>
          </cell>
        </row>
        <row r="132">
          <cell r="B132">
            <v>39448</v>
          </cell>
          <cell r="C132">
            <v>9.4620999999999995</v>
          </cell>
        </row>
        <row r="133">
          <cell r="B133">
            <v>39479</v>
          </cell>
          <cell r="C133">
            <v>9.2688000000000006</v>
          </cell>
        </row>
        <row r="134">
          <cell r="B134">
            <v>39508</v>
          </cell>
          <cell r="C134">
            <v>9.3672000000000004</v>
          </cell>
        </row>
        <row r="135">
          <cell r="B135">
            <v>39539</v>
          </cell>
          <cell r="C135">
            <v>8.9056999999999995</v>
          </cell>
        </row>
        <row r="136">
          <cell r="B136">
            <v>39569</v>
          </cell>
          <cell r="C136">
            <v>8.4395000000000007</v>
          </cell>
        </row>
        <row r="137">
          <cell r="B137">
            <v>39600</v>
          </cell>
          <cell r="C137">
            <v>8.5990000000000002</v>
          </cell>
        </row>
        <row r="138">
          <cell r="B138">
            <v>39630</v>
          </cell>
          <cell r="C138">
            <v>8.7819000000000003</v>
          </cell>
        </row>
        <row r="139">
          <cell r="B139">
            <v>39661</v>
          </cell>
          <cell r="C139">
            <v>8.1499000000000006</v>
          </cell>
        </row>
        <row r="140">
          <cell r="B140">
            <v>39692</v>
          </cell>
          <cell r="C140">
            <v>8.0441000000000003</v>
          </cell>
        </row>
        <row r="141">
          <cell r="B141">
            <v>39722</v>
          </cell>
          <cell r="C141">
            <v>8.7649000000000008</v>
          </cell>
        </row>
        <row r="142">
          <cell r="B142">
            <v>39753</v>
          </cell>
          <cell r="C142">
            <v>9.4421999999999997</v>
          </cell>
        </row>
        <row r="143">
          <cell r="B143">
            <v>39783</v>
          </cell>
          <cell r="C143">
            <v>9.2276000000000007</v>
          </cell>
        </row>
        <row r="144">
          <cell r="B144">
            <v>39814</v>
          </cell>
          <cell r="C144">
            <v>9.4620999999999995</v>
          </cell>
        </row>
        <row r="145">
          <cell r="B145">
            <v>39845</v>
          </cell>
          <cell r="C145">
            <v>9.2688000000000006</v>
          </cell>
        </row>
        <row r="146">
          <cell r="B146">
            <v>39873</v>
          </cell>
          <cell r="C146">
            <v>9.3672000000000004</v>
          </cell>
        </row>
        <row r="147">
          <cell r="B147">
            <v>39904</v>
          </cell>
          <cell r="C147">
            <v>8.9056999999999995</v>
          </cell>
        </row>
        <row r="148">
          <cell r="B148">
            <v>39934</v>
          </cell>
          <cell r="C148">
            <v>8.4395000000000007</v>
          </cell>
        </row>
        <row r="149">
          <cell r="B149">
            <v>39965</v>
          </cell>
          <cell r="C149">
            <v>8.5990000000000002</v>
          </cell>
        </row>
        <row r="150">
          <cell r="B150">
            <v>39995</v>
          </cell>
          <cell r="C150">
            <v>8.7819000000000003</v>
          </cell>
        </row>
        <row r="151">
          <cell r="B151">
            <v>40026</v>
          </cell>
          <cell r="C151">
            <v>8.1499000000000006</v>
          </cell>
        </row>
        <row r="152">
          <cell r="B152">
            <v>40057</v>
          </cell>
          <cell r="C152">
            <v>8.0441000000000003</v>
          </cell>
        </row>
        <row r="153">
          <cell r="B153">
            <v>40087</v>
          </cell>
          <cell r="C153">
            <v>8.7649000000000008</v>
          </cell>
        </row>
        <row r="154">
          <cell r="B154">
            <v>40118</v>
          </cell>
          <cell r="C154">
            <v>9.4421999999999997</v>
          </cell>
        </row>
        <row r="155">
          <cell r="B155">
            <v>40148</v>
          </cell>
          <cell r="C155">
            <v>9.2276000000000007</v>
          </cell>
        </row>
        <row r="156">
          <cell r="B156">
            <v>40179</v>
          </cell>
          <cell r="C156">
            <v>9.4620999999999995</v>
          </cell>
        </row>
        <row r="157">
          <cell r="B157">
            <v>40210</v>
          </cell>
          <cell r="C157">
            <v>9.2688000000000006</v>
          </cell>
        </row>
        <row r="158">
          <cell r="B158">
            <v>40238</v>
          </cell>
          <cell r="C158">
            <v>9.3672000000000004</v>
          </cell>
        </row>
        <row r="159">
          <cell r="B159">
            <v>40269</v>
          </cell>
          <cell r="C159">
            <v>8.9056999999999995</v>
          </cell>
        </row>
        <row r="160">
          <cell r="B160">
            <v>40299</v>
          </cell>
          <cell r="C160">
            <v>8.4395000000000007</v>
          </cell>
        </row>
        <row r="161">
          <cell r="B161">
            <v>40330</v>
          </cell>
          <cell r="C161">
            <v>8.5990000000000002</v>
          </cell>
        </row>
        <row r="162">
          <cell r="B162">
            <v>40360</v>
          </cell>
          <cell r="C162">
            <v>8.7819000000000003</v>
          </cell>
        </row>
        <row r="163">
          <cell r="B163">
            <v>40391</v>
          </cell>
          <cell r="C163">
            <v>8.1499000000000006</v>
          </cell>
        </row>
        <row r="164">
          <cell r="B164">
            <v>40422</v>
          </cell>
          <cell r="C164">
            <v>8.0441000000000003</v>
          </cell>
        </row>
        <row r="165">
          <cell r="B165">
            <v>40452</v>
          </cell>
          <cell r="C165">
            <v>8.7649000000000008</v>
          </cell>
        </row>
        <row r="166">
          <cell r="B166">
            <v>40483</v>
          </cell>
          <cell r="C166">
            <v>9.4421999999999997</v>
          </cell>
        </row>
        <row r="167">
          <cell r="B167">
            <v>40513</v>
          </cell>
          <cell r="C167">
            <v>9.2276000000000007</v>
          </cell>
        </row>
        <row r="168">
          <cell r="B168">
            <v>40544</v>
          </cell>
          <cell r="C168">
            <v>9.4620999999999995</v>
          </cell>
        </row>
        <row r="169">
          <cell r="B169">
            <v>40575</v>
          </cell>
          <cell r="C169">
            <v>9.2688000000000006</v>
          </cell>
        </row>
        <row r="170">
          <cell r="B170">
            <v>40603</v>
          </cell>
          <cell r="C170">
            <v>9.3672000000000004</v>
          </cell>
        </row>
        <row r="171">
          <cell r="B171">
            <v>40634</v>
          </cell>
          <cell r="C171">
            <v>8.9056999999999995</v>
          </cell>
        </row>
        <row r="172">
          <cell r="B172">
            <v>40664</v>
          </cell>
          <cell r="C172">
            <v>8.4395000000000007</v>
          </cell>
        </row>
        <row r="173">
          <cell r="B173">
            <v>40695</v>
          </cell>
          <cell r="C173">
            <v>8.5990000000000002</v>
          </cell>
        </row>
        <row r="174">
          <cell r="B174">
            <v>40725</v>
          </cell>
          <cell r="C174">
            <v>8.7819000000000003</v>
          </cell>
        </row>
        <row r="175">
          <cell r="B175">
            <v>40756</v>
          </cell>
          <cell r="C175">
            <v>8.1499000000000006</v>
          </cell>
        </row>
        <row r="176">
          <cell r="B176">
            <v>40787</v>
          </cell>
          <cell r="C176">
            <v>8.0441000000000003</v>
          </cell>
        </row>
        <row r="177">
          <cell r="B177">
            <v>40817</v>
          </cell>
          <cell r="C177">
            <v>8.7649000000000008</v>
          </cell>
        </row>
        <row r="178">
          <cell r="B178">
            <v>40848</v>
          </cell>
          <cell r="C178">
            <v>9.4421999999999997</v>
          </cell>
        </row>
        <row r="179">
          <cell r="B179">
            <v>40878</v>
          </cell>
          <cell r="C179">
            <v>9.2276000000000007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xpense"/>
      <sheetName val="Results"/>
      <sheetName val="BalSheet"/>
      <sheetName val="Notes"/>
      <sheetName val="Cost Center List"/>
    </sheetNames>
    <sheetDataSet>
      <sheetData sheetId="0"/>
      <sheetData sheetId="1"/>
      <sheetData sheetId="2"/>
      <sheetData sheetId="3"/>
      <sheetData sheetId="4"/>
      <sheetData sheetId="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List"/>
    </sheetNames>
    <sheetDataSet>
      <sheetData sheetId="0" refreshError="1"/>
      <sheetData sheetId="1" refreshError="1">
        <row r="2">
          <cell r="A2" t="str">
            <v>AK000000000</v>
          </cell>
        </row>
        <row r="3">
          <cell r="A3" t="str">
            <v>AL000000000</v>
          </cell>
        </row>
        <row r="4">
          <cell r="A4" t="str">
            <v>AR000000000</v>
          </cell>
        </row>
        <row r="5">
          <cell r="A5" t="str">
            <v>AZ000000000</v>
          </cell>
        </row>
        <row r="6">
          <cell r="A6" t="str">
            <v>CA000000000</v>
          </cell>
        </row>
        <row r="7">
          <cell r="A7" t="str">
            <v>CO000000000</v>
          </cell>
        </row>
        <row r="8">
          <cell r="A8" t="str">
            <v>CT000000000</v>
          </cell>
        </row>
        <row r="9">
          <cell r="A9" t="str">
            <v>DC000000000</v>
          </cell>
        </row>
        <row r="10">
          <cell r="A10" t="str">
            <v>DE000000000</v>
          </cell>
        </row>
        <row r="11">
          <cell r="A11" t="str">
            <v>FL000000000</v>
          </cell>
        </row>
        <row r="12">
          <cell r="A12" t="str">
            <v>GA000000000</v>
          </cell>
        </row>
        <row r="13">
          <cell r="A13" t="str">
            <v>HI000000000</v>
          </cell>
        </row>
        <row r="14">
          <cell r="A14" t="str">
            <v>IA000000000</v>
          </cell>
        </row>
        <row r="15">
          <cell r="A15" t="str">
            <v>ID000000000</v>
          </cell>
        </row>
        <row r="16">
          <cell r="A16" t="str">
            <v>IL000000000</v>
          </cell>
        </row>
        <row r="17">
          <cell r="A17" t="str">
            <v>IN000000000</v>
          </cell>
        </row>
        <row r="18">
          <cell r="A18" t="str">
            <v>KS000000000</v>
          </cell>
        </row>
        <row r="19">
          <cell r="A19" t="str">
            <v>KY000000000</v>
          </cell>
        </row>
        <row r="20">
          <cell r="A20" t="str">
            <v>LA000000000</v>
          </cell>
        </row>
        <row r="21">
          <cell r="A21" t="str">
            <v>MA000000000</v>
          </cell>
        </row>
        <row r="22">
          <cell r="A22" t="str">
            <v>MD000000000</v>
          </cell>
        </row>
        <row r="23">
          <cell r="A23" t="str">
            <v>ME000000000</v>
          </cell>
        </row>
        <row r="24">
          <cell r="A24" t="str">
            <v>MI000000000</v>
          </cell>
        </row>
        <row r="25">
          <cell r="A25" t="str">
            <v>MN000000000</v>
          </cell>
        </row>
        <row r="26">
          <cell r="A26" t="str">
            <v>MO000000000</v>
          </cell>
        </row>
        <row r="27">
          <cell r="A27" t="str">
            <v>MS000000000</v>
          </cell>
        </row>
        <row r="28">
          <cell r="A28" t="str">
            <v>MT000000000</v>
          </cell>
        </row>
        <row r="29">
          <cell r="A29" t="str">
            <v>NC000000000</v>
          </cell>
        </row>
        <row r="30">
          <cell r="A30" t="str">
            <v>ND000000000</v>
          </cell>
        </row>
        <row r="31">
          <cell r="A31" t="str">
            <v>NE000000000</v>
          </cell>
        </row>
        <row r="32">
          <cell r="A32" t="str">
            <v>NH000000000</v>
          </cell>
        </row>
        <row r="33">
          <cell r="A33" t="str">
            <v>NJ000000000</v>
          </cell>
        </row>
        <row r="34">
          <cell r="A34" t="str">
            <v>NM000000000</v>
          </cell>
        </row>
        <row r="35">
          <cell r="A35" t="str">
            <v>NV000000000</v>
          </cell>
        </row>
        <row r="36">
          <cell r="A36" t="str">
            <v>NY000000000</v>
          </cell>
        </row>
        <row r="37">
          <cell r="A37" t="str">
            <v>OH000000000</v>
          </cell>
        </row>
        <row r="38">
          <cell r="A38" t="str">
            <v>OK000000000</v>
          </cell>
        </row>
        <row r="39">
          <cell r="A39" t="str">
            <v>OR000000000</v>
          </cell>
        </row>
        <row r="40">
          <cell r="A40" t="str">
            <v>PA000000000</v>
          </cell>
        </row>
        <row r="41">
          <cell r="A41" t="str">
            <v>RI000000000</v>
          </cell>
        </row>
        <row r="42">
          <cell r="A42" t="str">
            <v>SC000000000</v>
          </cell>
        </row>
        <row r="43">
          <cell r="A43" t="str">
            <v>SD000000000</v>
          </cell>
        </row>
        <row r="44">
          <cell r="A44" t="str">
            <v>TN000000000</v>
          </cell>
        </row>
        <row r="45">
          <cell r="A45" t="str">
            <v>TX000000000</v>
          </cell>
        </row>
        <row r="46">
          <cell r="A46" t="str">
            <v>UT000000000</v>
          </cell>
        </row>
        <row r="47">
          <cell r="A47" t="str">
            <v>VA000000000</v>
          </cell>
        </row>
        <row r="48">
          <cell r="A48" t="str">
            <v>VT000000000</v>
          </cell>
        </row>
        <row r="49">
          <cell r="A49" t="str">
            <v>WA000000000</v>
          </cell>
        </row>
        <row r="50">
          <cell r="A50" t="str">
            <v>WI000000000</v>
          </cell>
        </row>
        <row r="51">
          <cell r="A51" t="str">
            <v>WV000000000</v>
          </cell>
        </row>
        <row r="52">
          <cell r="A52" t="str">
            <v>WY000000000</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study "/>
      <sheetName val="Solution "/>
      <sheetName val="IS01"/>
      <sheetName val="IS09"/>
      <sheetName val="BS32"/>
    </sheetNames>
    <sheetDataSet>
      <sheetData sheetId="0">
        <row r="28">
          <cell r="C28">
            <v>0.3</v>
          </cell>
        </row>
      </sheetData>
      <sheetData sheetId="1" refreshError="1"/>
      <sheetData sheetId="2" refreshError="1"/>
      <sheetData sheetId="3" refreshError="1"/>
      <sheetData sheetId="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Glossary"/>
      <sheetName val="Latest Changes"/>
      <sheetName val="Index"/>
      <sheetName val="IS01"/>
      <sheetName val="IS02"/>
      <sheetName val="IS03"/>
      <sheetName val="IS04"/>
      <sheetName val="IS05"/>
      <sheetName val="IS06"/>
      <sheetName val="IS07"/>
      <sheetName val="IS08"/>
      <sheetName val="IS09"/>
      <sheetName val="IS10"/>
      <sheetName val="IS10A"/>
      <sheetName val="IS10B"/>
      <sheetName val="IS10C"/>
      <sheetName val="IS10D"/>
      <sheetName val="IS11"/>
      <sheetName val="IS12"/>
      <sheetName val="IS13"/>
      <sheetName val="IS14"/>
      <sheetName val="IS15"/>
      <sheetName val="IS16"/>
      <sheetName val="IS17"/>
      <sheetName val="BS01"/>
      <sheetName val="BS04"/>
      <sheetName val="BS05"/>
      <sheetName val="BS06"/>
      <sheetName val="BS07"/>
      <sheetName val="BS08"/>
      <sheetName val="BS09"/>
      <sheetName val="BS10"/>
      <sheetName val="BS11"/>
      <sheetName val="BS12"/>
      <sheetName val="BS13"/>
      <sheetName val="BS14"/>
      <sheetName val="BS15"/>
      <sheetName val="BS16"/>
      <sheetName val="BS17"/>
      <sheetName val="BS18"/>
      <sheetName val="BS19"/>
      <sheetName val="BS20"/>
      <sheetName val="BS21"/>
      <sheetName val="BS22"/>
      <sheetName val="BS23"/>
      <sheetName val="BS24"/>
      <sheetName val="BS25"/>
      <sheetName val="BS26"/>
      <sheetName val="BS27"/>
      <sheetName val="BS29"/>
      <sheetName val="BS30"/>
      <sheetName val="CF01"/>
      <sheetName val="CF02"/>
      <sheetName val="CF02 LOGIC"/>
      <sheetName val="CF03"/>
      <sheetName val="CF04"/>
      <sheetName val="TX01"/>
      <sheetName val="BSBUD"/>
      <sheetName val="Appendix 1"/>
      <sheetName val="Appendix 2"/>
      <sheetName val="Appendix 3"/>
      <sheetName val="Appendix 4"/>
      <sheetName val="Appendix 5"/>
      <sheetName val="Appendix 6"/>
    </sheetNames>
    <sheetDataSet>
      <sheetData sheetId="0" refreshError="1">
        <row r="9">
          <cell r="A9" t="str">
            <v>Version 4.1 - Aug 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Glossary"/>
      <sheetName val="Latest Changes"/>
      <sheetName val="Index"/>
      <sheetName val="IS01"/>
      <sheetName val="IS01PP"/>
      <sheetName val="IS01PP Data Entry"/>
      <sheetName val="IS02"/>
      <sheetName val="IS02S"/>
      <sheetName val="IS02CRP"/>
      <sheetName val="IS02SYN"/>
      <sheetName val="IS03"/>
      <sheetName val="IS03S"/>
      <sheetName val="IS03CRP"/>
      <sheetName val="IS03SYN"/>
      <sheetName val="IS04"/>
      <sheetName val="IS04A"/>
      <sheetName val="IS04S"/>
      <sheetName val="IS05"/>
      <sheetName val="IS05A"/>
      <sheetName val="IS05B"/>
      <sheetName val="IS06"/>
      <sheetName val="IS06A"/>
      <sheetName val="IS06S"/>
      <sheetName val="IS07"/>
      <sheetName val="IS07A"/>
      <sheetName val="IS07S"/>
      <sheetName val="IS08"/>
      <sheetName val="IS09"/>
      <sheetName val="IS10"/>
      <sheetName val="IS10A"/>
      <sheetName val="IS10B"/>
      <sheetName val="IS10C"/>
      <sheetName val="IS10D"/>
      <sheetName val="IS10Da"/>
      <sheetName val="IS10S"/>
      <sheetName val="IS11"/>
      <sheetName val="IS12"/>
      <sheetName val="IS13"/>
      <sheetName val="IS13S"/>
      <sheetName val="IS15"/>
      <sheetName val="IS16"/>
      <sheetName val="IS17"/>
      <sheetName val="IS18"/>
      <sheetName val="IS19A"/>
      <sheetName val="IS19B"/>
      <sheetName val="SS01"/>
      <sheetName val="SS02"/>
      <sheetName val="SS03"/>
      <sheetName val="BS01"/>
      <sheetName val="BS01S"/>
      <sheetName val="BS03S"/>
      <sheetName val="BS04"/>
      <sheetName val="BS05"/>
      <sheetName val="BS06"/>
      <sheetName val="BS07"/>
      <sheetName val="BS07A"/>
      <sheetName val="BS07B"/>
      <sheetName val="BS08"/>
      <sheetName val="BS09"/>
      <sheetName val="BS10"/>
      <sheetName val="BS11"/>
      <sheetName val="BS12"/>
      <sheetName val="BS13"/>
      <sheetName val="BS13S"/>
      <sheetName val="BS13CRP"/>
      <sheetName val="BS13SYN"/>
      <sheetName val="BS14"/>
      <sheetName val="BS15"/>
      <sheetName val="BS15S"/>
      <sheetName val="BS16"/>
      <sheetName val="BS17"/>
      <sheetName val="BS18"/>
      <sheetName val="BS19"/>
      <sheetName val="BS22"/>
      <sheetName val="BS25"/>
      <sheetName val="BS26"/>
      <sheetName val="BS29"/>
      <sheetName val="BS30"/>
      <sheetName val="BS31"/>
      <sheetName val="BS32"/>
      <sheetName val="BS33"/>
      <sheetName val="BS33A"/>
      <sheetName val="BS34"/>
      <sheetName val="BS35"/>
      <sheetName val="CF01"/>
      <sheetName val="CF02"/>
      <sheetName val="CF02 LOGIC"/>
      <sheetName val="CF03"/>
      <sheetName val="CF05"/>
      <sheetName val="CF05S"/>
      <sheetName val="TX01"/>
      <sheetName val="TX04"/>
      <sheetName val="TX05"/>
      <sheetName val="TB01"/>
      <sheetName val="Appendix 1"/>
      <sheetName val="Appendix 2"/>
      <sheetName val="Appendix 3"/>
      <sheetName val="Appendix 4"/>
      <sheetName val="Appendix 5"/>
      <sheetName val="Appendix 6"/>
      <sheetName val="Appendix 7"/>
      <sheetName val="Appendix 8"/>
      <sheetName val="SEEDS Validations"/>
      <sheetName val="S-FormsSubaccountLevel1"/>
      <sheetName val="S-FormsSubaccountLevel2"/>
    </sheetNames>
    <sheetDataSet>
      <sheetData sheetId="0">
        <row r="9">
          <cell r="A9" t="str">
            <v>Version 5.3 - May 2005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Scenerios"/>
      <sheetName val="Comps vs 5-year plan"/>
      <sheetName val="AMG Comp vs 5-year plan"/>
      <sheetName val="PMG Information"/>
      <sheetName val="PBS Breakout"/>
      <sheetName val="ROE Summary 5-years"/>
      <sheetName val="Free funds flow by business unt"/>
      <sheetName val="ROA Summary 5-years"/>
      <sheetName val="PESCONS Annual"/>
      <sheetName val="PESCONS Monthly"/>
      <sheetName val="PMG Annual"/>
      <sheetName val="PMG Monthly"/>
      <sheetName val="PMG Base Annual"/>
      <sheetName val="PMG Base Monthly"/>
      <sheetName val="PMG Thermal Annual"/>
      <sheetName val="PMG Thermal Monthly"/>
      <sheetName val="PBS Annual"/>
      <sheetName val="PBS Monthly"/>
      <sheetName val="AMGCONS Annual"/>
      <sheetName val="AMGCONS Monthly"/>
      <sheetName val="MM Gas Annual"/>
      <sheetName val="MM Gas Monthly"/>
      <sheetName val="MM Electric Annual"/>
      <sheetName val="MM Electric Monthly"/>
      <sheetName val="C&amp;I Electric Annual"/>
      <sheetName val="C&amp;I Electric Monthly"/>
      <sheetName val="C&amp;I Gas Annual"/>
      <sheetName val="C&amp;I Gas Monthly"/>
      <sheetName val="PPR Annual"/>
      <sheetName val="PPR Monthly"/>
      <sheetName val="PDG Annual"/>
      <sheetName val="PDG Monthly"/>
      <sheetName val="ELIM PPR Annual"/>
      <sheetName val="ELIM PPR Monthly"/>
      <sheetName val="PESCORP Annual"/>
      <sheetName val="PESCORP Monthly"/>
      <sheetName val="Corporate total"/>
      <sheetName val="Corporate Expenses"/>
      <sheetName val="Strategy-Marketing-IT"/>
      <sheetName val="STRATEGY"/>
      <sheetName val="Marketing"/>
      <sheetName val="IT"/>
      <sheetName val="LEGAL"/>
      <sheetName val="HR"/>
      <sheetName val="F&amp;A Total"/>
      <sheetName val="F&amp;A"/>
      <sheetName val="PES Shared Svc-portion"/>
      <sheetName val="Total G&amp;A Break Out"/>
      <sheetName val="Int Allocation 2005 Prel"/>
      <sheetName val="Int Allocation"/>
      <sheetName val="ROE Summary"/>
      <sheetName val="Per retturns"/>
      <sheetName val="Performance Numbers-2005 prel"/>
      <sheetName val="Performance Numbers - 2005"/>
      <sheetName val="Performance Numbers - 2006"/>
      <sheetName val="Performance Numbers - 2007"/>
      <sheetName val="Performance Numbers - 2008"/>
      <sheetName val="ELIM Help"/>
      <sheetName val="Tax Calc"/>
      <sheetName val="Legal I"/>
      <sheetName val="Rates Eff July04 wo OL"/>
      <sheetName val="Dollar Computations By Co"/>
      <sheetName val="deftax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TTAX"/>
      <sheetName val="PROPTAX"/>
      <sheetName val="SECTION 1"/>
      <sheetName val="SECTION 2"/>
      <sheetName val="WKSTD"/>
      <sheetName val="FITADJ"/>
      <sheetName val="TRANSFERRAL"/>
      <sheetName val="ROUNDING"/>
      <sheetName val="MACRO"/>
    </sheetNames>
    <sheetDataSet>
      <sheetData sheetId="0">
        <row r="17">
          <cell r="C17">
            <v>2002</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 Cost Centers"/>
      <sheetName val="Cost Center List"/>
      <sheetName val="MS O&amp;M Contractors"/>
      <sheetName val="Pivot Table MS"/>
      <sheetName val="Construction O&amp;M"/>
      <sheetName val="Sheet1"/>
      <sheetName val="combined"/>
      <sheetName val="2000 contract over 50k"/>
      <sheetName val="Pivot Table (2)"/>
      <sheetName val="Pivot Table"/>
      <sheetName val="Sheet2"/>
      <sheetName val="2000 ms contractor"/>
      <sheetName val="2000 Combined"/>
      <sheetName val="Electric 2000"/>
      <sheetName val="Gas Deliver 2000"/>
      <sheetName val="Delshr 2000"/>
      <sheetName val="pivot ms over 50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s>
    <sheetDataSet>
      <sheetData sheetId="0" refreshError="1"/>
      <sheetData sheetId="1">
        <row r="2">
          <cell r="B2" t="str">
            <v>TA</v>
          </cell>
          <cell r="G2" t="str">
            <v>0</v>
          </cell>
        </row>
        <row r="3">
          <cell r="B3" t="str">
            <v>TA</v>
          </cell>
          <cell r="G3" t="str">
            <v>08312006</v>
          </cell>
        </row>
        <row r="4">
          <cell r="B4" t="str">
            <v>TA</v>
          </cell>
          <cell r="G4" t="str">
            <v>2000RAR</v>
          </cell>
        </row>
        <row r="5">
          <cell r="B5" t="str">
            <v>TA</v>
          </cell>
          <cell r="G5" t="str">
            <v>2001RAR</v>
          </cell>
        </row>
        <row r="6">
          <cell r="B6" t="str">
            <v>TA</v>
          </cell>
          <cell r="G6" t="str">
            <v>200207RAR</v>
          </cell>
        </row>
        <row r="7">
          <cell r="B7" t="str">
            <v>TA</v>
          </cell>
          <cell r="G7" t="str">
            <v>200212RAR</v>
          </cell>
        </row>
        <row r="8">
          <cell r="B8" t="str">
            <v>TA</v>
          </cell>
          <cell r="G8" t="str">
            <v>2005 True-up</v>
          </cell>
        </row>
        <row r="9">
          <cell r="B9" t="str">
            <v>TA</v>
          </cell>
          <cell r="G9" t="str">
            <v>20051231</v>
          </cell>
        </row>
        <row r="10">
          <cell r="B10" t="str">
            <v>TV</v>
          </cell>
          <cell r="G10" t="str">
            <v>20051231</v>
          </cell>
        </row>
        <row r="11">
          <cell r="B11" t="str">
            <v>TA</v>
          </cell>
          <cell r="G11" t="str">
            <v>20060331</v>
          </cell>
        </row>
        <row r="12">
          <cell r="B12" t="str">
            <v>TA</v>
          </cell>
          <cell r="G12" t="str">
            <v>20060331</v>
          </cell>
        </row>
        <row r="13">
          <cell r="B13" t="str">
            <v>TA</v>
          </cell>
          <cell r="G13" t="str">
            <v>20060331</v>
          </cell>
        </row>
        <row r="14">
          <cell r="B14" t="str">
            <v>TA</v>
          </cell>
          <cell r="G14" t="str">
            <v>20060331</v>
          </cell>
        </row>
        <row r="15">
          <cell r="B15" t="str">
            <v>TA</v>
          </cell>
          <cell r="G15" t="str">
            <v>20060331</v>
          </cell>
        </row>
        <row r="16">
          <cell r="B16" t="str">
            <v>TA</v>
          </cell>
          <cell r="G16" t="str">
            <v>20060331</v>
          </cell>
        </row>
        <row r="17">
          <cell r="B17" t="str">
            <v>TA</v>
          </cell>
          <cell r="G17" t="str">
            <v>20060630</v>
          </cell>
        </row>
        <row r="18">
          <cell r="B18" t="str">
            <v>TA</v>
          </cell>
          <cell r="G18" t="str">
            <v>20060930</v>
          </cell>
        </row>
        <row r="19">
          <cell r="B19" t="str">
            <v>TA</v>
          </cell>
          <cell r="G19" t="str">
            <v>20061201</v>
          </cell>
        </row>
        <row r="20">
          <cell r="B20" t="str">
            <v>TA</v>
          </cell>
          <cell r="G20" t="str">
            <v>20061231</v>
          </cell>
        </row>
        <row r="21">
          <cell r="B21" t="str">
            <v>TA</v>
          </cell>
          <cell r="G21" t="str">
            <v>20061231</v>
          </cell>
        </row>
        <row r="22">
          <cell r="B22" t="str">
            <v>TA</v>
          </cell>
          <cell r="G22" t="str">
            <v>20061231</v>
          </cell>
        </row>
        <row r="23">
          <cell r="B23" t="str">
            <v>TA</v>
          </cell>
          <cell r="G23" t="str">
            <v>20061231</v>
          </cell>
        </row>
        <row r="24">
          <cell r="B24" t="str">
            <v>TA</v>
          </cell>
          <cell r="G24" t="str">
            <v>98-99 RAR</v>
          </cell>
        </row>
        <row r="25">
          <cell r="B25" t="str">
            <v>TA</v>
          </cell>
          <cell r="G25" t="str">
            <v>98-99 RAR</v>
          </cell>
        </row>
        <row r="26">
          <cell r="B26" t="str">
            <v>TA</v>
          </cell>
          <cell r="G26" t="str">
            <v>98-99 RAR</v>
          </cell>
        </row>
        <row r="27">
          <cell r="B27" t="str">
            <v>IC</v>
          </cell>
          <cell r="G27" t="str">
            <v>NONCASH</v>
          </cell>
        </row>
        <row r="28">
          <cell r="B28" t="str">
            <v>IC</v>
          </cell>
          <cell r="G28" t="str">
            <v>NONCASH</v>
          </cell>
        </row>
        <row r="29">
          <cell r="B29" t="str">
            <v>TA</v>
          </cell>
          <cell r="G29" t="str">
            <v>NONCASH</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January"/>
      <sheetName val="February"/>
      <sheetName val="March"/>
      <sheetName val="April"/>
      <sheetName val="May"/>
      <sheetName val="June"/>
      <sheetName val="July"/>
      <sheetName val="August"/>
      <sheetName val="September"/>
      <sheetName val="October"/>
      <sheetName val="November"/>
      <sheetName val="December"/>
      <sheetName val="1st Qtr. Summary"/>
      <sheetName val="2nd Qtr. Summary"/>
      <sheetName val="3rd Qtr. Summary"/>
      <sheetName val="4th Qtr. Summary "/>
      <sheetName val="YTD Summary"/>
      <sheetName val="True Up"/>
      <sheetName val="Journal Ent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264PG Right of Way"/>
      <sheetName val="6501DC Delivery"/>
      <sheetName val="6502DC RE"/>
      <sheetName val="6503 DC Use"/>
      <sheetName val="6504 DC Ballpark"/>
      <sheetName val="6512 DC Pers. Prop"/>
      <sheetName val="6513DC PSC"/>
      <sheetName val="6521 not used"/>
      <sheetName val="6522 EATF"/>
      <sheetName val="6523 SETF"/>
      <sheetName val="6524 not used"/>
      <sheetName val="6525not used"/>
      <sheetName val="6526 MD Univer"/>
      <sheetName val="6529MtgyF&amp;E "/>
      <sheetName val="6530 MD GR 236250"/>
      <sheetName val="6531MD GR"/>
      <sheetName val="6532Mtgy RE"/>
      <sheetName val="6533PG RE"/>
      <sheetName val="6534Fred RE"/>
      <sheetName val="6535MD Other RE"/>
      <sheetName val="6536Mtgy O&amp;P"/>
      <sheetName val="6537PG O&amp;P"/>
      <sheetName val="6538Charles O&amp;P"/>
      <sheetName val="6539Fred O&amp;P not used"/>
      <sheetName val="6540MD Other O&amp;P"/>
      <sheetName val="6541MD Use"/>
      <sheetName val="6543Charles RE"/>
      <sheetName val="6544St Mary RE"/>
      <sheetName val="6545St Mary O&amp;P"/>
      <sheetName val="6546MD Filing"/>
      <sheetName val="6547MD Envir"/>
      <sheetName val="6548Calvert RE"/>
      <sheetName val="6550Howard RE"/>
      <sheetName val="6551Howard O&amp;P"/>
      <sheetName val="6552Calvert O&amp;P"/>
      <sheetName val="6553 MD Use 236250 or 165100"/>
      <sheetName val="6554DC BID"/>
      <sheetName val="6558MD Delivery"/>
      <sheetName val="6559DC RETF"/>
      <sheetName val="6571VA Income"/>
      <sheetName val="6572Alex"/>
      <sheetName val="6573Arlington"/>
      <sheetName val="6575 Va Use"/>
      <sheetName val="6576VA Regist"/>
      <sheetName val="6577Fairfax"/>
      <sheetName val="6578PW"/>
      <sheetName val="6579 Delaware Annual Re"/>
      <sheetName val="6580not used"/>
      <sheetName val="6581DC Right of Way"/>
      <sheetName val="6592PA Franchise"/>
      <sheetName val="6593PA Corp"/>
      <sheetName val="6594PA property"/>
      <sheetName val="6596PA realty"/>
      <sheetName val="Summ 165_236"/>
      <sheetName val="Summ 241 etc"/>
      <sheetName val="Reconciliation"/>
      <sheetName val="2010vs123109 3rd Qtr Jay"/>
      <sheetName val="2010vs123109 2nd Qtr Jay  "/>
      <sheetName val="2010vs123109 1st Qtr Jay   "/>
      <sheetName val="2009vs2008 annual Jay "/>
      <sheetName val="1109 vs 1009 165100"/>
      <sheetName val="2009vs2008 3rd Qtr Jay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 182.34"/>
      <sheetName val="AC 190"/>
      <sheetName val="AC 410xx-411xx"/>
      <sheetName val="AC 254"/>
      <sheetName val="AC 255"/>
      <sheetName val="Payroll Alloc."/>
      <sheetName val="AC 165, 236"/>
      <sheetName val="Sheet1"/>
      <sheetName val="236a"/>
      <sheetName val="AC 236 F.Note"/>
      <sheetName val="AC 281"/>
      <sheetName val="AC 282"/>
      <sheetName val="AC 283"/>
      <sheetName val="AC 283.xx"/>
    </sheetNames>
    <sheetDataSet>
      <sheetData sheetId="0"/>
      <sheetData sheetId="1"/>
      <sheetData sheetId="2"/>
      <sheetData sheetId="3"/>
      <sheetData sheetId="4">
        <row r="1">
          <cell r="A1" t="str">
            <v>FAS 109 Detail</v>
          </cell>
        </row>
        <row r="2">
          <cell r="A2" t="str">
            <v>Account 255</v>
          </cell>
        </row>
        <row r="4">
          <cell r="A4" t="str">
            <v>Beginning of Year</v>
          </cell>
          <cell r="F4" t="str">
            <v>Deferred for Year</v>
          </cell>
          <cell r="H4" t="str">
            <v>Allocations to Current Year</v>
          </cell>
        </row>
        <row r="5">
          <cell r="A5" t="str">
            <v xml:space="preserve">Line </v>
          </cell>
          <cell r="D5" t="str">
            <v>Balance</v>
          </cell>
          <cell r="F5" t="str">
            <v>Deferred for Year</v>
          </cell>
          <cell r="H5" t="str">
            <v>Allocations to Current Year</v>
          </cell>
          <cell r="M5" t="str">
            <v>Balance</v>
          </cell>
        </row>
        <row r="6">
          <cell r="A6" t="str">
            <v>Number</v>
          </cell>
          <cell r="B6" t="str">
            <v>Allocations</v>
          </cell>
          <cell r="D6" t="str">
            <v>Balance</v>
          </cell>
          <cell r="F6" t="str">
            <v xml:space="preserve">Account </v>
          </cell>
          <cell r="G6" t="str">
            <v>Amount</v>
          </cell>
          <cell r="H6" t="str">
            <v xml:space="preserve">Account </v>
          </cell>
          <cell r="J6" t="str">
            <v>Amount</v>
          </cell>
          <cell r="L6" t="str">
            <v>Adjustments</v>
          </cell>
          <cell r="M6" t="str">
            <v>Balance</v>
          </cell>
        </row>
        <row r="7">
          <cell r="D7" t="str">
            <v>Begining</v>
          </cell>
          <cell r="F7" t="str">
            <v>No</v>
          </cell>
          <cell r="G7" t="str">
            <v>Amount</v>
          </cell>
          <cell r="H7" t="str">
            <v>No</v>
          </cell>
          <cell r="J7" t="str">
            <v>Amount</v>
          </cell>
          <cell r="L7" t="str">
            <v>Adjustments</v>
          </cell>
          <cell r="M7" t="str">
            <v>Year End</v>
          </cell>
        </row>
        <row r="8">
          <cell r="D8" t="str">
            <v>(B)</v>
          </cell>
          <cell r="F8" t="str">
            <v>(C)</v>
          </cell>
          <cell r="G8" t="str">
            <v>(D)</v>
          </cell>
          <cell r="H8" t="str">
            <v>(E)</v>
          </cell>
          <cell r="J8" t="str">
            <v>(F)</v>
          </cell>
          <cell r="L8" t="str">
            <v>(G)</v>
          </cell>
          <cell r="M8" t="str">
            <v>(H)</v>
          </cell>
        </row>
        <row r="9">
          <cell r="A9" t="str">
            <v>Line 2</v>
          </cell>
          <cell r="B9">
            <v>0.03</v>
          </cell>
        </row>
        <row r="10">
          <cell r="A10" t="str">
            <v>Line 2</v>
          </cell>
          <cell r="B10">
            <v>0.03</v>
          </cell>
          <cell r="D10">
            <v>15897806</v>
          </cell>
          <cell r="F10">
            <v>411.4</v>
          </cell>
          <cell r="H10">
            <v>411.4</v>
          </cell>
          <cell r="J10">
            <v>924138</v>
          </cell>
          <cell r="L10">
            <v>3983070</v>
          </cell>
          <cell r="M10">
            <v>10990598</v>
          </cell>
        </row>
        <row r="11">
          <cell r="A11" t="str">
            <v>Line 3</v>
          </cell>
          <cell r="B11">
            <v>0.04</v>
          </cell>
          <cell r="D11">
            <v>16723140</v>
          </cell>
          <cell r="F11">
            <v>411.4</v>
          </cell>
          <cell r="H11">
            <v>411.4</v>
          </cell>
          <cell r="J11">
            <v>825334</v>
          </cell>
          <cell r="M11">
            <v>15897806</v>
          </cell>
        </row>
        <row r="12">
          <cell r="A12" t="str">
            <v>Line 4</v>
          </cell>
          <cell r="B12">
            <v>7.0000000000000007E-2</v>
          </cell>
          <cell r="D12">
            <v>34111637</v>
          </cell>
          <cell r="F12">
            <v>411.4</v>
          </cell>
          <cell r="H12">
            <v>411.4</v>
          </cell>
          <cell r="J12">
            <v>3162138</v>
          </cell>
          <cell r="L12">
            <v>13628930</v>
          </cell>
          <cell r="M12">
            <v>17320569</v>
          </cell>
        </row>
        <row r="13">
          <cell r="A13" t="str">
            <v>Line 5</v>
          </cell>
          <cell r="B13">
            <v>0.1</v>
          </cell>
          <cell r="D13">
            <v>36935695</v>
          </cell>
          <cell r="F13">
            <v>411.4</v>
          </cell>
          <cell r="H13">
            <v>411.4</v>
          </cell>
          <cell r="J13">
            <v>2824058</v>
          </cell>
          <cell r="M13">
            <v>34111637</v>
          </cell>
        </row>
        <row r="14">
          <cell r="A14" t="str">
            <v>Line 6</v>
          </cell>
        </row>
        <row r="15">
          <cell r="A15" t="str">
            <v>Line 7</v>
          </cell>
        </row>
        <row r="16">
          <cell r="A16" t="str">
            <v xml:space="preserve">Line 8 </v>
          </cell>
          <cell r="D16">
            <v>50009443</v>
          </cell>
          <cell r="G16">
            <v>0</v>
          </cell>
          <cell r="J16">
            <v>4086276</v>
          </cell>
          <cell r="L16">
            <v>17612000</v>
          </cell>
          <cell r="M16">
            <v>28311167</v>
          </cell>
        </row>
        <row r="17">
          <cell r="A17" t="str">
            <v xml:space="preserve">Line 8 </v>
          </cell>
          <cell r="D17">
            <v>53658835</v>
          </cell>
          <cell r="G17">
            <v>0</v>
          </cell>
          <cell r="J17">
            <v>3649392</v>
          </cell>
          <cell r="L17">
            <v>0</v>
          </cell>
          <cell r="M17">
            <v>50009443</v>
          </cell>
        </row>
        <row r="18">
          <cell r="A18" t="str">
            <v>Page 266 Line 5 Columm B</v>
          </cell>
          <cell r="M18">
            <v>50009443</v>
          </cell>
        </row>
        <row r="19">
          <cell r="A19" t="str">
            <v>Page 266 Line 5 Columm B</v>
          </cell>
          <cell r="B19">
            <v>0.06</v>
          </cell>
          <cell r="D19">
            <v>31131516</v>
          </cell>
        </row>
        <row r="20">
          <cell r="B20">
            <v>0.06</v>
          </cell>
          <cell r="D20">
            <v>32369516</v>
          </cell>
        </row>
        <row r="21">
          <cell r="B21">
            <v>0.1</v>
          </cell>
          <cell r="D21">
            <v>4566179</v>
          </cell>
        </row>
        <row r="22">
          <cell r="A22" t="str">
            <v>Page 266 Line 5 Columm F</v>
          </cell>
        </row>
        <row r="23">
          <cell r="B23">
            <v>0.06</v>
          </cell>
          <cell r="D23">
            <v>36935695</v>
          </cell>
        </row>
        <row r="24">
          <cell r="B24">
            <v>0.1</v>
          </cell>
          <cell r="D24">
            <v>1775932</v>
          </cell>
        </row>
        <row r="25">
          <cell r="A25" t="str">
            <v>Page 266 Line 5 Columm F</v>
          </cell>
          <cell r="D25">
            <v>3162138</v>
          </cell>
        </row>
        <row r="26">
          <cell r="A26" t="str">
            <v>Page 266 Line 5 Columm G</v>
          </cell>
          <cell r="B26">
            <v>0.06</v>
          </cell>
          <cell r="D26">
            <v>1238000</v>
          </cell>
        </row>
        <row r="27">
          <cell r="B27">
            <v>0.1</v>
          </cell>
          <cell r="D27">
            <v>1586058</v>
          </cell>
        </row>
        <row r="28">
          <cell r="B28">
            <v>0.1</v>
          </cell>
          <cell r="D28">
            <v>1190675</v>
          </cell>
        </row>
        <row r="29">
          <cell r="D29">
            <v>2824058</v>
          </cell>
        </row>
        <row r="30">
          <cell r="A30" t="str">
            <v>Page 266 Line 5 Columm H</v>
          </cell>
        </row>
        <row r="31">
          <cell r="B31">
            <v>0.06</v>
          </cell>
          <cell r="D31">
            <v>31131516</v>
          </cell>
        </row>
        <row r="32">
          <cell r="B32">
            <v>0.1</v>
          </cell>
          <cell r="D32">
            <v>2980121</v>
          </cell>
        </row>
      </sheetData>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January"/>
      <sheetName val="February"/>
      <sheetName val="March"/>
      <sheetName val="April"/>
      <sheetName val="May"/>
      <sheetName val="June"/>
      <sheetName val="July"/>
      <sheetName val="August"/>
      <sheetName val="September"/>
      <sheetName val="October"/>
      <sheetName val="November"/>
      <sheetName val="December"/>
      <sheetName val="1st Qtr"/>
      <sheetName val="2nd Qtr"/>
      <sheetName val="3rd Qtr"/>
      <sheetName val="4th Qtr"/>
      <sheetName val="YTD"/>
      <sheetName val="True-Up"/>
      <sheetName val="Summary"/>
      <sheetName val="Summary (2)"/>
      <sheetName val="Summary (3)"/>
      <sheetName val="Summary (4)"/>
      <sheetName val="YTD 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2.bin"/><Relationship Id="rId7" Type="http://schemas.openxmlformats.org/officeDocument/2006/relationships/printerSettings" Target="../printerSettings/printerSettings46.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printerSettings" Target="../printerSettings/printerSettings45.bin"/><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2.bin"/><Relationship Id="rId7" Type="http://schemas.openxmlformats.org/officeDocument/2006/relationships/printerSettings" Target="../printerSettings/printerSettings36.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FX336"/>
  <sheetViews>
    <sheetView tabSelected="1" zoomScale="75" zoomScaleNormal="75" zoomScaleSheetLayoutView="75" workbookViewId="0">
      <pane xSplit="3" ySplit="7" topLeftCell="D8" activePane="bottomRight" state="frozen"/>
      <selection pane="topRight" activeCell="D1" sqref="D1"/>
      <selection pane="bottomLeft" activeCell="A8" sqref="A8"/>
      <selection pane="bottomRight" activeCell="D9" sqref="D9"/>
    </sheetView>
  </sheetViews>
  <sheetFormatPr defaultRowHeight="15"/>
  <cols>
    <col min="1" max="1" width="7.42578125" style="83" customWidth="1"/>
    <col min="2" max="2" width="5.7109375" style="34" customWidth="1"/>
    <col min="3" max="3" width="58" style="34" customWidth="1"/>
    <col min="4" max="4" width="58.85546875" style="34" customWidth="1"/>
    <col min="5" max="5" width="23.85546875" style="115" customWidth="1"/>
    <col min="6" max="6" width="42.42578125" style="58" customWidth="1"/>
    <col min="7" max="7" width="2.7109375" style="58" customWidth="1"/>
    <col min="8" max="8" width="21.5703125" style="58" customWidth="1"/>
    <col min="9" max="16384" width="9.140625" style="58"/>
  </cols>
  <sheetData>
    <row r="1" spans="1:8">
      <c r="A1" s="305"/>
      <c r="H1" s="93"/>
    </row>
    <row r="2" spans="1:8" ht="27.75">
      <c r="A2" s="305"/>
      <c r="D2" s="701" t="s">
        <v>407</v>
      </c>
      <c r="F2" s="832"/>
      <c r="H2" s="93"/>
    </row>
    <row r="3" spans="1:8" ht="25.5" customHeight="1" thickBot="1"/>
    <row r="4" spans="1:8" ht="27.75" customHeight="1" thickBot="1">
      <c r="A4" s="493" t="s">
        <v>506</v>
      </c>
      <c r="B4" s="485"/>
      <c r="C4" s="485"/>
      <c r="D4" s="485"/>
      <c r="E4" s="486"/>
      <c r="F4" s="487"/>
    </row>
    <row r="5" spans="1:8" s="90" customFormat="1" ht="42" customHeight="1" thickBot="1">
      <c r="A5" s="488" t="s">
        <v>545</v>
      </c>
      <c r="B5" s="489"/>
      <c r="C5" s="490"/>
      <c r="D5" s="490"/>
      <c r="E5" s="491" t="s">
        <v>200</v>
      </c>
      <c r="F5" s="492" t="s">
        <v>315</v>
      </c>
      <c r="G5" s="484"/>
      <c r="H5" s="847">
        <v>2015</v>
      </c>
    </row>
    <row r="6" spans="1:8" s="318" customFormat="1" ht="23.25" customHeight="1">
      <c r="A6" s="313" t="s">
        <v>489</v>
      </c>
      <c r="B6" s="314"/>
      <c r="C6" s="315"/>
      <c r="D6" s="591"/>
      <c r="E6" s="209"/>
      <c r="F6" s="316"/>
      <c r="G6" s="179"/>
      <c r="H6" s="317"/>
    </row>
    <row r="7" spans="1:8" s="64" customFormat="1" ht="15.75">
      <c r="A7" s="114" t="s">
        <v>103</v>
      </c>
      <c r="B7" s="111"/>
      <c r="C7" s="147"/>
      <c r="D7" s="147"/>
      <c r="E7" s="210"/>
      <c r="F7" s="148"/>
      <c r="G7" s="148"/>
      <c r="H7" s="158"/>
    </row>
    <row r="8" spans="1:8" s="64" customFormat="1" ht="15.75">
      <c r="A8" s="124"/>
      <c r="B8" s="101"/>
      <c r="C8" s="101"/>
      <c r="D8" s="101"/>
      <c r="E8" s="209"/>
      <c r="F8" s="136"/>
      <c r="G8" s="136"/>
      <c r="H8" s="146"/>
    </row>
    <row r="9" spans="1:8" ht="15.75">
      <c r="A9" s="53"/>
      <c r="B9" s="26" t="s">
        <v>110</v>
      </c>
      <c r="E9" s="21"/>
      <c r="F9" s="5"/>
      <c r="G9" s="5"/>
      <c r="H9" s="5"/>
    </row>
    <row r="10" spans="1:8">
      <c r="A10" s="33">
        <v>1</v>
      </c>
      <c r="B10" s="33"/>
      <c r="C10" s="73" t="s">
        <v>63</v>
      </c>
      <c r="D10" s="258"/>
      <c r="E10" s="117"/>
      <c r="F10" s="5" t="s">
        <v>632</v>
      </c>
      <c r="G10" s="34"/>
      <c r="H10" s="826">
        <v>2768309</v>
      </c>
    </row>
    <row r="11" spans="1:8">
      <c r="A11" s="115"/>
      <c r="C11" s="11"/>
      <c r="D11" s="11"/>
    </row>
    <row r="12" spans="1:8">
      <c r="A12" s="33">
        <f>+A10+1</f>
        <v>2</v>
      </c>
      <c r="B12" s="33"/>
      <c r="C12" s="73" t="s">
        <v>64</v>
      </c>
      <c r="D12" s="73"/>
      <c r="E12" s="211"/>
      <c r="F12" s="73" t="s">
        <v>633</v>
      </c>
      <c r="G12" s="34"/>
      <c r="H12" s="826">
        <v>37790367</v>
      </c>
    </row>
    <row r="13" spans="1:8">
      <c r="A13" s="33">
        <f>+A12+1</f>
        <v>3</v>
      </c>
      <c r="B13" s="33"/>
      <c r="C13" s="73" t="s">
        <v>104</v>
      </c>
      <c r="D13" s="73"/>
      <c r="F13" s="73" t="s">
        <v>634</v>
      </c>
      <c r="G13" s="34"/>
      <c r="H13" s="826">
        <v>3407632</v>
      </c>
    </row>
    <row r="14" spans="1:8">
      <c r="A14" s="33">
        <f>+A13+1</f>
        <v>4</v>
      </c>
      <c r="B14" s="33"/>
      <c r="C14" s="43" t="s">
        <v>181</v>
      </c>
      <c r="D14" s="37"/>
      <c r="E14" s="212"/>
      <c r="F14" s="37" t="str">
        <f>"(Line "&amp;A12&amp;" - "&amp;A13&amp;")"</f>
        <v>(Line 2 - 3)</v>
      </c>
      <c r="G14" s="72"/>
      <c r="H14" s="37">
        <f>+H12-H13</f>
        <v>34382735</v>
      </c>
    </row>
    <row r="15" spans="1:8">
      <c r="A15" s="33"/>
      <c r="B15" s="33"/>
      <c r="C15" s="3"/>
      <c r="D15" s="11"/>
      <c r="E15" s="21"/>
      <c r="F15" s="34"/>
      <c r="G15" s="34"/>
      <c r="H15" s="5"/>
    </row>
    <row r="16" spans="1:8" ht="16.5" thickBot="1">
      <c r="A16" s="33">
        <v>5</v>
      </c>
      <c r="B16" s="46" t="s">
        <v>146</v>
      </c>
      <c r="C16" s="46"/>
      <c r="D16" s="149"/>
      <c r="E16" s="213"/>
      <c r="F16" s="47" t="str">
        <f>"(Line "&amp;A10&amp;" / "&amp;A14&amp;")"</f>
        <v>(Line 1 / 4)</v>
      </c>
      <c r="G16" s="150"/>
      <c r="H16" s="138">
        <f>+H10/H14</f>
        <v>8.0514508226294385E-2</v>
      </c>
    </row>
    <row r="17" spans="1:8" ht="16.5" thickTop="1">
      <c r="A17" s="33"/>
      <c r="B17" s="33"/>
      <c r="C17" s="26"/>
      <c r="D17" s="63"/>
      <c r="E17" s="30"/>
      <c r="F17" s="34"/>
      <c r="G17" s="34"/>
      <c r="H17" s="44"/>
    </row>
    <row r="18" spans="1:8" ht="15.75">
      <c r="A18" s="115"/>
      <c r="B18" s="26" t="s">
        <v>167</v>
      </c>
      <c r="D18" s="58"/>
    </row>
    <row r="19" spans="1:8">
      <c r="A19" s="98">
        <f>+A16+1</f>
        <v>6</v>
      </c>
      <c r="B19" s="58"/>
      <c r="C19" s="73" t="s">
        <v>189</v>
      </c>
      <c r="E19" s="244" t="str">
        <f>"(Note "&amp;B$298&amp;")"</f>
        <v>(Note B)</v>
      </c>
      <c r="F19" s="73" t="s">
        <v>764</v>
      </c>
      <c r="H19" s="826">
        <f>'5 - Cost Support 1'!I203</f>
        <v>3430855851</v>
      </c>
    </row>
    <row r="20" spans="1:8">
      <c r="A20" s="98">
        <f>+A19+1</f>
        <v>7</v>
      </c>
      <c r="B20" s="58"/>
      <c r="C20" s="73" t="s">
        <v>105</v>
      </c>
      <c r="E20" s="244"/>
      <c r="F20" s="140" t="str">
        <f>"(Line "&amp;A$46&amp;")"</f>
        <v>(Line 24)</v>
      </c>
      <c r="H20" s="12">
        <f>H46</f>
        <v>88071964</v>
      </c>
    </row>
    <row r="21" spans="1:8">
      <c r="A21" s="98">
        <f>+A20+1</f>
        <v>8</v>
      </c>
      <c r="B21" s="58"/>
      <c r="C21" s="56" t="s">
        <v>109</v>
      </c>
      <c r="D21" s="72"/>
      <c r="E21" s="216"/>
      <c r="F21" s="70" t="str">
        <f>"(Sum Lines "&amp;A19&amp;" &amp; "&amp;A20&amp;")"</f>
        <v>(Sum Lines 6 &amp; 7)</v>
      </c>
      <c r="G21" s="68"/>
      <c r="H21" s="70">
        <f>SUM(H19:H20)</f>
        <v>3518927815</v>
      </c>
    </row>
    <row r="22" spans="1:8">
      <c r="A22" s="117"/>
      <c r="B22" s="58"/>
      <c r="C22" s="73"/>
      <c r="E22" s="215"/>
      <c r="F22" s="73"/>
      <c r="H22" s="12"/>
    </row>
    <row r="23" spans="1:8">
      <c r="A23" s="98">
        <f>+A21+1</f>
        <v>9</v>
      </c>
      <c r="B23" s="58"/>
      <c r="C23" s="73" t="s">
        <v>61</v>
      </c>
      <c r="F23" s="73" t="s">
        <v>765</v>
      </c>
      <c r="H23" s="826">
        <f>'5 - Cost Support 1'!I204</f>
        <v>892238236</v>
      </c>
    </row>
    <row r="24" spans="1:8">
      <c r="A24" s="98">
        <f>+A23+1</f>
        <v>10</v>
      </c>
      <c r="B24" s="58"/>
      <c r="C24" s="73" t="s">
        <v>201</v>
      </c>
      <c r="E24" s="244" t="str">
        <f>"(Note "&amp;B$297&amp;")"</f>
        <v>(Note A)</v>
      </c>
      <c r="F24" s="5" t="s">
        <v>212</v>
      </c>
      <c r="H24" s="826">
        <v>9955634</v>
      </c>
    </row>
    <row r="25" spans="1:8">
      <c r="A25" s="98">
        <f>+A24+1</f>
        <v>11</v>
      </c>
      <c r="B25" s="58"/>
      <c r="C25" s="73" t="s">
        <v>162</v>
      </c>
      <c r="E25" s="244" t="str">
        <f>"(Note "&amp;B$297&amp;")"</f>
        <v>(Note A)</v>
      </c>
      <c r="F25" s="5" t="s">
        <v>65</v>
      </c>
      <c r="H25" s="12">
        <f>'5 - Cost Support 1'!H8</f>
        <v>14161633</v>
      </c>
    </row>
    <row r="26" spans="1:8">
      <c r="A26" s="98">
        <f>+A25+1</f>
        <v>12</v>
      </c>
      <c r="C26" s="39" t="s">
        <v>202</v>
      </c>
      <c r="E26" s="244" t="str">
        <f>"(Note "&amp;B$297&amp;")"</f>
        <v>(Note A)</v>
      </c>
      <c r="F26" s="5" t="s">
        <v>65</v>
      </c>
      <c r="H26" s="716">
        <v>51400525</v>
      </c>
    </row>
    <row r="27" spans="1:8">
      <c r="A27" s="98">
        <f>+A26+1</f>
        <v>13</v>
      </c>
      <c r="C27" s="56" t="s">
        <v>108</v>
      </c>
      <c r="D27" s="72"/>
      <c r="E27" s="217"/>
      <c r="F27" s="37" t="str">
        <f>"(Sum Lines "&amp;A23&amp;" to "&amp;A26&amp;")"</f>
        <v>(Sum Lines 9 to 12)</v>
      </c>
      <c r="G27" s="68"/>
      <c r="H27" s="70">
        <f>SUM(H23:H26)</f>
        <v>967756028</v>
      </c>
    </row>
    <row r="28" spans="1:8" ht="17.25" customHeight="1">
      <c r="A28" s="115"/>
      <c r="C28" s="39"/>
      <c r="F28" s="5"/>
      <c r="H28" s="109"/>
    </row>
    <row r="29" spans="1:8">
      <c r="A29" s="33">
        <f>+A27+1</f>
        <v>14</v>
      </c>
      <c r="B29" s="58"/>
      <c r="C29" s="68" t="s">
        <v>158</v>
      </c>
      <c r="D29" s="68"/>
      <c r="E29" s="217"/>
      <c r="F29" s="37" t="str">
        <f>"(Line "&amp;A21&amp;" - "&amp;A27&amp;")"</f>
        <v>(Line 8 - 13)</v>
      </c>
      <c r="G29" s="68"/>
      <c r="H29" s="37">
        <f>+H21-H27</f>
        <v>2551171787</v>
      </c>
    </row>
    <row r="30" spans="1:8">
      <c r="A30" s="115"/>
      <c r="B30" s="58"/>
      <c r="C30" s="58"/>
      <c r="D30" s="58"/>
    </row>
    <row r="31" spans="1:8">
      <c r="A31" s="98">
        <f>+A29+1</f>
        <v>15</v>
      </c>
      <c r="B31" s="58"/>
      <c r="C31" s="58" t="s">
        <v>106</v>
      </c>
      <c r="D31" s="58"/>
      <c r="F31" s="140" t="str">
        <f>"(Line "&amp;A53&amp;" - Line "&amp;A51&amp;")"</f>
        <v>(Line 29 - Line 28)</v>
      </c>
      <c r="H31" s="109">
        <f>+H53-H51</f>
        <v>1229396887.0091333</v>
      </c>
    </row>
    <row r="32" spans="1:8" ht="16.5" thickBot="1">
      <c r="A32" s="33">
        <f>+A31+1</f>
        <v>16</v>
      </c>
      <c r="B32" s="51" t="s">
        <v>48</v>
      </c>
      <c r="C32" s="51"/>
      <c r="D32" s="139"/>
      <c r="E32" s="218"/>
      <c r="F32" s="47" t="str">
        <f>"(Line "&amp;A31&amp;" / "&amp;A21&amp;")"</f>
        <v>(Line 15 / 8)</v>
      </c>
      <c r="G32" s="139"/>
      <c r="H32" s="138">
        <f>+H31/(H21)</f>
        <v>0.34936689572563268</v>
      </c>
    </row>
    <row r="33" spans="1:9" ht="15.75" thickTop="1">
      <c r="A33" s="115"/>
    </row>
    <row r="34" spans="1:9" s="38" customFormat="1">
      <c r="A34" s="98">
        <f>+A32+1</f>
        <v>17</v>
      </c>
      <c r="B34" s="6"/>
      <c r="C34" s="28" t="s">
        <v>107</v>
      </c>
      <c r="D34" s="29"/>
      <c r="E34" s="30"/>
      <c r="F34" s="140" t="str">
        <f>"(Line "&amp;A69&amp;" - Line "&amp;A51&amp;")"</f>
        <v>(Line 39 - Line 28)</v>
      </c>
      <c r="G34" s="11"/>
      <c r="H34" s="7">
        <f>+H69-H51</f>
        <v>897303360.33913517</v>
      </c>
    </row>
    <row r="35" spans="1:9" ht="16.5" thickBot="1">
      <c r="A35" s="33">
        <f>+A34+1</f>
        <v>18</v>
      </c>
      <c r="B35" s="51" t="s">
        <v>159</v>
      </c>
      <c r="C35" s="51"/>
      <c r="D35" s="139"/>
      <c r="E35" s="218"/>
      <c r="F35" s="47" t="str">
        <f>"(Line "&amp;A34&amp;" / "&amp;A29&amp;")"</f>
        <v>(Line 17 / 14)</v>
      </c>
      <c r="G35" s="139"/>
      <c r="H35" s="138">
        <f>+H34/H29</f>
        <v>0.35172204588946998</v>
      </c>
    </row>
    <row r="36" spans="1:9" ht="16.5" thickTop="1">
      <c r="A36" s="60"/>
      <c r="B36" s="33"/>
      <c r="C36" s="26"/>
      <c r="D36" s="63"/>
      <c r="E36" s="30"/>
      <c r="F36" s="34"/>
      <c r="G36" s="34"/>
      <c r="H36" s="44"/>
    </row>
    <row r="37" spans="1:9" s="64" customFormat="1" ht="15.75">
      <c r="A37" s="114" t="s">
        <v>157</v>
      </c>
      <c r="B37" s="111"/>
      <c r="C37" s="147"/>
      <c r="D37" s="147"/>
      <c r="E37" s="210"/>
      <c r="F37" s="148"/>
      <c r="G37" s="148"/>
      <c r="H37" s="158"/>
    </row>
    <row r="38" spans="1:9" s="64" customFormat="1" ht="15.75">
      <c r="A38" s="151"/>
      <c r="B38" s="152"/>
      <c r="C38" s="101"/>
      <c r="D38" s="101"/>
      <c r="E38" s="209"/>
      <c r="F38" s="136"/>
      <c r="G38" s="136"/>
      <c r="H38" s="146"/>
    </row>
    <row r="39" spans="1:9" ht="15.75">
      <c r="A39" s="116"/>
      <c r="B39" s="26" t="s">
        <v>116</v>
      </c>
      <c r="E39" s="30"/>
      <c r="F39" s="12"/>
      <c r="G39" s="53"/>
      <c r="H39" s="5"/>
    </row>
    <row r="40" spans="1:9">
      <c r="A40" s="31">
        <f>+A35+1</f>
        <v>19</v>
      </c>
      <c r="B40" s="98"/>
      <c r="C40" s="28" t="s">
        <v>152</v>
      </c>
      <c r="E40" s="244" t="str">
        <f>"(Note "&amp;B$298&amp;")"</f>
        <v>(Note B)</v>
      </c>
      <c r="F40" s="12" t="s">
        <v>79</v>
      </c>
      <c r="G40" s="34"/>
      <c r="H40" s="826">
        <v>1207860962</v>
      </c>
    </row>
    <row r="41" spans="1:9">
      <c r="A41" s="31">
        <f>+A40+1</f>
        <v>20</v>
      </c>
      <c r="B41" s="98"/>
      <c r="C41" s="28" t="s">
        <v>541</v>
      </c>
      <c r="E41" s="30" t="s">
        <v>552</v>
      </c>
      <c r="F41" s="443" t="s">
        <v>553</v>
      </c>
      <c r="G41" s="34"/>
      <c r="H41" s="10"/>
    </row>
    <row r="42" spans="1:9">
      <c r="A42" s="31">
        <f>+A41+1</f>
        <v>21</v>
      </c>
      <c r="B42" s="98"/>
      <c r="C42" s="200" t="s">
        <v>380</v>
      </c>
      <c r="D42" s="127"/>
      <c r="E42" s="230"/>
      <c r="F42" s="541" t="s">
        <v>494</v>
      </c>
      <c r="G42" s="127"/>
      <c r="H42" s="142">
        <f>'6- Est &amp; Reconcile WS'!R116</f>
        <v>0</v>
      </c>
      <c r="I42" s="954"/>
    </row>
    <row r="43" spans="1:9" ht="15.75">
      <c r="A43" s="31">
        <f>+A42+1</f>
        <v>22</v>
      </c>
      <c r="B43" s="98"/>
      <c r="C43" s="26" t="s">
        <v>379</v>
      </c>
      <c r="E43" s="244"/>
      <c r="F43" s="27" t="str">
        <f>"(Line "&amp;A40&amp;" - "&amp;A41&amp;" + "&amp;A42&amp;")"</f>
        <v>(Line 19 - 20 + 21)</v>
      </c>
      <c r="G43" s="34"/>
      <c r="H43" s="499">
        <f>+H40-H41+H42</f>
        <v>1207860962</v>
      </c>
    </row>
    <row r="44" spans="1:9" s="64" customFormat="1">
      <c r="A44" s="31"/>
      <c r="B44" s="98"/>
      <c r="C44" s="28"/>
      <c r="D44" s="63"/>
      <c r="E44" s="117"/>
      <c r="F44" s="12"/>
      <c r="G44" s="63"/>
      <c r="H44" s="12"/>
    </row>
    <row r="45" spans="1:9">
      <c r="A45" s="31">
        <f>+A43+1</f>
        <v>23</v>
      </c>
      <c r="B45" s="33"/>
      <c r="C45" s="3" t="s">
        <v>151</v>
      </c>
      <c r="F45" s="12" t="s">
        <v>766</v>
      </c>
      <c r="G45" s="34"/>
      <c r="H45" s="10">
        <f>'5 - Cost Support 1'!I205</f>
        <v>179406848</v>
      </c>
    </row>
    <row r="46" spans="1:9">
      <c r="A46" s="31">
        <f>+A45+1</f>
        <v>24</v>
      </c>
      <c r="B46" s="33"/>
      <c r="C46" s="3" t="s">
        <v>112</v>
      </c>
      <c r="E46" s="244" t="str">
        <f>"(Notes "&amp;B$297&amp;" &amp; "&amp;B$298&amp;")"</f>
        <v>(Notes A &amp; B)</v>
      </c>
      <c r="F46" s="142" t="s">
        <v>65</v>
      </c>
      <c r="G46" s="34"/>
      <c r="H46" s="50">
        <v>88071964</v>
      </c>
    </row>
    <row r="47" spans="1:9">
      <c r="A47" s="31">
        <f>+A46+1</f>
        <v>25</v>
      </c>
      <c r="B47" s="33"/>
      <c r="C47" s="43" t="s">
        <v>153</v>
      </c>
      <c r="D47" s="72"/>
      <c r="E47" s="217"/>
      <c r="F47" s="27" t="str">
        <f>"(Line "&amp;A45&amp;" + "&amp;A46&amp;")"</f>
        <v>(Line 23 + 24)</v>
      </c>
      <c r="G47" s="72"/>
      <c r="H47" s="37">
        <f>SUM(H45:H46)</f>
        <v>267478812</v>
      </c>
    </row>
    <row r="48" spans="1:9" ht="15.75">
      <c r="A48" s="31">
        <f>+A47+1</f>
        <v>26</v>
      </c>
      <c r="B48" s="33"/>
      <c r="C48" s="82" t="s">
        <v>168</v>
      </c>
      <c r="D48" s="28"/>
      <c r="E48" s="30"/>
      <c r="F48" s="140" t="str">
        <f>"(Line "&amp;A$16&amp;")"</f>
        <v>(Line 5)</v>
      </c>
      <c r="G48" s="25"/>
      <c r="H48" s="254">
        <f>+H16</f>
        <v>8.0514508226294385E-2</v>
      </c>
    </row>
    <row r="49" spans="1:8" ht="15.75">
      <c r="A49" s="98">
        <f>+A48+1</f>
        <v>27</v>
      </c>
      <c r="B49" s="58"/>
      <c r="C49" s="45" t="s">
        <v>114</v>
      </c>
      <c r="D49" s="69"/>
      <c r="E49" s="212"/>
      <c r="F49" s="27" t="str">
        <f>"(Line "&amp;A47&amp;" * "&amp;A48&amp;")"</f>
        <v>(Line 25 * 26)</v>
      </c>
      <c r="G49" s="68"/>
      <c r="H49" s="335">
        <f>+H48*H47</f>
        <v>21535925.009133451</v>
      </c>
    </row>
    <row r="50" spans="1:8" ht="15.75">
      <c r="A50" s="126"/>
      <c r="B50" s="58"/>
      <c r="C50" s="26"/>
      <c r="D50" s="64"/>
      <c r="E50" s="346"/>
      <c r="H50" s="27"/>
    </row>
    <row r="51" spans="1:8" ht="15.75">
      <c r="A51" s="98">
        <f>+A49+1</f>
        <v>28</v>
      </c>
      <c r="B51" s="33"/>
      <c r="C51" s="45" t="s">
        <v>273</v>
      </c>
      <c r="D51" s="251"/>
      <c r="E51" s="244" t="str">
        <f>"(Note "&amp;B$303&amp;")"</f>
        <v>(Note C)</v>
      </c>
      <c r="F51" s="37" t="s">
        <v>204</v>
      </c>
      <c r="G51" s="72"/>
      <c r="H51" s="336">
        <f>'5 - Cost Support 1'!H27</f>
        <v>0</v>
      </c>
    </row>
    <row r="52" spans="1:8" ht="15.75">
      <c r="A52" s="126"/>
      <c r="B52" s="58"/>
      <c r="C52" s="26"/>
      <c r="D52" s="64"/>
      <c r="E52" s="117"/>
      <c r="H52" s="27"/>
    </row>
    <row r="53" spans="1:8" s="1" customFormat="1" ht="16.5" thickBot="1">
      <c r="A53" s="98">
        <f>+A51+1</f>
        <v>29</v>
      </c>
      <c r="B53" s="51" t="s">
        <v>111</v>
      </c>
      <c r="C53" s="51"/>
      <c r="D53" s="51"/>
      <c r="E53" s="220"/>
      <c r="F53" s="48" t="str">
        <f>"(Line "&amp;A43&amp;" + "&amp;A49&amp;" + "&amp;A51&amp;")"</f>
        <v>(Line 22 + 27 + 28)</v>
      </c>
      <c r="G53" s="51"/>
      <c r="H53" s="52">
        <f>SUM(H43,H49,H51)</f>
        <v>1229396887.0091333</v>
      </c>
    </row>
    <row r="54" spans="1:8" ht="15.75" thickTop="1">
      <c r="A54" s="126"/>
      <c r="B54" s="58"/>
      <c r="C54" s="58"/>
      <c r="D54" s="58"/>
    </row>
    <row r="55" spans="1:8" ht="15.75">
      <c r="A55" s="31"/>
      <c r="B55" s="26" t="s">
        <v>100</v>
      </c>
      <c r="C55" s="26"/>
      <c r="D55" s="12"/>
      <c r="E55" s="21"/>
      <c r="F55" s="5"/>
      <c r="G55" s="16"/>
      <c r="H55" s="5"/>
    </row>
    <row r="56" spans="1:8">
      <c r="A56" s="126"/>
      <c r="B56" s="63"/>
      <c r="C56" s="63"/>
      <c r="D56" s="63"/>
      <c r="F56" s="5"/>
      <c r="G56" s="5"/>
      <c r="H56" s="5"/>
    </row>
    <row r="57" spans="1:8">
      <c r="A57" s="31">
        <f>+A53+1</f>
        <v>30</v>
      </c>
      <c r="B57" s="33"/>
      <c r="C57" s="3" t="s">
        <v>188</v>
      </c>
      <c r="D57" s="11"/>
      <c r="E57" s="244" t="str">
        <f>"(Note "&amp;B$298&amp;")"</f>
        <v>(Note B)</v>
      </c>
      <c r="F57" s="12" t="s">
        <v>80</v>
      </c>
      <c r="G57" s="11"/>
      <c r="H57" s="826">
        <v>322619784</v>
      </c>
    </row>
    <row r="58" spans="1:8" s="64" customFormat="1">
      <c r="A58" s="31"/>
      <c r="B58" s="98"/>
      <c r="C58" s="63"/>
      <c r="D58" s="28"/>
      <c r="E58" s="117"/>
      <c r="F58" s="12"/>
      <c r="G58" s="63"/>
      <c r="H58" s="12"/>
    </row>
    <row r="59" spans="1:8">
      <c r="A59" s="98">
        <f>+A57+1</f>
        <v>31</v>
      </c>
      <c r="B59" s="33"/>
      <c r="C59" s="3" t="s">
        <v>230</v>
      </c>
      <c r="F59" s="12" t="s">
        <v>767</v>
      </c>
      <c r="G59" s="34"/>
      <c r="H59" s="826">
        <f>'5 - Cost Support 1'!I206</f>
        <v>42147246</v>
      </c>
    </row>
    <row r="60" spans="1:8">
      <c r="A60" s="31">
        <f t="shared" ref="A60:A65" si="0">+A59+1</f>
        <v>32</v>
      </c>
      <c r="B60" s="33"/>
      <c r="C60" s="3" t="str">
        <f>+C24</f>
        <v>Accumulated Intangible Amortization</v>
      </c>
      <c r="F60" s="27" t="str">
        <f>"(Line "&amp;A$24&amp;")"</f>
        <v>(Line 10)</v>
      </c>
      <c r="G60" s="34"/>
      <c r="H60" s="12">
        <f>+H24</f>
        <v>9955634</v>
      </c>
    </row>
    <row r="61" spans="1:8">
      <c r="A61" s="31">
        <f t="shared" si="0"/>
        <v>33</v>
      </c>
      <c r="B61" s="33"/>
      <c r="C61" s="3" t="str">
        <f>+C25</f>
        <v>Accumulated Common Amortization - Electric</v>
      </c>
      <c r="E61" s="244"/>
      <c r="F61" s="27" t="str">
        <f>"(Line "&amp;A$25&amp;")"</f>
        <v>(Line 11)</v>
      </c>
      <c r="G61" s="34"/>
      <c r="H61" s="12">
        <f>+H25</f>
        <v>14161633</v>
      </c>
    </row>
    <row r="62" spans="1:8">
      <c r="A62" s="31">
        <f t="shared" si="0"/>
        <v>34</v>
      </c>
      <c r="B62" s="33"/>
      <c r="C62" s="206" t="s">
        <v>113</v>
      </c>
      <c r="D62" s="127"/>
      <c r="E62" s="253"/>
      <c r="F62" s="140" t="str">
        <f>"(Line "&amp;A$26&amp;")"</f>
        <v>(Line 12)</v>
      </c>
      <c r="G62" s="34"/>
      <c r="H62" s="142">
        <f>+H26</f>
        <v>51400525</v>
      </c>
    </row>
    <row r="63" spans="1:8">
      <c r="A63" s="31">
        <f t="shared" si="0"/>
        <v>35</v>
      </c>
      <c r="B63" s="33"/>
      <c r="C63" s="242" t="s">
        <v>108</v>
      </c>
      <c r="D63" s="41"/>
      <c r="E63" s="22"/>
      <c r="F63" s="27" t="str">
        <f>"(Sum Lines "&amp;A59&amp;" to "&amp;A62&amp;")"</f>
        <v>(Sum Lines 31 to 34)</v>
      </c>
      <c r="G63" s="27"/>
      <c r="H63" s="27">
        <f>SUM(H59:H62)</f>
        <v>117665038</v>
      </c>
    </row>
    <row r="64" spans="1:8">
      <c r="A64" s="31">
        <f t="shared" si="0"/>
        <v>36</v>
      </c>
      <c r="B64" s="33"/>
      <c r="C64" s="242" t="str">
        <f>+C48</f>
        <v>Wage &amp; Salary Allocation Factor</v>
      </c>
      <c r="D64" s="41"/>
      <c r="E64" s="22"/>
      <c r="F64" s="140" t="str">
        <f>"(Line "&amp;A$16&amp;")"</f>
        <v>(Line 5)</v>
      </c>
      <c r="G64" s="27"/>
      <c r="H64" s="500">
        <f>+H16</f>
        <v>8.0514508226294385E-2</v>
      </c>
    </row>
    <row r="65" spans="1:9" ht="15.75">
      <c r="A65" s="31">
        <f t="shared" si="0"/>
        <v>37</v>
      </c>
      <c r="B65" s="58"/>
      <c r="C65" s="110" t="s">
        <v>138</v>
      </c>
      <c r="D65" s="68"/>
      <c r="E65" s="217"/>
      <c r="F65" s="27" t="str">
        <f>"(Line "&amp;A63&amp;" * "&amp;A64&amp;")"</f>
        <v>(Line 35 * 36)</v>
      </c>
      <c r="G65" s="68"/>
      <c r="H65" s="335">
        <f>+H64*H63</f>
        <v>9473742.6699982416</v>
      </c>
    </row>
    <row r="66" spans="1:9">
      <c r="A66" s="126"/>
      <c r="B66" s="58"/>
      <c r="C66" s="58"/>
      <c r="D66" s="58"/>
    </row>
    <row r="67" spans="1:9" ht="16.5" thickBot="1">
      <c r="A67" s="98">
        <f>+A65+1</f>
        <v>38</v>
      </c>
      <c r="B67" s="51" t="s">
        <v>154</v>
      </c>
      <c r="C67" s="51"/>
      <c r="D67" s="51"/>
      <c r="E67" s="220"/>
      <c r="F67" s="48" t="str">
        <f>"(Line "&amp;A57&amp;" + "&amp;A65&amp;")"</f>
        <v>(Line 30 + 37)</v>
      </c>
      <c r="G67" s="51"/>
      <c r="H67" s="52">
        <f>+H65+H57</f>
        <v>332093526.66999823</v>
      </c>
    </row>
    <row r="68" spans="1:9" ht="15.75" thickTop="1">
      <c r="A68" s="126"/>
      <c r="B68" s="58"/>
      <c r="C68" s="58"/>
      <c r="D68" s="58"/>
    </row>
    <row r="69" spans="1:9" ht="16.5" thickBot="1">
      <c r="A69" s="98">
        <f>+A67+1</f>
        <v>39</v>
      </c>
      <c r="B69" s="51" t="s">
        <v>155</v>
      </c>
      <c r="C69" s="51"/>
      <c r="D69" s="51"/>
      <c r="E69" s="220"/>
      <c r="F69" s="48" t="str">
        <f>"(Line "&amp;A53&amp;" - "&amp;A67&amp;")"</f>
        <v>(Line 29 - 38)</v>
      </c>
      <c r="G69" s="51"/>
      <c r="H69" s="52">
        <f>+H53-H67</f>
        <v>897303360.33913517</v>
      </c>
    </row>
    <row r="70" spans="1:9" ht="15.75" thickTop="1">
      <c r="A70" s="116"/>
      <c r="B70" s="58"/>
      <c r="C70" s="58"/>
      <c r="D70" s="58"/>
    </row>
    <row r="71" spans="1:9" ht="15.75">
      <c r="A71" s="114" t="s">
        <v>115</v>
      </c>
      <c r="B71" s="147"/>
      <c r="C71" s="147"/>
      <c r="D71" s="147"/>
      <c r="E71" s="210"/>
      <c r="F71" s="148"/>
      <c r="G71" s="148"/>
      <c r="H71" s="157"/>
    </row>
    <row r="72" spans="1:9">
      <c r="A72" s="292"/>
      <c r="B72" s="293"/>
      <c r="C72" s="293"/>
      <c r="D72" s="293"/>
    </row>
    <row r="73" spans="1:9" ht="15.75">
      <c r="A73" s="117"/>
      <c r="B73" s="112" t="s">
        <v>242</v>
      </c>
      <c r="D73" s="64"/>
      <c r="E73" s="135"/>
      <c r="H73" s="5"/>
    </row>
    <row r="74" spans="1:9" ht="15.75">
      <c r="A74" s="117">
        <f>+A69+1</f>
        <v>40</v>
      </c>
      <c r="B74" s="112"/>
      <c r="C74" s="34" t="s">
        <v>268</v>
      </c>
      <c r="D74" s="64"/>
      <c r="F74" s="81" t="s">
        <v>495</v>
      </c>
      <c r="H74" s="12">
        <f>'1 - ADIT'!E17</f>
        <v>-250466040.19521144</v>
      </c>
    </row>
    <row r="75" spans="1:9" s="63" customFormat="1">
      <c r="A75" s="31">
        <f>+A74+1</f>
        <v>41</v>
      </c>
      <c r="B75" s="64"/>
      <c r="C75" s="54" t="s">
        <v>215</v>
      </c>
      <c r="D75" s="617" t="s">
        <v>573</v>
      </c>
      <c r="E75" s="244" t="str">
        <f>"(Notes "&amp;B$297&amp;" &amp; "&amp;B$308&amp;")"</f>
        <v>(Notes A &amp; I)</v>
      </c>
      <c r="F75" s="49" t="s">
        <v>81</v>
      </c>
      <c r="G75" s="29"/>
      <c r="H75" s="10">
        <f>-'1 - ADIT'!D133</f>
        <v>-3168120.62</v>
      </c>
    </row>
    <row r="76" spans="1:9" ht="15.75">
      <c r="A76" s="31">
        <f>+A75+1</f>
        <v>42</v>
      </c>
      <c r="B76" s="64"/>
      <c r="C76" s="82" t="s">
        <v>117</v>
      </c>
      <c r="D76" s="64"/>
      <c r="E76" s="117"/>
      <c r="F76" s="142" t="str">
        <f>"(Line "&amp;A35&amp;")"</f>
        <v>(Line 18)</v>
      </c>
      <c r="H76" s="76">
        <f>+H$35</f>
        <v>0.35172204588946998</v>
      </c>
    </row>
    <row r="77" spans="1:9" s="64" customFormat="1" ht="15.75">
      <c r="A77" s="31">
        <f>+A76+1</f>
        <v>43</v>
      </c>
      <c r="C77" s="113" t="s">
        <v>139</v>
      </c>
      <c r="D77" s="69"/>
      <c r="E77" s="228"/>
      <c r="F77" s="49" t="str">
        <f>"(Line "&amp;A75&amp;" * "&amp;A76&amp;") + Line "&amp;A74</f>
        <v>(Line 41 * 42) + Line 40</v>
      </c>
      <c r="G77" s="69"/>
      <c r="H77" s="334">
        <f>+H74+H75*H76</f>
        <v>-251580338.06130245</v>
      </c>
    </row>
    <row r="78" spans="1:9" s="64" customFormat="1" ht="15.75">
      <c r="A78" s="31"/>
      <c r="C78" s="112"/>
      <c r="D78" s="136"/>
      <c r="E78" s="257"/>
      <c r="F78" s="49"/>
      <c r="G78" s="136"/>
      <c r="H78" s="597"/>
    </row>
    <row r="79" spans="1:9" s="64" customFormat="1" ht="15.75">
      <c r="A79" s="31" t="s">
        <v>643</v>
      </c>
      <c r="B79" s="112" t="s">
        <v>644</v>
      </c>
      <c r="D79" s="73"/>
      <c r="E79" s="244" t="s">
        <v>645</v>
      </c>
      <c r="F79" s="49" t="s">
        <v>646</v>
      </c>
      <c r="G79" s="136"/>
      <c r="H79" s="991">
        <f>'6- Est &amp; Reconcile WS'!R117</f>
        <v>0</v>
      </c>
      <c r="I79" s="955"/>
    </row>
    <row r="80" spans="1:9" s="64" customFormat="1" ht="15.75">
      <c r="A80" s="31"/>
      <c r="C80" s="112"/>
      <c r="D80" s="136"/>
      <c r="E80" s="257"/>
      <c r="F80" s="49"/>
      <c r="G80" s="136"/>
      <c r="H80" s="597"/>
      <c r="I80" s="955"/>
    </row>
    <row r="81" spans="1:9" s="64" customFormat="1" ht="15.75">
      <c r="A81" s="31" t="s">
        <v>712</v>
      </c>
      <c r="B81" s="879" t="s">
        <v>713</v>
      </c>
      <c r="C81" s="112"/>
      <c r="D81" s="136"/>
      <c r="E81" s="257"/>
      <c r="F81" s="878" t="s">
        <v>497</v>
      </c>
      <c r="G81" s="136"/>
      <c r="H81" s="990">
        <f>'5 - Cost Support 1'!E180</f>
        <v>0</v>
      </c>
      <c r="I81" s="955"/>
    </row>
    <row r="82" spans="1:9" s="64" customFormat="1" ht="15.75">
      <c r="A82" s="31"/>
      <c r="C82" s="112"/>
      <c r="D82" s="136"/>
      <c r="E82" s="257"/>
      <c r="F82" s="49"/>
      <c r="G82" s="136"/>
      <c r="H82" s="597"/>
    </row>
    <row r="83" spans="1:9" s="64" customFormat="1" ht="15.75">
      <c r="A83" s="31"/>
      <c r="B83" s="270" t="s">
        <v>572</v>
      </c>
      <c r="C83" s="112"/>
      <c r="D83" s="136"/>
      <c r="E83" s="257"/>
      <c r="F83" s="49"/>
      <c r="G83" s="136"/>
      <c r="H83" s="597"/>
    </row>
    <row r="84" spans="1:9" ht="15.75">
      <c r="A84" s="117">
        <f>+A77+1</f>
        <v>44</v>
      </c>
      <c r="B84" s="64"/>
      <c r="C84" s="112" t="s">
        <v>574</v>
      </c>
      <c r="D84" s="136"/>
      <c r="E84" s="257" t="s">
        <v>573</v>
      </c>
      <c r="F84" s="136" t="s">
        <v>497</v>
      </c>
      <c r="G84" s="103"/>
      <c r="H84" s="907">
        <f>-'5 - Cost Support 1'!I118</f>
        <v>-3471169.8018521406</v>
      </c>
    </row>
    <row r="85" spans="1:9" ht="15.75">
      <c r="A85" s="98"/>
      <c r="B85" s="61"/>
      <c r="C85" s="63"/>
      <c r="D85" s="63"/>
      <c r="E85" s="117"/>
      <c r="F85" s="635"/>
      <c r="G85" s="80"/>
    </row>
    <row r="86" spans="1:9" ht="15.75">
      <c r="A86" s="98"/>
      <c r="B86" s="74" t="s">
        <v>101</v>
      </c>
      <c r="C86" s="62"/>
      <c r="D86" s="63"/>
      <c r="E86" s="117"/>
      <c r="F86" s="636"/>
      <c r="G86" s="75"/>
    </row>
    <row r="87" spans="1:9" ht="15.75">
      <c r="A87" s="98">
        <f>+A84+1</f>
        <v>45</v>
      </c>
      <c r="B87" s="71"/>
      <c r="C87" s="118" t="s">
        <v>602</v>
      </c>
      <c r="D87" s="253"/>
      <c r="E87" s="253" t="str">
        <f>"(Note "&amp;B$297&amp;")"</f>
        <v>(Note A)</v>
      </c>
      <c r="F87" s="192" t="s">
        <v>497</v>
      </c>
      <c r="G87" s="191"/>
      <c r="H87" s="994">
        <f>+'5 - Cost Support 1'!F129</f>
        <v>14729127.926593091</v>
      </c>
    </row>
    <row r="88" spans="1:9" ht="15.75">
      <c r="A88" s="6">
        <f>+A87+1</f>
        <v>46</v>
      </c>
      <c r="B88" s="61"/>
      <c r="C88" s="270" t="s">
        <v>82</v>
      </c>
      <c r="D88" s="72"/>
      <c r="E88" s="221"/>
      <c r="F88" s="49" t="str">
        <f>"(Line "&amp;A87&amp;")"</f>
        <v>(Line 45)</v>
      </c>
      <c r="G88" s="104"/>
      <c r="H88" s="92">
        <f>+H87</f>
        <v>14729127.926593091</v>
      </c>
    </row>
    <row r="89" spans="1:9" ht="15.75">
      <c r="A89" s="33"/>
      <c r="B89" s="61"/>
      <c r="C89" s="62"/>
      <c r="E89" s="33"/>
      <c r="F89" s="75"/>
      <c r="G89" s="75"/>
      <c r="H89" s="78"/>
    </row>
    <row r="90" spans="1:9" ht="15.75">
      <c r="A90" s="98"/>
      <c r="B90" s="74" t="s">
        <v>98</v>
      </c>
      <c r="C90" s="64"/>
      <c r="D90" s="64"/>
      <c r="E90" s="208"/>
      <c r="F90" s="191"/>
      <c r="G90" s="75"/>
      <c r="H90" s="78"/>
    </row>
    <row r="91" spans="1:9">
      <c r="A91" s="117">
        <f>+A88+1</f>
        <v>47</v>
      </c>
      <c r="B91" s="64"/>
      <c r="C91" s="64" t="s">
        <v>119</v>
      </c>
      <c r="D91" s="63"/>
      <c r="E91" s="244" t="str">
        <f>"(Note "&amp;B$297&amp;")"</f>
        <v>(Note A)</v>
      </c>
      <c r="F91" s="62" t="s">
        <v>20</v>
      </c>
      <c r="H91" s="826">
        <f>'5 - Cost Support 1'!H15</f>
        <v>1270092.23074</v>
      </c>
    </row>
    <row r="92" spans="1:9" s="64" customFormat="1" ht="15.75">
      <c r="A92" s="31">
        <f>+A91+1</f>
        <v>48</v>
      </c>
      <c r="B92" s="61"/>
      <c r="C92" s="118" t="s">
        <v>168</v>
      </c>
      <c r="D92" s="119"/>
      <c r="E92" s="222"/>
      <c r="F92" s="140" t="str">
        <f>"(Line "&amp;A$16&amp;")"</f>
        <v>(Line 5)</v>
      </c>
      <c r="G92" s="121"/>
      <c r="H92" s="833">
        <f>+H16</f>
        <v>8.0514508226294385E-2</v>
      </c>
    </row>
    <row r="93" spans="1:9" ht="15.75">
      <c r="A93" s="31">
        <f>+A92+1</f>
        <v>49</v>
      </c>
      <c r="B93" s="61"/>
      <c r="C93" s="82" t="s">
        <v>187</v>
      </c>
      <c r="D93" s="63"/>
      <c r="E93" s="117"/>
      <c r="F93" s="27" t="str">
        <f>"(Line "&amp;A91&amp;" * "&amp;A92&amp;")"</f>
        <v>(Line 47 * 48)</v>
      </c>
      <c r="G93" s="75"/>
      <c r="H93" s="84">
        <f>+H91*H92</f>
        <v>102260.85136006832</v>
      </c>
    </row>
    <row r="94" spans="1:9" ht="15.75">
      <c r="A94" s="31">
        <f>+A93+1</f>
        <v>50</v>
      </c>
      <c r="B94" s="61"/>
      <c r="C94" s="82" t="s">
        <v>84</v>
      </c>
      <c r="D94" s="63"/>
      <c r="E94" s="98"/>
      <c r="F94" s="192" t="s">
        <v>169</v>
      </c>
      <c r="G94" s="75"/>
      <c r="H94" s="993">
        <v>2649667</v>
      </c>
    </row>
    <row r="95" spans="1:9" ht="18" customHeight="1">
      <c r="A95" s="31">
        <f>+A94+1</f>
        <v>51</v>
      </c>
      <c r="B95" s="61"/>
      <c r="C95" s="134" t="s">
        <v>97</v>
      </c>
      <c r="D95" s="86"/>
      <c r="E95" s="223"/>
      <c r="F95" s="27" t="str">
        <f>"(Line "&amp;A93&amp;" + "&amp;A94&amp;")"</f>
        <v>(Line 49 + 50)</v>
      </c>
      <c r="G95" s="87"/>
      <c r="H95" s="88">
        <f>SUM(H93:H94)</f>
        <v>2751927.8513600682</v>
      </c>
    </row>
    <row r="96" spans="1:9" ht="15.75">
      <c r="A96" s="98"/>
      <c r="B96" s="61"/>
      <c r="C96" s="62"/>
      <c r="E96" s="33"/>
      <c r="F96" s="75"/>
      <c r="G96" s="75"/>
    </row>
    <row r="97" spans="1:8" ht="15.75">
      <c r="A97" s="98"/>
      <c r="B97" s="74" t="s">
        <v>102</v>
      </c>
      <c r="C97" s="64"/>
      <c r="F97" s="75"/>
      <c r="G97" s="75"/>
    </row>
    <row r="98" spans="1:8" ht="15.75">
      <c r="A98" s="98">
        <f>+A95+1</f>
        <v>52</v>
      </c>
      <c r="B98" s="61"/>
      <c r="C98" s="62" t="s">
        <v>184</v>
      </c>
      <c r="D98" s="83"/>
      <c r="F98" s="27" t="str">
        <f>"(Line "&amp;A$146&amp;")"</f>
        <v>(Line 85)</v>
      </c>
      <c r="G98" s="75"/>
      <c r="H98" s="65">
        <f>+H146</f>
        <v>23011796.662214957</v>
      </c>
    </row>
    <row r="99" spans="1:8" ht="15.75">
      <c r="A99" s="31">
        <f>+A98+1</f>
        <v>53</v>
      </c>
      <c r="B99" s="61"/>
      <c r="C99" s="81" t="s">
        <v>170</v>
      </c>
      <c r="D99" s="83"/>
      <c r="F99" s="120" t="s">
        <v>205</v>
      </c>
      <c r="H99" s="255">
        <v>0.125</v>
      </c>
    </row>
    <row r="100" spans="1:8" s="90" customFormat="1" ht="15.75">
      <c r="A100" s="31">
        <f>+A99+1</f>
        <v>54</v>
      </c>
      <c r="B100" s="271"/>
      <c r="C100" s="272" t="s">
        <v>83</v>
      </c>
      <c r="D100" s="89"/>
      <c r="E100" s="224"/>
      <c r="F100" s="27" t="str">
        <f>"(Line "&amp;A98&amp;" * "&amp;A99&amp;")"</f>
        <v>(Line 52 * 53)</v>
      </c>
      <c r="G100" s="85"/>
      <c r="H100" s="91">
        <f>+H98*H99</f>
        <v>2876474.5827768696</v>
      </c>
    </row>
    <row r="101" spans="1:8" s="90" customFormat="1" ht="15.75">
      <c r="A101" s="31"/>
      <c r="B101" s="271"/>
      <c r="C101" s="330"/>
      <c r="D101" s="331"/>
      <c r="E101" s="232"/>
      <c r="F101" s="27"/>
      <c r="G101" s="332"/>
      <c r="H101" s="180"/>
    </row>
    <row r="102" spans="1:8" s="90" customFormat="1" ht="15.75">
      <c r="B102" s="330" t="s">
        <v>304</v>
      </c>
      <c r="D102" s="331"/>
      <c r="F102" s="27"/>
      <c r="G102" s="332"/>
      <c r="H102" s="180"/>
    </row>
    <row r="103" spans="1:8">
      <c r="A103" s="31">
        <f>+A100+1</f>
        <v>55</v>
      </c>
      <c r="B103" s="58"/>
      <c r="C103" s="58" t="s">
        <v>305</v>
      </c>
      <c r="D103" s="58"/>
      <c r="E103" s="244" t="str">
        <f>"(Note "&amp;B$318&amp;")"</f>
        <v>(Note N)</v>
      </c>
      <c r="F103" s="58" t="s">
        <v>307</v>
      </c>
      <c r="H103" s="320">
        <f>+'5 - Cost Support 1'!G99</f>
        <v>0</v>
      </c>
    </row>
    <row r="104" spans="1:8">
      <c r="A104" s="115">
        <f>+A103+1</f>
        <v>56</v>
      </c>
      <c r="B104" s="58"/>
      <c r="C104" s="321" t="s">
        <v>381</v>
      </c>
      <c r="D104" s="321"/>
      <c r="E104" s="533" t="str">
        <f>+E103</f>
        <v>(Note N)</v>
      </c>
      <c r="F104" s="448" t="str">
        <f>+F103</f>
        <v>From PJM</v>
      </c>
      <c r="H104" s="333">
        <f>+'5 - Cost Support 1'!G104</f>
        <v>0</v>
      </c>
    </row>
    <row r="105" spans="1:8" ht="15.75">
      <c r="A105" s="115">
        <f>+A104+1</f>
        <v>57</v>
      </c>
      <c r="B105" s="58"/>
      <c r="C105" s="58" t="s">
        <v>306</v>
      </c>
      <c r="D105" s="58"/>
      <c r="F105" s="27" t="str">
        <f>"(Line "&amp;A103&amp;" - "&amp;A104&amp;")"</f>
        <v>(Line 55 - 56)</v>
      </c>
      <c r="H105" s="1">
        <f>+H103+H104</f>
        <v>0</v>
      </c>
    </row>
    <row r="106" spans="1:8">
      <c r="A106" s="115"/>
      <c r="B106" s="58"/>
      <c r="C106" s="58"/>
      <c r="D106" s="58"/>
    </row>
    <row r="107" spans="1:8" ht="16.5" thickBot="1">
      <c r="A107" s="115">
        <f>+A105+1</f>
        <v>58</v>
      </c>
      <c r="B107" s="51" t="s">
        <v>179</v>
      </c>
      <c r="C107" s="51"/>
      <c r="D107" s="51"/>
      <c r="E107" s="220"/>
      <c r="F107" s="637" t="str">
        <f>"(Line "&amp;A77&amp;" + "&amp;A79&amp;" + "&amp;A84&amp;" + "&amp;A88&amp;" + "&amp;A95&amp;" + "&amp;A100&amp;" - "&amp;A105&amp;")"</f>
        <v>(Line 43 + 43a + 44 + 46 + 51 + 54 - 57)</v>
      </c>
      <c r="G107" s="638"/>
      <c r="H107" s="639">
        <f>SUM(H77,H79,H81,H84,H88,H95,H100,H105)</f>
        <v>-234693977.50242454</v>
      </c>
    </row>
    <row r="108" spans="1:8" ht="15.75" thickTop="1">
      <c r="A108" s="115"/>
      <c r="B108" s="58"/>
      <c r="C108" s="58"/>
      <c r="D108" s="58"/>
    </row>
    <row r="109" spans="1:8" s="38" customFormat="1" ht="16.5" thickBot="1">
      <c r="A109" s="33">
        <f>+A107+1</f>
        <v>59</v>
      </c>
      <c r="B109" s="51" t="s">
        <v>160</v>
      </c>
      <c r="C109" s="51"/>
      <c r="D109" s="51"/>
      <c r="E109" s="220"/>
      <c r="F109" s="47" t="str">
        <f>"(Line "&amp;A69&amp;" + "&amp;A107&amp;")"</f>
        <v>(Line 39 + 58)</v>
      </c>
      <c r="G109" s="51"/>
      <c r="H109" s="52">
        <f>+H69+H107</f>
        <v>662609382.83671069</v>
      </c>
    </row>
    <row r="110" spans="1:8" ht="15.75" thickTop="1">
      <c r="B110" s="58"/>
      <c r="C110" s="58"/>
      <c r="D110" s="58"/>
    </row>
    <row r="111" spans="1:8" s="64" customFormat="1" ht="15.75">
      <c r="A111" s="153" t="s">
        <v>210</v>
      </c>
      <c r="B111" s="154"/>
      <c r="C111" s="155"/>
      <c r="D111" s="156"/>
      <c r="E111" s="225"/>
      <c r="F111" s="157"/>
      <c r="G111" s="157"/>
      <c r="H111" s="158"/>
    </row>
    <row r="112" spans="1:8" s="64" customFormat="1" ht="15.75">
      <c r="A112" s="63"/>
      <c r="B112" s="63"/>
      <c r="C112" s="63"/>
      <c r="D112" s="63"/>
      <c r="E112" s="226"/>
      <c r="H112" s="146"/>
    </row>
    <row r="113" spans="1:8" ht="15.75">
      <c r="A113" s="6"/>
      <c r="B113" s="26" t="s">
        <v>144</v>
      </c>
      <c r="D113" s="5"/>
      <c r="E113" s="21"/>
      <c r="G113" s="5"/>
      <c r="H113" s="5"/>
    </row>
    <row r="114" spans="1:8" ht="15.75">
      <c r="A114" s="6">
        <f>+A109+1</f>
        <v>60</v>
      </c>
      <c r="B114" s="33"/>
      <c r="C114" s="28" t="s">
        <v>144</v>
      </c>
      <c r="D114" s="63"/>
      <c r="E114" s="117"/>
      <c r="F114" s="12" t="s">
        <v>768</v>
      </c>
      <c r="G114" s="53"/>
      <c r="H114" s="826">
        <f>'5 - Cost Support 1'!I196</f>
        <v>18064153.84</v>
      </c>
    </row>
    <row r="115" spans="1:8" ht="15.75">
      <c r="A115" s="6">
        <f>A114+1</f>
        <v>61</v>
      </c>
      <c r="B115" s="33"/>
      <c r="C115" s="28" t="s">
        <v>615</v>
      </c>
      <c r="D115" s="63"/>
      <c r="E115" s="117"/>
      <c r="F115" s="12" t="s">
        <v>497</v>
      </c>
      <c r="G115" s="53"/>
      <c r="H115" s="717">
        <f>'5 - Cost Support 1'!G138</f>
        <v>0</v>
      </c>
    </row>
    <row r="116" spans="1:8" ht="15.75">
      <c r="A116" s="6">
        <f>A115+1</f>
        <v>62</v>
      </c>
      <c r="B116" s="33"/>
      <c r="C116" s="28" t="s">
        <v>436</v>
      </c>
      <c r="D116" s="63"/>
      <c r="E116" s="117"/>
      <c r="F116" s="12" t="s">
        <v>497</v>
      </c>
      <c r="G116" s="53"/>
      <c r="H116" s="717">
        <f>'5 - Cost Support 1'!J139</f>
        <v>0</v>
      </c>
    </row>
    <row r="117" spans="1:8">
      <c r="A117" s="6">
        <f>+A116+1</f>
        <v>63</v>
      </c>
      <c r="B117" s="33"/>
      <c r="C117" s="28" t="s">
        <v>211</v>
      </c>
      <c r="D117" s="63"/>
      <c r="E117" s="117"/>
      <c r="F117" s="12" t="s">
        <v>12</v>
      </c>
      <c r="G117" s="63"/>
      <c r="H117" s="716">
        <v>0</v>
      </c>
    </row>
    <row r="118" spans="1:8">
      <c r="A118" s="31">
        <f>+A117+1</f>
        <v>64</v>
      </c>
      <c r="B118" s="98"/>
      <c r="C118" s="28" t="s">
        <v>402</v>
      </c>
      <c r="D118" s="63"/>
      <c r="E118" s="244" t="str">
        <f>"(Note "&amp;B$321&amp;")"</f>
        <v>(Note O)</v>
      </c>
      <c r="F118" s="12" t="s">
        <v>309</v>
      </c>
      <c r="G118" s="63"/>
      <c r="H118" s="716">
        <v>0</v>
      </c>
    </row>
    <row r="119" spans="1:8">
      <c r="A119" s="6">
        <f>+A118+1</f>
        <v>65</v>
      </c>
      <c r="B119" s="33"/>
      <c r="C119" s="28" t="s">
        <v>145</v>
      </c>
      <c r="D119" s="12"/>
      <c r="E119" s="253" t="str">
        <f>"(Note "&amp;B$297&amp;")"</f>
        <v>(Note A)</v>
      </c>
      <c r="F119" s="142" t="s">
        <v>635</v>
      </c>
      <c r="G119" s="63"/>
      <c r="H119" s="718">
        <v>0</v>
      </c>
    </row>
    <row r="120" spans="1:8" ht="15.75">
      <c r="A120" s="31">
        <f>+A119+1</f>
        <v>66</v>
      </c>
      <c r="B120" s="63"/>
      <c r="C120" s="45" t="s">
        <v>144</v>
      </c>
      <c r="D120" s="67"/>
      <c r="E120" s="228"/>
      <c r="F120" s="49" t="str">
        <f>"(Lines "&amp;A114&amp;" - "&amp;A117&amp;" + "&amp;A118&amp;" + "&amp;A119&amp;")"</f>
        <v>(Lines 60 - 63 + 64 + 65)</v>
      </c>
      <c r="G120" s="69"/>
      <c r="H120" s="337">
        <f>+H114-H115+H116-H117+H118+H119</f>
        <v>18064153.84</v>
      </c>
    </row>
    <row r="121" spans="1:8" ht="15.75">
      <c r="A121" s="31"/>
      <c r="B121" s="98"/>
      <c r="C121" s="26"/>
      <c r="D121" s="63"/>
      <c r="E121" s="30"/>
      <c r="F121" s="63"/>
      <c r="G121" s="63"/>
      <c r="H121" s="44"/>
    </row>
    <row r="122" spans="1:8" ht="15.75">
      <c r="A122" s="31"/>
      <c r="B122" s="26" t="s">
        <v>88</v>
      </c>
      <c r="C122" s="63"/>
      <c r="D122" s="63"/>
      <c r="E122" s="30"/>
      <c r="F122" s="63"/>
      <c r="G122" s="63"/>
      <c r="H122" s="44"/>
    </row>
    <row r="123" spans="1:8">
      <c r="A123" s="31">
        <f>+A120+1</f>
        <v>67</v>
      </c>
      <c r="B123" s="98"/>
      <c r="C123" s="28" t="s">
        <v>147</v>
      </c>
      <c r="D123" s="63"/>
      <c r="E123" s="244" t="str">
        <f>"(Note "&amp;B$297&amp;")"</f>
        <v>(Note A)</v>
      </c>
      <c r="F123" s="5" t="s">
        <v>65</v>
      </c>
      <c r="G123" s="63"/>
      <c r="H123" s="10">
        <v>0</v>
      </c>
    </row>
    <row r="124" spans="1:8">
      <c r="A124" s="31">
        <f t="shared" ref="A124:A133" si="1">+A123+1</f>
        <v>68</v>
      </c>
      <c r="B124" s="98"/>
      <c r="C124" s="28" t="s">
        <v>150</v>
      </c>
      <c r="D124" s="63"/>
      <c r="E124" s="117"/>
      <c r="F124" s="12" t="s">
        <v>769</v>
      </c>
      <c r="G124" s="63"/>
      <c r="H124" s="826">
        <f>'5 - Cost Support 1'!I197</f>
        <v>66358630.210000001</v>
      </c>
    </row>
    <row r="125" spans="1:8" ht="15.75">
      <c r="A125" s="98" t="s">
        <v>803</v>
      </c>
      <c r="B125" s="98"/>
      <c r="C125" s="1124" t="s">
        <v>804</v>
      </c>
      <c r="D125" s="63"/>
      <c r="E125" s="244" t="s">
        <v>805</v>
      </c>
      <c r="F125" s="1125" t="s">
        <v>497</v>
      </c>
      <c r="G125" s="1126"/>
      <c r="H125" s="10">
        <f>'5 - Cost Support 1'!I212</f>
        <v>-648857.56106267578</v>
      </c>
    </row>
    <row r="126" spans="1:8">
      <c r="A126" s="31">
        <f>+A124+1</f>
        <v>69</v>
      </c>
      <c r="B126" s="98"/>
      <c r="C126" s="28" t="s">
        <v>216</v>
      </c>
      <c r="D126" s="12"/>
      <c r="E126" s="126"/>
      <c r="F126" s="28" t="s">
        <v>14</v>
      </c>
      <c r="G126" s="34"/>
      <c r="H126" s="10">
        <v>414475</v>
      </c>
    </row>
    <row r="127" spans="1:8">
      <c r="A127" s="31">
        <f t="shared" si="1"/>
        <v>70</v>
      </c>
      <c r="B127" s="98"/>
      <c r="C127" s="28" t="s">
        <v>217</v>
      </c>
      <c r="D127" s="12"/>
      <c r="E127" s="244" t="str">
        <f>"(Note "&amp;B$305&amp;")"</f>
        <v>(Note E)</v>
      </c>
      <c r="F127" s="28" t="s">
        <v>15</v>
      </c>
      <c r="G127" s="34"/>
      <c r="H127" s="10">
        <v>3651224</v>
      </c>
    </row>
    <row r="128" spans="1:8">
      <c r="A128" s="31">
        <f t="shared" si="1"/>
        <v>71</v>
      </c>
      <c r="B128" s="98"/>
      <c r="C128" s="28" t="s">
        <v>218</v>
      </c>
      <c r="D128" s="12"/>
      <c r="E128" s="126"/>
      <c r="F128" s="28" t="s">
        <v>16</v>
      </c>
      <c r="G128" s="34"/>
      <c r="H128" s="10">
        <v>161759</v>
      </c>
    </row>
    <row r="129" spans="1:8">
      <c r="A129" s="31">
        <f>A128+1</f>
        <v>72</v>
      </c>
      <c r="B129" s="98"/>
      <c r="C129" s="28" t="s">
        <v>74</v>
      </c>
      <c r="D129" s="12"/>
      <c r="E129" s="126"/>
      <c r="F129" s="28" t="s">
        <v>614</v>
      </c>
      <c r="G129" s="34"/>
      <c r="H129" s="10">
        <v>6586524</v>
      </c>
    </row>
    <row r="130" spans="1:8">
      <c r="A130" s="31">
        <f>A129+1</f>
        <v>73</v>
      </c>
      <c r="B130" s="98"/>
      <c r="C130" s="28" t="s">
        <v>194</v>
      </c>
      <c r="D130" s="58"/>
      <c r="E130" s="244" t="str">
        <f>"(Note "&amp;B$304&amp;")"</f>
        <v>(Note D)</v>
      </c>
      <c r="F130" s="142" t="s">
        <v>163</v>
      </c>
      <c r="G130" s="63"/>
      <c r="H130" s="10">
        <f>'5 - Cost Support 1'!H49</f>
        <v>136301</v>
      </c>
    </row>
    <row r="131" spans="1:8" ht="15.75">
      <c r="A131" s="31">
        <f t="shared" si="1"/>
        <v>74</v>
      </c>
      <c r="B131" s="98"/>
      <c r="C131" s="45" t="s">
        <v>85</v>
      </c>
      <c r="D131" s="67"/>
      <c r="E131" s="219"/>
      <c r="F131" s="27" t="str">
        <f>"(Lines "&amp;A123&amp;" + "&amp;A124&amp;") -  Sum ("&amp;A126&amp;" to "&amp;A130&amp;")"</f>
        <v>(Lines 67 + 68) -  Sum (69 to 73)</v>
      </c>
      <c r="G131" s="72"/>
      <c r="H131" s="37">
        <f>H123+H124-H126-H127-H128-H129-H130</f>
        <v>55408347.210000001</v>
      </c>
    </row>
    <row r="132" spans="1:8" ht="15.75">
      <c r="A132" s="31">
        <f t="shared" si="1"/>
        <v>75</v>
      </c>
      <c r="B132" s="98"/>
      <c r="C132" s="82" t="s">
        <v>168</v>
      </c>
      <c r="D132" s="81"/>
      <c r="F132" s="243" t="str">
        <f>"(Line "&amp;A$16&amp;")"</f>
        <v>(Line 5)</v>
      </c>
      <c r="G132" s="75"/>
      <c r="H132" s="78">
        <f>+H16</f>
        <v>8.0514508226294385E-2</v>
      </c>
    </row>
    <row r="133" spans="1:8" ht="15.75">
      <c r="A133" s="31">
        <f t="shared" si="1"/>
        <v>76</v>
      </c>
      <c r="B133" s="98"/>
      <c r="C133" s="45" t="s">
        <v>96</v>
      </c>
      <c r="D133" s="67"/>
      <c r="E133" s="212"/>
      <c r="F133" s="27" t="str">
        <f>"(Line "&amp;A131&amp;" * "&amp;A132&amp;")"</f>
        <v>(Line 74 * 75)</v>
      </c>
      <c r="G133" s="72"/>
      <c r="H133" s="335">
        <f>+H132*H131</f>
        <v>4461175.8272449207</v>
      </c>
    </row>
    <row r="134" spans="1:8" ht="15.75">
      <c r="A134" s="31"/>
      <c r="B134" s="98"/>
      <c r="C134" s="57"/>
      <c r="D134" s="101"/>
      <c r="E134" s="22"/>
      <c r="F134" s="77"/>
      <c r="G134" s="77"/>
      <c r="H134" s="27"/>
    </row>
    <row r="135" spans="1:8" ht="15.75">
      <c r="A135" s="31"/>
      <c r="B135" s="26" t="s">
        <v>86</v>
      </c>
      <c r="C135" s="64"/>
      <c r="D135" s="101"/>
      <c r="E135" s="22"/>
      <c r="F135" s="77"/>
      <c r="G135" s="77"/>
      <c r="H135" s="27"/>
    </row>
    <row r="136" spans="1:8">
      <c r="A136" s="31">
        <f>+A133+1</f>
        <v>77</v>
      </c>
      <c r="B136" s="61"/>
      <c r="C136" s="62" t="s">
        <v>219</v>
      </c>
      <c r="D136" s="214"/>
      <c r="E136" s="244" t="str">
        <f>"(Note "&amp;B$307&amp;")"</f>
        <v>(Note G)</v>
      </c>
      <c r="F136" s="62" t="s">
        <v>15</v>
      </c>
      <c r="G136" s="64"/>
      <c r="H136" s="10">
        <f>'5 - Cost Support 1'!H55</f>
        <v>340687</v>
      </c>
    </row>
    <row r="137" spans="1:8" ht="15.75">
      <c r="A137" s="6">
        <f>+A136+1</f>
        <v>78</v>
      </c>
      <c r="B137" s="61"/>
      <c r="C137" s="192" t="s">
        <v>220</v>
      </c>
      <c r="D137" s="252"/>
      <c r="E137" s="253" t="str">
        <f>"(Note "&amp;B$315&amp;")"</f>
        <v>(Note K)</v>
      </c>
      <c r="F137" s="192" t="s">
        <v>16</v>
      </c>
      <c r="G137" s="64"/>
      <c r="H137" s="343">
        <f>'5 - Cost Support 1'!H63</f>
        <v>0</v>
      </c>
    </row>
    <row r="138" spans="1:8" ht="15.75">
      <c r="A138" s="6">
        <f>+A137+1</f>
        <v>79</v>
      </c>
      <c r="B138" s="61"/>
      <c r="C138" s="62" t="s">
        <v>195</v>
      </c>
      <c r="D138" s="63"/>
      <c r="E138" s="208"/>
      <c r="F138" s="27" t="str">
        <f>"(Line "&amp;A136&amp;" + "&amp;A137&amp;")"</f>
        <v>(Line 77 + 78)</v>
      </c>
      <c r="G138" s="64"/>
      <c r="H138" s="341">
        <f>+H137+H136</f>
        <v>340687</v>
      </c>
    </row>
    <row r="139" spans="1:8" ht="15.75">
      <c r="A139" s="31"/>
      <c r="B139" s="61"/>
      <c r="C139" s="62"/>
      <c r="D139" s="63"/>
      <c r="E139" s="208"/>
      <c r="F139" s="62"/>
      <c r="G139" s="64"/>
      <c r="H139" s="191"/>
    </row>
    <row r="140" spans="1:8">
      <c r="A140" s="33">
        <f>+A138+1</f>
        <v>80</v>
      </c>
      <c r="B140" s="61"/>
      <c r="C140" s="62" t="s">
        <v>221</v>
      </c>
      <c r="D140" s="63"/>
      <c r="F140" s="62" t="s">
        <v>14</v>
      </c>
      <c r="G140" s="64"/>
      <c r="H140" s="10">
        <f>H126</f>
        <v>414475</v>
      </c>
    </row>
    <row r="141" spans="1:8" ht="15.75">
      <c r="A141" s="6">
        <f>+A140+1</f>
        <v>81</v>
      </c>
      <c r="B141" s="61"/>
      <c r="C141" s="62" t="s">
        <v>220</v>
      </c>
      <c r="D141" s="63"/>
      <c r="E141" s="244" t="str">
        <f>"(Note "&amp;B$306&amp;")"</f>
        <v>(Note F)</v>
      </c>
      <c r="F141" s="192" t="s">
        <v>16</v>
      </c>
      <c r="G141" s="64"/>
      <c r="H141" s="343">
        <f>+'5 - Cost Support 1'!H76</f>
        <v>0</v>
      </c>
    </row>
    <row r="142" spans="1:8" ht="15.75">
      <c r="A142" s="31">
        <f>+A141+1</f>
        <v>82</v>
      </c>
      <c r="B142" s="61"/>
      <c r="C142" s="66" t="s">
        <v>181</v>
      </c>
      <c r="D142" s="67"/>
      <c r="E142" s="217"/>
      <c r="F142" s="27" t="str">
        <f>"(Line "&amp;A140&amp;" + "&amp;A141&amp;")"</f>
        <v>(Line 80 + 81)</v>
      </c>
      <c r="G142" s="69"/>
      <c r="H142" s="341">
        <f>+H140+H141</f>
        <v>414475</v>
      </c>
    </row>
    <row r="143" spans="1:8" ht="15.75">
      <c r="A143" s="6">
        <f>+A142+1</f>
        <v>83</v>
      </c>
      <c r="B143" s="98"/>
      <c r="C143" s="123" t="s">
        <v>117</v>
      </c>
      <c r="D143" s="81"/>
      <c r="E143" s="33"/>
      <c r="F143" s="140" t="str">
        <f>"(Line "&amp;A$35&amp;")"</f>
        <v>(Line 18)</v>
      </c>
      <c r="G143" s="75"/>
      <c r="H143" s="79">
        <f>+H35</f>
        <v>0.35172204588946998</v>
      </c>
    </row>
    <row r="144" spans="1:8" ht="15.75">
      <c r="A144" s="31">
        <f>+A143+1</f>
        <v>84</v>
      </c>
      <c r="B144" s="98"/>
      <c r="C144" s="45" t="s">
        <v>89</v>
      </c>
      <c r="D144" s="67"/>
      <c r="E144" s="212"/>
      <c r="F144" s="27" t="str">
        <f>"(Line "&amp;A142&amp;" * "&amp;A143&amp;")"</f>
        <v>(Line 82 * 83)</v>
      </c>
      <c r="G144" s="72"/>
      <c r="H144" s="125">
        <f>+H143*H142</f>
        <v>145779.99497003807</v>
      </c>
    </row>
    <row r="145" spans="1:8" ht="15.75">
      <c r="A145" s="6"/>
      <c r="B145" s="33"/>
      <c r="C145" s="26"/>
      <c r="D145" s="63"/>
      <c r="E145" s="21"/>
      <c r="F145" s="34"/>
      <c r="G145" s="34"/>
      <c r="H145" s="27"/>
    </row>
    <row r="146" spans="1:8" ht="16.5" thickBot="1">
      <c r="A146" s="33">
        <f>+A144+1</f>
        <v>85</v>
      </c>
      <c r="B146" s="33"/>
      <c r="C146" s="46" t="s">
        <v>148</v>
      </c>
      <c r="D146" s="149"/>
      <c r="E146" s="229"/>
      <c r="F146" s="48" t="str">
        <f>"(Line "&amp;A120&amp;" + "&amp;A133&amp;" + "&amp;A138&amp;" + "&amp;A144&amp;")"</f>
        <v>(Line 66 + 76 + 79 + 84)</v>
      </c>
      <c r="G146" s="150"/>
      <c r="H146" s="48">
        <f>+H120+H133+H138+H144</f>
        <v>23011796.662214957</v>
      </c>
    </row>
    <row r="147" spans="1:8" ht="16.5" thickTop="1">
      <c r="A147" s="60"/>
      <c r="B147" s="33"/>
      <c r="C147" s="26"/>
      <c r="D147" s="63"/>
      <c r="E147" s="21"/>
      <c r="F147" s="34"/>
      <c r="G147" s="34"/>
      <c r="H147" s="44"/>
    </row>
    <row r="148" spans="1:8" ht="15.75">
      <c r="A148" s="153" t="s">
        <v>140</v>
      </c>
      <c r="B148" s="154"/>
      <c r="C148" s="155"/>
      <c r="D148" s="156"/>
      <c r="E148" s="225"/>
      <c r="F148" s="157"/>
      <c r="G148" s="157"/>
      <c r="H148" s="158"/>
    </row>
    <row r="149" spans="1:8" ht="15.75">
      <c r="A149" s="26"/>
      <c r="B149" s="33"/>
      <c r="C149" s="26"/>
      <c r="D149" s="63"/>
      <c r="E149" s="21"/>
      <c r="F149" s="34"/>
      <c r="G149" s="34"/>
      <c r="H149" s="44"/>
    </row>
    <row r="150" spans="1:8" ht="15.75">
      <c r="A150" s="116"/>
      <c r="B150" s="122" t="s">
        <v>60</v>
      </c>
      <c r="C150" s="58"/>
      <c r="F150" s="93"/>
      <c r="G150" s="93"/>
      <c r="H150" s="94"/>
    </row>
    <row r="151" spans="1:8">
      <c r="A151" s="6">
        <f>+A146+1</f>
        <v>86</v>
      </c>
      <c r="B151" s="59"/>
      <c r="C151" s="199" t="s">
        <v>62</v>
      </c>
      <c r="E151" s="33"/>
      <c r="F151" s="60" t="s">
        <v>164</v>
      </c>
      <c r="H151" s="10">
        <v>28875685</v>
      </c>
    </row>
    <row r="152" spans="1:8" ht="15.75">
      <c r="A152" s="6"/>
      <c r="B152" s="59"/>
      <c r="C152" s="60"/>
      <c r="E152" s="33"/>
      <c r="F152" s="60"/>
      <c r="G152" s="75"/>
      <c r="H152" s="78"/>
    </row>
    <row r="153" spans="1:8" ht="15.75">
      <c r="A153" s="6" t="s">
        <v>714</v>
      </c>
      <c r="B153" s="59"/>
      <c r="C153" s="878" t="s">
        <v>715</v>
      </c>
      <c r="E153" s="33"/>
      <c r="F153" s="878" t="s">
        <v>497</v>
      </c>
      <c r="G153" s="75"/>
      <c r="H153" s="993">
        <f>'5 - Cost Support 1'!E178</f>
        <v>0</v>
      </c>
    </row>
    <row r="154" spans="1:8" ht="15.75">
      <c r="A154" s="6"/>
      <c r="B154" s="59"/>
      <c r="C154" s="60"/>
      <c r="E154" s="33"/>
      <c r="F154" s="60"/>
      <c r="G154" s="75"/>
      <c r="H154" s="78"/>
    </row>
    <row r="155" spans="1:8">
      <c r="A155" s="33">
        <f>+A151+1</f>
        <v>87</v>
      </c>
      <c r="B155" s="59"/>
      <c r="C155" s="534" t="s">
        <v>180</v>
      </c>
      <c r="D155" s="77"/>
      <c r="E155" s="99"/>
      <c r="F155" s="100" t="s">
        <v>17</v>
      </c>
      <c r="H155" s="10">
        <v>6962923</v>
      </c>
    </row>
    <row r="156" spans="1:8">
      <c r="A156" s="6">
        <f>+A155+1</f>
        <v>88</v>
      </c>
      <c r="B156" s="59"/>
      <c r="C156" s="535" t="s">
        <v>118</v>
      </c>
      <c r="D156" s="127"/>
      <c r="E156" s="253" t="str">
        <f>"(Note "&amp;B$297&amp;")"</f>
        <v>(Note A)</v>
      </c>
      <c r="F156" s="192" t="s">
        <v>267</v>
      </c>
      <c r="H156" s="992">
        <v>136005</v>
      </c>
    </row>
    <row r="157" spans="1:8">
      <c r="A157" s="6">
        <f>+A156+1</f>
        <v>89</v>
      </c>
      <c r="B157" s="59"/>
      <c r="C157" s="201" t="s">
        <v>181</v>
      </c>
      <c r="D157" s="77"/>
      <c r="E157" s="99"/>
      <c r="F157" s="27" t="str">
        <f>"(Line "&amp;A155&amp;" + "&amp;A156&amp;")"</f>
        <v>(Line 87 + 88)</v>
      </c>
      <c r="H157" s="994">
        <f>SUM(H155:H156)</f>
        <v>7098928</v>
      </c>
    </row>
    <row r="158" spans="1:8" ht="15.75">
      <c r="A158" s="6">
        <f>+A157+1</f>
        <v>90</v>
      </c>
      <c r="B158" s="59"/>
      <c r="C158" s="118" t="s">
        <v>168</v>
      </c>
      <c r="D158" s="119"/>
      <c r="E158" s="230"/>
      <c r="F158" s="243" t="str">
        <f>"(Line "&amp;A$16&amp;")"</f>
        <v>(Line 5)</v>
      </c>
      <c r="G158" s="121"/>
      <c r="H158" s="128">
        <f>+H16</f>
        <v>8.0514508226294385E-2</v>
      </c>
    </row>
    <row r="159" spans="1:8" ht="15.75">
      <c r="A159" s="6">
        <f>+A158+1</f>
        <v>91</v>
      </c>
      <c r="B159" s="59"/>
      <c r="C159" s="132" t="s">
        <v>121</v>
      </c>
      <c r="E159" s="33"/>
      <c r="F159" s="27" t="str">
        <f>"(Line "&amp;A157&amp;" * "&amp;A158&amp;")"</f>
        <v>(Line 89 * 90)</v>
      </c>
      <c r="G159" s="75"/>
      <c r="H159" s="995">
        <f>+H157*H158</f>
        <v>571566.69685387157</v>
      </c>
    </row>
    <row r="160" spans="1:8" ht="15.75">
      <c r="A160" s="31"/>
      <c r="B160" s="61"/>
      <c r="C160" s="62"/>
      <c r="D160" s="63"/>
      <c r="E160" s="98"/>
      <c r="F160" s="62"/>
      <c r="G160" s="75"/>
      <c r="H160" s="95"/>
    </row>
    <row r="161" spans="1:8">
      <c r="A161" s="33">
        <f>+A159+1</f>
        <v>92</v>
      </c>
      <c r="B161" s="61"/>
      <c r="C161" s="199" t="s">
        <v>47</v>
      </c>
      <c r="D161" s="63"/>
      <c r="E161" s="244" t="str">
        <f>"(Note "&amp;B$297&amp;")"</f>
        <v>(Note A)</v>
      </c>
      <c r="F161" s="62" t="s">
        <v>18</v>
      </c>
      <c r="H161" s="993">
        <v>3738403</v>
      </c>
    </row>
    <row r="162" spans="1:8">
      <c r="A162" s="31">
        <f>+A161+1</f>
        <v>93</v>
      </c>
      <c r="B162" s="61"/>
      <c r="C162" s="535" t="s">
        <v>120</v>
      </c>
      <c r="D162" s="243"/>
      <c r="E162" s="253" t="str">
        <f>"(Note "&amp;B$297&amp;")"</f>
        <v>(Note A)</v>
      </c>
      <c r="F162" s="192" t="s">
        <v>19</v>
      </c>
      <c r="H162" s="992">
        <f>+'5 - Cost Support 1'!H22</f>
        <v>0</v>
      </c>
    </row>
    <row r="163" spans="1:8">
      <c r="A163" s="31">
        <f>+A162+1</f>
        <v>94</v>
      </c>
      <c r="B163" s="61"/>
      <c r="C163" s="199" t="s">
        <v>181</v>
      </c>
      <c r="D163" s="63"/>
      <c r="E163" s="98"/>
      <c r="F163" s="27" t="str">
        <f>"(Line "&amp;A161&amp;" + "&amp;A162&amp;")"</f>
        <v>(Line 92 + 93)</v>
      </c>
      <c r="H163" s="994">
        <f>+H162+H161</f>
        <v>3738403</v>
      </c>
    </row>
    <row r="164" spans="1:8" ht="15.75">
      <c r="A164" s="33">
        <f>+A163+1</f>
        <v>95</v>
      </c>
      <c r="B164" s="61"/>
      <c r="C164" s="118" t="s">
        <v>168</v>
      </c>
      <c r="D164" s="119"/>
      <c r="E164" s="230"/>
      <c r="F164" s="243" t="str">
        <f>"(Line "&amp;A$16&amp;")"</f>
        <v>(Line 5)</v>
      </c>
      <c r="G164" s="121"/>
      <c r="H164" s="128">
        <f>+H16</f>
        <v>8.0514508226294385E-2</v>
      </c>
    </row>
    <row r="165" spans="1:8" ht="15.75">
      <c r="A165" s="6">
        <f>+A164+1</f>
        <v>96</v>
      </c>
      <c r="B165" s="61"/>
      <c r="C165" s="132" t="s">
        <v>122</v>
      </c>
      <c r="D165" s="63"/>
      <c r="E165" s="98"/>
      <c r="F165" s="27" t="str">
        <f>"(Line "&amp;A163&amp;" * "&amp;A164&amp;")"</f>
        <v>(Line 94 * 95)</v>
      </c>
      <c r="G165" s="75"/>
      <c r="H165" s="995">
        <f>+H164*H163</f>
        <v>300995.67909670359</v>
      </c>
    </row>
    <row r="166" spans="1:8" ht="15.75">
      <c r="A166" s="31"/>
      <c r="B166" s="61"/>
      <c r="C166" s="58"/>
      <c r="D166" s="63"/>
      <c r="E166" s="98"/>
      <c r="F166" s="62"/>
      <c r="G166" s="75"/>
      <c r="H166" s="80"/>
    </row>
    <row r="167" spans="1:8" ht="15.75">
      <c r="A167" s="133"/>
      <c r="B167" s="36"/>
      <c r="C167" s="62"/>
      <c r="D167" s="63"/>
      <c r="E167" s="98"/>
      <c r="F167" s="62"/>
      <c r="G167" s="75"/>
      <c r="H167" s="78"/>
    </row>
    <row r="168" spans="1:8" s="90" customFormat="1" ht="16.5" thickBot="1">
      <c r="A168" s="6">
        <f>+A165+1</f>
        <v>97</v>
      </c>
      <c r="B168" s="129" t="s">
        <v>141</v>
      </c>
      <c r="C168" s="129"/>
      <c r="D168" s="130"/>
      <c r="E168" s="231"/>
      <c r="F168" s="48" t="str">
        <f>"(Line "&amp;A151&amp;" + "&amp;A159&amp;" + "&amp;A165&amp;")"</f>
        <v>(Line 86 + 91 + 96)</v>
      </c>
      <c r="G168" s="131"/>
      <c r="H168" s="96">
        <f>+H151+H153+H159+H165</f>
        <v>29748247.375950575</v>
      </c>
    </row>
    <row r="169" spans="1:8" ht="15.75" thickTop="1"/>
    <row r="170" spans="1:8" ht="15.75">
      <c r="A170" s="153" t="s">
        <v>483</v>
      </c>
      <c r="B170" s="154"/>
      <c r="C170" s="155"/>
      <c r="D170" s="156"/>
      <c r="E170" s="429"/>
      <c r="F170" s="157"/>
      <c r="G170" s="157"/>
      <c r="H170" s="158"/>
    </row>
    <row r="171" spans="1:8" ht="15.75">
      <c r="A171" s="292"/>
      <c r="B171" s="33"/>
      <c r="C171" s="26"/>
      <c r="D171" s="63"/>
      <c r="E171" s="21"/>
      <c r="F171" s="34"/>
      <c r="G171" s="34"/>
      <c r="H171" s="44"/>
    </row>
    <row r="172" spans="1:8" ht="15.75">
      <c r="A172" s="31">
        <f>+A168+1</f>
        <v>98</v>
      </c>
      <c r="B172" s="74" t="s">
        <v>42</v>
      </c>
      <c r="C172" s="71"/>
      <c r="E172" s="244"/>
      <c r="F172" s="64" t="s">
        <v>437</v>
      </c>
      <c r="G172" s="64"/>
      <c r="H172" s="311">
        <f>'2 - Other Tax'!G41</f>
        <v>7823974.1584097473</v>
      </c>
    </row>
    <row r="173" spans="1:8">
      <c r="A173" s="126"/>
      <c r="B173" s="63"/>
      <c r="E173" s="33"/>
      <c r="F173" s="60"/>
      <c r="G173" s="64"/>
    </row>
    <row r="174" spans="1:8" ht="16.5" thickBot="1">
      <c r="A174" s="98">
        <f>+A172+1</f>
        <v>99</v>
      </c>
      <c r="B174" s="46" t="s">
        <v>55</v>
      </c>
      <c r="C174" s="46"/>
      <c r="D174" s="137"/>
      <c r="E174" s="220"/>
      <c r="F174" s="48" t="str">
        <f>"(Line "&amp;A172&amp;")"</f>
        <v>(Line 98)</v>
      </c>
      <c r="G174" s="51"/>
      <c r="H174" s="52">
        <f>+H172</f>
        <v>7823974.1584097473</v>
      </c>
    </row>
    <row r="175" spans="1:8" ht="15.75" thickTop="1">
      <c r="A175" s="116"/>
    </row>
    <row r="176" spans="1:8" ht="15.75">
      <c r="A176" s="153" t="s">
        <v>123</v>
      </c>
      <c r="B176" s="154"/>
      <c r="C176" s="155"/>
      <c r="D176" s="156"/>
      <c r="E176" s="225"/>
      <c r="F176" s="157"/>
      <c r="G176" s="157"/>
      <c r="H176" s="158"/>
    </row>
    <row r="177" spans="1:8" ht="15.75">
      <c r="A177" s="60"/>
      <c r="B177" s="33"/>
      <c r="C177" s="26"/>
      <c r="D177" s="63"/>
      <c r="E177" s="21"/>
      <c r="F177" s="34"/>
      <c r="G177" s="34"/>
      <c r="H177" s="44"/>
    </row>
    <row r="178" spans="1:8" ht="15.75">
      <c r="A178" s="31"/>
      <c r="B178" s="106" t="s">
        <v>57</v>
      </c>
      <c r="D178" s="41"/>
      <c r="E178" s="22"/>
      <c r="G178" s="27"/>
    </row>
    <row r="179" spans="1:8" ht="15.75">
      <c r="A179" s="31">
        <f>+A174+1</f>
        <v>100</v>
      </c>
      <c r="B179" s="106"/>
      <c r="C179" s="34" t="s">
        <v>57</v>
      </c>
      <c r="D179" s="41"/>
      <c r="E179" s="22"/>
      <c r="F179" s="27" t="s">
        <v>438</v>
      </c>
      <c r="G179" s="27"/>
      <c r="H179" s="718">
        <f>47490436+1093726+1434173+400371+421083</f>
        <v>50839789</v>
      </c>
    </row>
    <row r="180" spans="1:8">
      <c r="A180" s="31">
        <f>+A179+1</f>
        <v>101</v>
      </c>
      <c r="B180" s="98"/>
      <c r="C180" s="495" t="s">
        <v>605</v>
      </c>
      <c r="D180" s="496"/>
      <c r="E180" s="577" t="str">
        <f>"(Note "&amp;B$323&amp;")"</f>
        <v>(Note P)</v>
      </c>
      <c r="F180" s="142" t="s">
        <v>496</v>
      </c>
      <c r="G180" s="140"/>
      <c r="H180" s="697">
        <f>+'8 - Securitization'!E14</f>
        <v>0</v>
      </c>
    </row>
    <row r="181" spans="1:8" ht="15.75">
      <c r="A181" s="6">
        <f>+A180+1</f>
        <v>102</v>
      </c>
      <c r="B181" s="33"/>
      <c r="C181" s="106" t="s">
        <v>57</v>
      </c>
      <c r="D181" s="41"/>
      <c r="E181" s="233"/>
      <c r="F181" s="49" t="s">
        <v>544</v>
      </c>
      <c r="G181" s="27"/>
      <c r="H181" s="27">
        <f>+H179-H180</f>
        <v>50839789</v>
      </c>
    </row>
    <row r="182" spans="1:8">
      <c r="A182" s="6"/>
      <c r="B182" s="33"/>
      <c r="C182" s="5"/>
      <c r="D182" s="11"/>
      <c r="E182" s="116"/>
      <c r="F182" s="29"/>
      <c r="G182" s="5"/>
      <c r="H182" s="5"/>
    </row>
    <row r="183" spans="1:8" ht="15.75">
      <c r="A183" s="33">
        <f>+A181+1</f>
        <v>103</v>
      </c>
      <c r="B183" s="14" t="s">
        <v>133</v>
      </c>
      <c r="D183" s="11"/>
      <c r="E183" s="21" t="s">
        <v>165</v>
      </c>
      <c r="F183" s="12" t="s">
        <v>134</v>
      </c>
      <c r="G183" s="5"/>
      <c r="H183" s="159">
        <v>0</v>
      </c>
    </row>
    <row r="184" spans="1:8">
      <c r="A184" s="6"/>
      <c r="B184" s="33"/>
      <c r="C184" s="3"/>
      <c r="D184" s="11"/>
      <c r="E184" s="21"/>
      <c r="F184" s="12"/>
      <c r="G184" s="5"/>
      <c r="H184" s="5"/>
    </row>
    <row r="185" spans="1:8" ht="15.75">
      <c r="A185" s="6"/>
      <c r="B185" s="15" t="s">
        <v>43</v>
      </c>
      <c r="D185" s="11"/>
      <c r="E185" s="21"/>
      <c r="F185" s="12"/>
      <c r="G185" s="5"/>
      <c r="H185" s="5"/>
    </row>
    <row r="186" spans="1:8">
      <c r="A186" s="6">
        <f>+A183+1</f>
        <v>104</v>
      </c>
      <c r="B186" s="33"/>
      <c r="C186" s="5" t="s">
        <v>183</v>
      </c>
      <c r="D186" s="5"/>
      <c r="E186" s="21"/>
      <c r="F186" s="12" t="s">
        <v>21</v>
      </c>
      <c r="G186" s="5"/>
      <c r="H186" s="10">
        <v>1227904110</v>
      </c>
    </row>
    <row r="187" spans="1:8">
      <c r="A187" s="31">
        <f>+A186+1</f>
        <v>105</v>
      </c>
      <c r="B187" s="98"/>
      <c r="C187" s="12" t="s">
        <v>125</v>
      </c>
      <c r="D187" s="12"/>
      <c r="E187" s="30" t="s">
        <v>206</v>
      </c>
      <c r="F187" s="101" t="str">
        <f>"(Line "&amp;A198&amp;")"</f>
        <v>(Line 114)</v>
      </c>
      <c r="G187" s="5"/>
      <c r="H187" s="12">
        <f>-H198</f>
        <v>0</v>
      </c>
    </row>
    <row r="188" spans="1:8">
      <c r="A188" s="6">
        <f>+A187+1</f>
        <v>106</v>
      </c>
      <c r="B188" s="98"/>
      <c r="C188" s="142" t="s">
        <v>124</v>
      </c>
      <c r="D188" s="142"/>
      <c r="E188" s="256" t="s">
        <v>206</v>
      </c>
      <c r="F188" s="142" t="s">
        <v>22</v>
      </c>
      <c r="G188" s="140"/>
      <c r="H188" s="143">
        <f>--2177779</f>
        <v>2177779</v>
      </c>
    </row>
    <row r="189" spans="1:8" ht="15.75">
      <c r="A189" s="6">
        <f>+A188+1</f>
        <v>107</v>
      </c>
      <c r="B189" s="98"/>
      <c r="C189" s="165" t="s">
        <v>43</v>
      </c>
      <c r="D189" s="49"/>
      <c r="E189" s="215"/>
      <c r="F189" s="49" t="str">
        <f>"(Sum Lines "&amp;A186&amp;" to "&amp;A188&amp;")"</f>
        <v>(Sum Lines 104 to 106)</v>
      </c>
      <c r="G189" s="160"/>
      <c r="H189" s="5">
        <f>SUM(H186:H188)</f>
        <v>1230081889</v>
      </c>
    </row>
    <row r="190" spans="1:8">
      <c r="A190" s="6"/>
      <c r="B190" s="33"/>
      <c r="C190" s="3"/>
      <c r="D190" s="11"/>
      <c r="E190" s="21"/>
      <c r="F190" s="12"/>
      <c r="G190" s="34"/>
      <c r="H190" s="5"/>
    </row>
    <row r="191" spans="1:8" ht="15.75">
      <c r="A191" s="6"/>
      <c r="B191" s="15" t="s">
        <v>126</v>
      </c>
      <c r="D191" s="11"/>
      <c r="E191" s="21"/>
      <c r="F191" s="12"/>
      <c r="G191" s="34"/>
      <c r="H191" s="5"/>
    </row>
    <row r="192" spans="1:8">
      <c r="A192" s="6">
        <f>+A189+1</f>
        <v>108</v>
      </c>
      <c r="B192" s="33"/>
      <c r="C192" s="3" t="s">
        <v>58</v>
      </c>
      <c r="D192" s="11"/>
      <c r="E192" s="6"/>
      <c r="F192" s="28" t="s">
        <v>351</v>
      </c>
      <c r="G192" s="34"/>
      <c r="H192" s="10">
        <f>1233230000+40000000</f>
        <v>1273230000</v>
      </c>
    </row>
    <row r="193" spans="1:8">
      <c r="A193" s="31">
        <f t="shared" ref="A193:A200" si="2">+A192+1</f>
        <v>109</v>
      </c>
      <c r="B193" s="33"/>
      <c r="C193" s="3" t="s">
        <v>270</v>
      </c>
      <c r="D193" s="11"/>
      <c r="E193" s="21" t="str">
        <f>+E188</f>
        <v>enter negative</v>
      </c>
      <c r="F193" s="28" t="s">
        <v>439</v>
      </c>
      <c r="G193" s="34"/>
      <c r="H193" s="10">
        <v>-10083973</v>
      </c>
    </row>
    <row r="194" spans="1:8">
      <c r="A194" s="31">
        <f t="shared" si="2"/>
        <v>110</v>
      </c>
      <c r="B194" s="33"/>
      <c r="C194" s="3" t="s">
        <v>271</v>
      </c>
      <c r="D194" s="11"/>
      <c r="E194" s="6" t="s">
        <v>272</v>
      </c>
      <c r="F194" s="54" t="s">
        <v>440</v>
      </c>
      <c r="G194" s="34"/>
      <c r="H194" s="10">
        <v>0</v>
      </c>
    </row>
    <row r="195" spans="1:8">
      <c r="A195" s="31">
        <f>+A194+1</f>
        <v>111</v>
      </c>
      <c r="B195" s="98"/>
      <c r="C195" s="28" t="s">
        <v>571</v>
      </c>
      <c r="D195" s="29"/>
      <c r="E195" s="30" t="str">
        <f>+E193</f>
        <v>enter negative</v>
      </c>
      <c r="F195" s="54" t="s">
        <v>495</v>
      </c>
      <c r="G195" s="63"/>
      <c r="H195" s="12">
        <f>-'1 - ADIT'!D21</f>
        <v>4090231.9629676146</v>
      </c>
    </row>
    <row r="196" spans="1:8">
      <c r="A196" s="31">
        <f>+A195+1</f>
        <v>112</v>
      </c>
      <c r="B196" s="98"/>
      <c r="C196" s="497" t="s">
        <v>302</v>
      </c>
      <c r="D196" s="577" t="str">
        <f>"(Note "&amp;B$323&amp;")"</f>
        <v>(Note P)</v>
      </c>
      <c r="E196" s="30" t="s">
        <v>206</v>
      </c>
      <c r="F196" s="142" t="str">
        <f>+F180</f>
        <v>Attachment 8</v>
      </c>
      <c r="G196" s="34"/>
      <c r="H196" s="12">
        <f>+'8 - Securitization'!E18</f>
        <v>0</v>
      </c>
    </row>
    <row r="197" spans="1:8">
      <c r="A197" s="31">
        <f>+A196+1</f>
        <v>113</v>
      </c>
      <c r="B197" s="98"/>
      <c r="C197" s="55" t="s">
        <v>50</v>
      </c>
      <c r="D197" s="640"/>
      <c r="E197" s="216"/>
      <c r="F197" s="49" t="str">
        <f>"(Sum Lines Lines "&amp;A192&amp;" to "&amp;A196&amp;")"</f>
        <v>(Sum Lines Lines 108 to 112)</v>
      </c>
      <c r="G197" s="67"/>
      <c r="H197" s="70">
        <f>SUM(H192:H196)</f>
        <v>1267236258.9629676</v>
      </c>
    </row>
    <row r="198" spans="1:8">
      <c r="A198" s="6">
        <f t="shared" si="2"/>
        <v>114</v>
      </c>
      <c r="B198" s="33"/>
      <c r="C198" s="3" t="s">
        <v>71</v>
      </c>
      <c r="D198" s="11"/>
      <c r="E198" s="6"/>
      <c r="F198" s="28" t="s">
        <v>441</v>
      </c>
      <c r="G198" s="34"/>
      <c r="H198" s="10">
        <v>0</v>
      </c>
    </row>
    <row r="199" spans="1:8">
      <c r="A199" s="6">
        <f t="shared" si="2"/>
        <v>115</v>
      </c>
      <c r="B199" s="33"/>
      <c r="C199" s="3" t="s">
        <v>43</v>
      </c>
      <c r="F199" s="142" t="str">
        <f>"(Line "&amp;A189&amp;")"</f>
        <v>(Line 107)</v>
      </c>
      <c r="G199" s="34"/>
      <c r="H199" s="27">
        <f>H189</f>
        <v>1230081889</v>
      </c>
    </row>
    <row r="200" spans="1:8" ht="15.75">
      <c r="A200" s="6">
        <f t="shared" si="2"/>
        <v>116</v>
      </c>
      <c r="B200" s="33"/>
      <c r="C200" s="45" t="s">
        <v>49</v>
      </c>
      <c r="D200" s="72"/>
      <c r="E200" s="217"/>
      <c r="F200" s="49" t="str">
        <f>"(Sum Lines "&amp;A197&amp;" to "&amp;A199&amp;")"</f>
        <v>(Sum Lines 113 to 115)</v>
      </c>
      <c r="G200" s="37"/>
      <c r="H200" s="37">
        <f>H199+H198+H197</f>
        <v>2497318147.9629679</v>
      </c>
    </row>
    <row r="201" spans="1:8">
      <c r="A201" s="6"/>
      <c r="B201" s="33"/>
      <c r="C201" s="3"/>
      <c r="F201" s="64"/>
      <c r="G201" s="5"/>
      <c r="H201" s="21"/>
    </row>
    <row r="202" spans="1:8">
      <c r="A202" s="98">
        <f>+A200+1</f>
        <v>117</v>
      </c>
      <c r="B202" s="33"/>
      <c r="C202" s="201" t="s">
        <v>224</v>
      </c>
      <c r="D202" s="54" t="s">
        <v>50</v>
      </c>
      <c r="E202" s="634"/>
      <c r="F202" s="49" t="str">
        <f>"(Line "&amp;A197&amp;" / "&amp;A200&amp;")"</f>
        <v>(Line 113 / 116)</v>
      </c>
      <c r="G202" s="5"/>
      <c r="H202" s="727">
        <f>IF(A3="Atlantic City Electric Company",0.5,IF(H200&gt;0,H197/H200,0))</f>
        <v>0.50743885395484623</v>
      </c>
    </row>
    <row r="203" spans="1:8">
      <c r="A203" s="31">
        <f>+A202+1</f>
        <v>118</v>
      </c>
      <c r="B203" s="33"/>
      <c r="C203" s="201" t="s">
        <v>231</v>
      </c>
      <c r="D203" s="3" t="s">
        <v>71</v>
      </c>
      <c r="E203" s="634"/>
      <c r="F203" s="49" t="str">
        <f>"(Line "&amp;A198&amp;" / "&amp;A200&amp;")"</f>
        <v>(Line 114 / 116)</v>
      </c>
      <c r="G203" s="5"/>
      <c r="H203" s="727">
        <f>IF(A3="Atlantic City Electric Company",0,IF(H200&gt;0,H198/H200,0))</f>
        <v>0</v>
      </c>
    </row>
    <row r="204" spans="1:8">
      <c r="A204" s="31">
        <f>+A203+1</f>
        <v>119</v>
      </c>
      <c r="B204" s="33"/>
      <c r="C204" s="201" t="s">
        <v>225</v>
      </c>
      <c r="D204" s="3" t="s">
        <v>43</v>
      </c>
      <c r="E204" s="634"/>
      <c r="F204" s="49" t="str">
        <f>"(Line "&amp;A199&amp;" / "&amp;A200&amp;")"</f>
        <v>(Line 115 / 116)</v>
      </c>
      <c r="G204" s="5"/>
      <c r="H204" s="727">
        <f>IF(A3="Atlantic City Electric Company",0.5,IF(H200&gt;0,H199/H200,0))</f>
        <v>0.49256114604515361</v>
      </c>
    </row>
    <row r="205" spans="1:8">
      <c r="A205" s="31"/>
      <c r="B205" s="33"/>
      <c r="C205" s="202"/>
      <c r="F205" s="12"/>
      <c r="G205" s="5"/>
      <c r="H205" s="21"/>
    </row>
    <row r="206" spans="1:8">
      <c r="A206" s="98">
        <f>+A204+1</f>
        <v>120</v>
      </c>
      <c r="B206" s="33"/>
      <c r="C206" s="202" t="s">
        <v>226</v>
      </c>
      <c r="D206" s="54" t="s">
        <v>50</v>
      </c>
      <c r="F206" s="27" t="str">
        <f>"(Line "&amp;A181&amp;" / "&amp;A197&amp;")"</f>
        <v>(Line 102 / 113)</v>
      </c>
      <c r="G206" s="5"/>
      <c r="H206" s="23">
        <f>IF(H197&gt;0,H181/H197,0)</f>
        <v>4.0118635053580556E-2</v>
      </c>
    </row>
    <row r="207" spans="1:8">
      <c r="A207" s="31">
        <f>+A206+1</f>
        <v>121</v>
      </c>
      <c r="B207" s="33"/>
      <c r="C207" s="202" t="s">
        <v>232</v>
      </c>
      <c r="D207" s="3" t="s">
        <v>71</v>
      </c>
      <c r="F207" s="27" t="str">
        <f>"(Line "&amp;A183&amp;" / "&amp;A198&amp;")"</f>
        <v>(Line 103 / 114)</v>
      </c>
      <c r="G207" s="5"/>
      <c r="H207" s="23">
        <f>IF(H198&gt;0,H183/H198,0)</f>
        <v>0</v>
      </c>
    </row>
    <row r="208" spans="1:8">
      <c r="A208" s="31">
        <f>+A207+1</f>
        <v>122</v>
      </c>
      <c r="B208" s="33"/>
      <c r="C208" s="202" t="s">
        <v>227</v>
      </c>
      <c r="D208" s="3" t="s">
        <v>43</v>
      </c>
      <c r="E208" s="244" t="str">
        <f>"(Note "&amp;B$314&amp;")"</f>
        <v>(Note J)</v>
      </c>
      <c r="F208" s="12" t="s">
        <v>207</v>
      </c>
      <c r="G208" s="5"/>
      <c r="H208" s="698">
        <v>0.105</v>
      </c>
    </row>
    <row r="209" spans="1:8">
      <c r="A209" s="31"/>
      <c r="B209" s="33"/>
      <c r="C209" s="202"/>
      <c r="F209" s="5"/>
      <c r="G209" s="5"/>
      <c r="H209" s="34"/>
    </row>
    <row r="210" spans="1:8">
      <c r="A210" s="98">
        <f>+A208+1</f>
        <v>123</v>
      </c>
      <c r="B210" s="33"/>
      <c r="C210" s="201" t="s">
        <v>228</v>
      </c>
      <c r="D210" s="54" t="s">
        <v>52</v>
      </c>
      <c r="F210" s="27" t="str">
        <f>"(Line "&amp;A202&amp;" * "&amp;A206&amp;")"</f>
        <v>(Line 117 * 120)</v>
      </c>
      <c r="G210" s="32"/>
      <c r="H210" s="23">
        <f>H206*H202</f>
        <v>2.0357754193821638E-2</v>
      </c>
    </row>
    <row r="211" spans="1:8">
      <c r="A211" s="31">
        <f>+A210+1</f>
        <v>124</v>
      </c>
      <c r="B211" s="33"/>
      <c r="C211" s="201" t="s">
        <v>233</v>
      </c>
      <c r="D211" s="3" t="s">
        <v>71</v>
      </c>
      <c r="F211" s="27" t="str">
        <f>"(Line "&amp;A203&amp;" * "&amp;A207&amp;")"</f>
        <v>(Line 118 * 121)</v>
      </c>
      <c r="G211" s="93"/>
      <c r="H211" s="23">
        <f>H207*H203</f>
        <v>0</v>
      </c>
    </row>
    <row r="212" spans="1:8">
      <c r="A212" s="31">
        <f>+A211+1</f>
        <v>125</v>
      </c>
      <c r="B212" s="204"/>
      <c r="C212" s="205" t="s">
        <v>229</v>
      </c>
      <c r="D212" s="206" t="s">
        <v>43</v>
      </c>
      <c r="E212" s="230"/>
      <c r="F212" s="140" t="str">
        <f>"(Line "&amp;A204&amp;" * "&amp;A208&amp;")"</f>
        <v>(Line 119 * 122)</v>
      </c>
      <c r="G212" s="141"/>
      <c r="H212" s="207">
        <f>H208*H204</f>
        <v>5.1718920334741125E-2</v>
      </c>
    </row>
    <row r="213" spans="1:8" ht="15.75">
      <c r="A213" s="6">
        <f>+A212+1</f>
        <v>126</v>
      </c>
      <c r="B213" s="105" t="s">
        <v>51</v>
      </c>
      <c r="C213" s="105"/>
      <c r="D213" s="161"/>
      <c r="E213" s="234"/>
      <c r="F213" s="27" t="str">
        <f>"(Sum Lines "&amp;A210&amp;" to "&amp;A212&amp;")"</f>
        <v>(Sum Lines 123 to 125)</v>
      </c>
      <c r="G213" s="107"/>
      <c r="H213" s="97">
        <f>SUM(H210:H212)</f>
        <v>7.2076674528562756E-2</v>
      </c>
    </row>
    <row r="214" spans="1:8" ht="15.75">
      <c r="A214" s="13"/>
      <c r="B214" s="13"/>
      <c r="C214" s="105"/>
      <c r="D214" s="161"/>
      <c r="E214" s="234"/>
      <c r="F214" s="106"/>
      <c r="G214" s="107"/>
      <c r="H214" s="97"/>
    </row>
    <row r="215" spans="1:8" ht="16.5" thickBot="1">
      <c r="A215" s="33">
        <f>+A213+1</f>
        <v>127</v>
      </c>
      <c r="B215" s="144" t="s">
        <v>131</v>
      </c>
      <c r="C215" s="139"/>
      <c r="D215" s="137"/>
      <c r="E215" s="235"/>
      <c r="F215" s="48" t="str">
        <f>"(Line "&amp;A109&amp;" * "&amp;A213&amp;")"</f>
        <v>(Line 59 * 126)</v>
      </c>
      <c r="G215" s="145"/>
      <c r="H215" s="48">
        <f>+H109*H213</f>
        <v>47758680.826293431</v>
      </c>
    </row>
    <row r="216" spans="1:8" ht="15.75" thickTop="1">
      <c r="A216" s="6"/>
      <c r="B216" s="33"/>
      <c r="C216" s="3"/>
      <c r="F216" s="5"/>
      <c r="G216" s="5"/>
      <c r="H216" s="23"/>
    </row>
    <row r="217" spans="1:8" ht="15.75">
      <c r="A217" s="153" t="s">
        <v>350</v>
      </c>
      <c r="B217" s="154"/>
      <c r="C217" s="155"/>
      <c r="D217" s="156"/>
      <c r="E217" s="429"/>
      <c r="F217" s="157"/>
      <c r="G217" s="157"/>
      <c r="H217" s="158"/>
    </row>
    <row r="218" spans="1:8" ht="15.75">
      <c r="A218" s="62"/>
      <c r="B218" s="33"/>
      <c r="C218" s="26"/>
      <c r="D218" s="63"/>
      <c r="E218" s="21"/>
      <c r="F218" s="34"/>
      <c r="G218" s="34"/>
      <c r="H218" s="44"/>
    </row>
    <row r="219" spans="1:8" ht="15.75">
      <c r="A219" s="33" t="s">
        <v>66</v>
      </c>
      <c r="B219" s="167" t="s">
        <v>132</v>
      </c>
      <c r="E219" s="21"/>
      <c r="F219" s="5"/>
      <c r="G219" s="18"/>
      <c r="H219" s="34"/>
    </row>
    <row r="220" spans="1:8">
      <c r="A220" s="33">
        <f>+A215+1</f>
        <v>128</v>
      </c>
      <c r="B220" s="33"/>
      <c r="C220" s="34" t="s">
        <v>130</v>
      </c>
      <c r="F220" s="34"/>
      <c r="G220" s="35"/>
      <c r="H220" s="703">
        <v>0.35</v>
      </c>
    </row>
    <row r="221" spans="1:8">
      <c r="A221" s="6">
        <f>+A220+1</f>
        <v>129</v>
      </c>
      <c r="B221" s="33"/>
      <c r="C221" s="35" t="s">
        <v>129</v>
      </c>
      <c r="D221" s="24"/>
      <c r="E221" s="244" t="str">
        <f>"(Note "&amp;B$308&amp;")"</f>
        <v>(Note I)</v>
      </c>
      <c r="F221" s="34"/>
      <c r="G221" s="35"/>
      <c r="H221" s="703">
        <f>'5 - Cost Support 1'!F70</f>
        <v>8.5558999999999996E-2</v>
      </c>
    </row>
    <row r="222" spans="1:8">
      <c r="A222" s="6">
        <f>+A221+1</f>
        <v>130</v>
      </c>
      <c r="B222" s="33"/>
      <c r="C222" s="35" t="s">
        <v>198</v>
      </c>
      <c r="D222" s="35" t="s">
        <v>199</v>
      </c>
      <c r="F222" s="34" t="s">
        <v>303</v>
      </c>
      <c r="G222" s="35"/>
      <c r="H222" s="703">
        <v>0</v>
      </c>
    </row>
    <row r="223" spans="1:8">
      <c r="A223" s="6">
        <f>+A222+1</f>
        <v>131</v>
      </c>
      <c r="B223" s="33"/>
      <c r="C223" s="35" t="s">
        <v>208</v>
      </c>
      <c r="D223" s="17" t="s">
        <v>222</v>
      </c>
      <c r="F223" s="34"/>
      <c r="G223" s="35"/>
      <c r="H223" s="19">
        <f>IF(H220&gt;0,1-(((1-H221)*(1-H220))/(1-H221*H220*H222)),0)</f>
        <v>0.40561334999999998</v>
      </c>
    </row>
    <row r="224" spans="1:8">
      <c r="A224" s="6">
        <f>+A223+1</f>
        <v>132</v>
      </c>
      <c r="B224" s="33"/>
      <c r="C224" s="35" t="s">
        <v>197</v>
      </c>
      <c r="D224" s="24"/>
      <c r="F224" s="34"/>
      <c r="G224" s="35"/>
      <c r="H224" s="344">
        <f>+H223/(1-H223)</f>
        <v>0.68240656145288592</v>
      </c>
    </row>
    <row r="225" spans="1:8">
      <c r="A225" s="33"/>
      <c r="B225" s="33"/>
      <c r="E225" s="16"/>
      <c r="F225" s="17"/>
      <c r="G225" s="18"/>
      <c r="H225" s="19"/>
    </row>
    <row r="226" spans="1:8" ht="15.75">
      <c r="A226" s="33"/>
      <c r="B226" s="167" t="s">
        <v>127</v>
      </c>
      <c r="C226" s="3"/>
      <c r="E226" s="244" t="str">
        <f>"(Note "&amp;B$308&amp;")"</f>
        <v>(Note I)</v>
      </c>
      <c r="F226" s="5"/>
      <c r="G226" s="18"/>
      <c r="H226" s="193"/>
    </row>
    <row r="227" spans="1:8">
      <c r="A227" s="33">
        <f>+A224+1</f>
        <v>133</v>
      </c>
      <c r="B227" s="33"/>
      <c r="C227" s="28" t="s">
        <v>186</v>
      </c>
      <c r="E227" s="30" t="s">
        <v>206</v>
      </c>
      <c r="F227" s="4" t="s">
        <v>495</v>
      </c>
      <c r="G227" s="18"/>
      <c r="H227" s="10">
        <f>-'1 - ADIT'!E136</f>
        <v>-86997</v>
      </c>
    </row>
    <row r="228" spans="1:8">
      <c r="A228" s="33">
        <f>+A227+1</f>
        <v>134</v>
      </c>
      <c r="B228" s="33"/>
      <c r="C228" s="3" t="s">
        <v>196</v>
      </c>
      <c r="E228" s="6"/>
      <c r="F228" s="27" t="str">
        <f>"(Line "&amp;A224&amp;")"</f>
        <v>(Line 132)</v>
      </c>
      <c r="G228" s="18"/>
      <c r="H228" s="275">
        <f>+H224</f>
        <v>0.68240656145288592</v>
      </c>
    </row>
    <row r="229" spans="1:8" s="103" customFormat="1" ht="15.75">
      <c r="A229" s="33">
        <f>+A228+1</f>
        <v>135</v>
      </c>
      <c r="B229" s="99"/>
      <c r="C229" s="118" t="s">
        <v>117</v>
      </c>
      <c r="D229" s="119"/>
      <c r="E229" s="204"/>
      <c r="F229" s="140" t="str">
        <f>"(Line "&amp;A$35&amp;")"</f>
        <v>(Line 18)</v>
      </c>
      <c r="G229" s="102"/>
      <c r="H229" s="162">
        <f>+H35</f>
        <v>0.35172204588946998</v>
      </c>
    </row>
    <row r="230" spans="1:8" ht="15.75">
      <c r="A230" s="6">
        <f>+A229+1</f>
        <v>136</v>
      </c>
      <c r="B230" s="33"/>
      <c r="C230" s="172" t="s">
        <v>128</v>
      </c>
      <c r="D230" s="67"/>
      <c r="E230" s="244"/>
      <c r="F230" s="27" t="str">
        <f>"(Line "&amp;A227&amp;" * (1 + "&amp;A228&amp;") * "&amp;A229&amp;")"</f>
        <v>(Line 133 * (1 + 134) * 135)</v>
      </c>
      <c r="G230" s="104"/>
      <c r="H230" s="334">
        <f>+H227*(1+H228)*H229</f>
        <v>-51479.559351217293</v>
      </c>
    </row>
    <row r="231" spans="1:8" ht="15.75">
      <c r="A231" s="6"/>
      <c r="B231" s="33"/>
      <c r="C231" s="198"/>
      <c r="D231" s="101"/>
      <c r="E231" s="281"/>
      <c r="F231" s="278"/>
      <c r="G231" s="102"/>
      <c r="H231" s="279"/>
    </row>
    <row r="232" spans="1:8" ht="15.75">
      <c r="A232" s="6"/>
      <c r="B232" s="33"/>
      <c r="C232" s="198"/>
      <c r="D232" s="101"/>
      <c r="E232" s="281"/>
      <c r="F232" s="278"/>
      <c r="G232" s="102"/>
      <c r="H232" s="280"/>
    </row>
    <row r="233" spans="1:8" ht="15.75">
      <c r="A233" s="33"/>
      <c r="B233" s="33"/>
      <c r="E233" s="16"/>
      <c r="F233" s="17"/>
      <c r="G233" s="18"/>
      <c r="H233" s="277"/>
    </row>
    <row r="234" spans="1:8" ht="15.75">
      <c r="A234" s="33">
        <f>+A230+1</f>
        <v>137</v>
      </c>
      <c r="B234" s="1" t="s">
        <v>161</v>
      </c>
      <c r="C234" s="58"/>
      <c r="D234" s="11" t="s">
        <v>166</v>
      </c>
      <c r="E234" s="21"/>
      <c r="F234" s="27" t="str">
        <f>"[Line "&amp;A224&amp;" * "&amp;+A215&amp;" * (1-("&amp;A210&amp;" / "&amp;A213&amp;"))]"</f>
        <v>[Line 132 * 127 * (1-(123 / 126))]</v>
      </c>
      <c r="G234" s="34"/>
      <c r="H234" s="338">
        <f>+H224*H215*(1-(H210/H213))</f>
        <v>23385691.998958904</v>
      </c>
    </row>
    <row r="235" spans="1:8" ht="15.75">
      <c r="A235" s="33"/>
      <c r="B235" s="33"/>
      <c r="C235" s="100"/>
      <c r="D235" s="101"/>
      <c r="E235" s="236"/>
      <c r="F235" s="102"/>
      <c r="G235" s="102"/>
      <c r="H235" s="80"/>
    </row>
    <row r="236" spans="1:8" ht="16.5" thickBot="1">
      <c r="A236" s="33">
        <f>+A234+1</f>
        <v>138</v>
      </c>
      <c r="B236" s="144" t="s">
        <v>39</v>
      </c>
      <c r="C236" s="144"/>
      <c r="D236" s="137"/>
      <c r="E236" s="220"/>
      <c r="F236" s="48" t="str">
        <f>"(Line "&amp;A230&amp;" + "&amp;A234&amp;")"</f>
        <v>(Line 136 + 137)</v>
      </c>
      <c r="G236" s="166"/>
      <c r="H236" s="203">
        <f>+H234+H230</f>
        <v>23334212.439607687</v>
      </c>
    </row>
    <row r="237" spans="1:8" ht="15.75" thickTop="1">
      <c r="A237" s="33"/>
      <c r="B237" s="33"/>
      <c r="C237" s="17"/>
      <c r="F237" s="20"/>
      <c r="G237" s="8"/>
      <c r="H237" s="168"/>
    </row>
    <row r="238" spans="1:8" ht="15.75">
      <c r="A238" s="153" t="s">
        <v>53</v>
      </c>
      <c r="B238" s="154"/>
      <c r="C238" s="155"/>
      <c r="D238" s="156"/>
      <c r="E238" s="225"/>
      <c r="F238" s="157"/>
      <c r="G238" s="157"/>
      <c r="H238" s="158"/>
    </row>
    <row r="239" spans="1:8">
      <c r="A239" s="115"/>
      <c r="B239" s="58"/>
      <c r="C239" s="58"/>
      <c r="D239" s="58"/>
    </row>
    <row r="240" spans="1:8" ht="15.75">
      <c r="A240" s="115"/>
      <c r="B240" s="1" t="s">
        <v>40</v>
      </c>
      <c r="C240" s="103"/>
      <c r="D240" s="103"/>
    </row>
    <row r="241" spans="1:8">
      <c r="A241" s="115">
        <f>+A236+1</f>
        <v>139</v>
      </c>
      <c r="B241" s="58"/>
      <c r="C241" s="42" t="s">
        <v>41</v>
      </c>
      <c r="D241" s="103"/>
      <c r="F241" s="27" t="str">
        <f>"(Line "&amp;A69&amp;")"</f>
        <v>(Line 39)</v>
      </c>
      <c r="H241" s="109">
        <f>+H69</f>
        <v>897303360.33913517</v>
      </c>
    </row>
    <row r="242" spans="1:8">
      <c r="A242" s="6">
        <f>+A241+1</f>
        <v>140</v>
      </c>
      <c r="B242" s="58"/>
      <c r="C242" s="42" t="s">
        <v>156</v>
      </c>
      <c r="D242" s="103"/>
      <c r="F242" s="140" t="str">
        <f>"(Line "&amp;A107&amp;")"</f>
        <v>(Line 58)</v>
      </c>
      <c r="H242" s="109">
        <f>+H107</f>
        <v>-234693977.50242454</v>
      </c>
    </row>
    <row r="243" spans="1:8" ht="15.75">
      <c r="A243" s="6">
        <f>+A242+1</f>
        <v>141</v>
      </c>
      <c r="B243" s="33"/>
      <c r="C243" s="40" t="s">
        <v>160</v>
      </c>
      <c r="D243" s="173"/>
      <c r="E243" s="237"/>
      <c r="F243" s="27" t="str">
        <f>"(Line "&amp;A109&amp;")"</f>
        <v>(Line 59)</v>
      </c>
      <c r="G243" s="174"/>
      <c r="H243" s="175">
        <f>+H109</f>
        <v>662609382.83671069</v>
      </c>
    </row>
    <row r="244" spans="1:8">
      <c r="A244" s="33"/>
      <c r="B244" s="33"/>
      <c r="C244" s="54"/>
      <c r="D244" s="101"/>
      <c r="E244" s="21"/>
      <c r="F244" s="34"/>
      <c r="G244" s="34"/>
      <c r="H244" s="109"/>
    </row>
    <row r="245" spans="1:8">
      <c r="A245" s="33">
        <f>+A243+1</f>
        <v>142</v>
      </c>
      <c r="C245" s="54" t="s">
        <v>210</v>
      </c>
      <c r="D245" s="77"/>
      <c r="F245" s="27" t="str">
        <f>"(Line "&amp;A146&amp;")"</f>
        <v>(Line 85)</v>
      </c>
      <c r="H245" s="109">
        <f>+H146</f>
        <v>23011796.662214957</v>
      </c>
    </row>
    <row r="246" spans="1:8">
      <c r="A246" s="6">
        <f>+A245+1</f>
        <v>143</v>
      </c>
      <c r="C246" s="201" t="s">
        <v>135</v>
      </c>
      <c r="D246" s="77"/>
      <c r="F246" s="27" t="str">
        <f>"(Line "&amp;A168&amp;")"</f>
        <v>(Line 97)</v>
      </c>
      <c r="H246" s="109">
        <f>+H168</f>
        <v>29748247.375950575</v>
      </c>
    </row>
    <row r="247" spans="1:8">
      <c r="A247" s="6">
        <f>+A246+1</f>
        <v>144</v>
      </c>
      <c r="B247" s="33"/>
      <c r="C247" s="54" t="s">
        <v>42</v>
      </c>
      <c r="D247" s="101"/>
      <c r="E247" s="21"/>
      <c r="F247" s="27" t="str">
        <f>"(Line "&amp;A174&amp;")"</f>
        <v>(Line 99)</v>
      </c>
      <c r="G247" s="34"/>
      <c r="H247" s="109">
        <f>+H174</f>
        <v>7823974.1584097473</v>
      </c>
    </row>
    <row r="248" spans="1:8">
      <c r="A248" s="6">
        <f>+A247+1</f>
        <v>145</v>
      </c>
      <c r="B248" s="33"/>
      <c r="C248" s="108" t="s">
        <v>190</v>
      </c>
      <c r="D248" s="101"/>
      <c r="E248" s="21"/>
      <c r="F248" s="27" t="str">
        <f>"(Line "&amp;A215&amp;")"</f>
        <v>(Line 127)</v>
      </c>
      <c r="G248" s="34"/>
      <c r="H248" s="109">
        <f>+H215</f>
        <v>47758680.826293431</v>
      </c>
    </row>
    <row r="249" spans="1:8">
      <c r="A249" s="6">
        <f>+A248+1</f>
        <v>146</v>
      </c>
      <c r="B249" s="33"/>
      <c r="C249" s="108" t="s">
        <v>191</v>
      </c>
      <c r="D249" s="101"/>
      <c r="E249" s="21"/>
      <c r="F249" s="27" t="str">
        <f>"(Line "&amp;A236&amp;")"</f>
        <v>(Line 138)</v>
      </c>
      <c r="G249" s="34"/>
      <c r="H249" s="109">
        <f>+H236</f>
        <v>23334212.439607687</v>
      </c>
    </row>
    <row r="250" spans="1:8" ht="15.75" thickBot="1">
      <c r="A250" s="6"/>
      <c r="B250" s="33"/>
      <c r="C250" s="108"/>
      <c r="D250" s="101"/>
      <c r="E250" s="21"/>
      <c r="F250" s="34"/>
      <c r="G250" s="34"/>
      <c r="H250" s="109"/>
    </row>
    <row r="251" spans="1:8" ht="18.75" thickBot="1">
      <c r="A251" s="186">
        <f>+A249+1</f>
        <v>147</v>
      </c>
      <c r="B251" s="182"/>
      <c r="C251" s="183" t="s">
        <v>193</v>
      </c>
      <c r="D251" s="184"/>
      <c r="E251" s="238"/>
      <c r="F251" s="342" t="str">
        <f>"(Sum Lines "&amp;A245&amp;" to "&amp;A249&amp;")"</f>
        <v>(Sum Lines 142 to 146)</v>
      </c>
      <c r="G251" s="185"/>
      <c r="H251" s="827">
        <f>SUM(H249,H248,H247,H246,H245)</f>
        <v>131676911.4624764</v>
      </c>
    </row>
    <row r="252" spans="1:8" ht="18">
      <c r="A252" s="196"/>
      <c r="B252" s="259"/>
      <c r="C252" s="260"/>
      <c r="D252" s="261"/>
      <c r="E252" s="262"/>
      <c r="F252" s="106"/>
      <c r="G252" s="263"/>
      <c r="H252" s="828"/>
    </row>
    <row r="253" spans="1:8" ht="18">
      <c r="A253" s="196"/>
      <c r="B253" s="198" t="s">
        <v>90</v>
      </c>
      <c r="C253" s="260"/>
      <c r="D253" s="261"/>
      <c r="E253" s="262"/>
      <c r="F253" s="106"/>
      <c r="G253" s="263"/>
      <c r="H253" s="828"/>
    </row>
    <row r="254" spans="1:8" ht="18">
      <c r="A254" s="227">
        <f>+A251+1</f>
        <v>148</v>
      </c>
      <c r="B254" s="227"/>
      <c r="C254" s="54" t="str">
        <f>+C40</f>
        <v>Transmission Plant In Service</v>
      </c>
      <c r="D254" s="261"/>
      <c r="E254" s="262"/>
      <c r="F254" s="27" t="str">
        <f>"(Line "&amp;A40&amp;")"</f>
        <v>(Line 19)</v>
      </c>
      <c r="G254" s="263"/>
      <c r="H254" s="9">
        <f>+H40</f>
        <v>1207860962</v>
      </c>
    </row>
    <row r="255" spans="1:8" ht="18">
      <c r="A255" s="227">
        <f>+A254+1</f>
        <v>149</v>
      </c>
      <c r="B255" s="227"/>
      <c r="C255" s="200" t="s">
        <v>91</v>
      </c>
      <c r="D255" s="264"/>
      <c r="E255" s="253" t="str">
        <f>"(Note "&amp;B$317&amp;")"</f>
        <v>(Note M)</v>
      </c>
      <c r="F255" s="142" t="s">
        <v>497</v>
      </c>
      <c r="G255" s="263"/>
      <c r="H255" s="269">
        <f>'5 - Cost Support 1'!G82</f>
        <v>0</v>
      </c>
    </row>
    <row r="256" spans="1:8" ht="18">
      <c r="A256" s="227">
        <f>+A255+1</f>
        <v>150</v>
      </c>
      <c r="B256" s="227"/>
      <c r="C256" s="54" t="s">
        <v>92</v>
      </c>
      <c r="D256" s="261"/>
      <c r="E256" s="266"/>
      <c r="F256" s="49" t="str">
        <f>"(Line "&amp;A254&amp;" - "&amp;A255&amp;")"</f>
        <v>(Line 148 - 149)</v>
      </c>
      <c r="G256" s="263"/>
      <c r="H256" s="9">
        <f>+H254-H255</f>
        <v>1207860962</v>
      </c>
    </row>
    <row r="257" spans="1:9" ht="18">
      <c r="A257" s="227">
        <f>+A256+1</f>
        <v>151</v>
      </c>
      <c r="B257" s="227"/>
      <c r="C257" s="54" t="s">
        <v>93</v>
      </c>
      <c r="D257" s="261"/>
      <c r="E257" s="262"/>
      <c r="F257" s="49" t="str">
        <f>"(Line "&amp;A256&amp;" / "&amp;A254&amp;")"</f>
        <v>(Line 150 / 148)</v>
      </c>
      <c r="G257" s="263"/>
      <c r="H257" s="268">
        <f>+H256/H254</f>
        <v>1</v>
      </c>
    </row>
    <row r="258" spans="1:9" ht="18">
      <c r="A258" s="227">
        <f>+A257+1</f>
        <v>152</v>
      </c>
      <c r="B258" s="227"/>
      <c r="C258" s="200" t="s">
        <v>193</v>
      </c>
      <c r="D258" s="264"/>
      <c r="E258" s="265"/>
      <c r="F258" s="142" t="str">
        <f>"(Line "&amp;A251&amp;")"</f>
        <v>(Line 147)</v>
      </c>
      <c r="G258" s="263"/>
      <c r="H258" s="269">
        <f>+H251</f>
        <v>131676911.4624764</v>
      </c>
    </row>
    <row r="259" spans="1:9" ht="18">
      <c r="A259" s="227">
        <f>+A258+1</f>
        <v>153</v>
      </c>
      <c r="B259" s="227"/>
      <c r="C259" s="57" t="s">
        <v>94</v>
      </c>
      <c r="D259" s="261"/>
      <c r="E259" s="262"/>
      <c r="F259" s="49" t="str">
        <f>"(Line "&amp;A257&amp;" * "&amp;A258&amp;")"</f>
        <v>(Line 151 * 152)</v>
      </c>
      <c r="G259" s="263"/>
      <c r="H259" s="274">
        <f>+H258*H257</f>
        <v>131676911.4624764</v>
      </c>
    </row>
    <row r="260" spans="1:9" ht="15.75">
      <c r="A260" s="292"/>
      <c r="B260" s="33"/>
      <c r="C260" s="54"/>
      <c r="D260" s="101"/>
      <c r="E260" s="21"/>
      <c r="F260" s="34"/>
      <c r="G260" s="34"/>
      <c r="H260" s="44"/>
    </row>
    <row r="261" spans="1:9" ht="15.75">
      <c r="A261" s="292"/>
      <c r="B261" s="132" t="s">
        <v>310</v>
      </c>
      <c r="C261" s="54"/>
      <c r="D261" s="101"/>
      <c r="E261" s="21"/>
      <c r="F261" s="34"/>
      <c r="G261" s="34"/>
      <c r="H261" s="44"/>
      <c r="I261" s="1019"/>
    </row>
    <row r="262" spans="1:9" ht="15.75">
      <c r="A262" s="98">
        <f>+A259+1</f>
        <v>154</v>
      </c>
      <c r="B262" s="58"/>
      <c r="C262" s="132" t="s">
        <v>45</v>
      </c>
      <c r="D262" s="101"/>
      <c r="E262" s="21"/>
      <c r="F262" s="34" t="s">
        <v>498</v>
      </c>
      <c r="G262" s="34"/>
      <c r="H262" s="699">
        <f>+'3 - Revenue Credits'!D23</f>
        <v>7441484.4835730884</v>
      </c>
    </row>
    <row r="263" spans="1:9" ht="15.75">
      <c r="A263" s="98">
        <f>+A262+1</f>
        <v>155</v>
      </c>
      <c r="B263" s="58"/>
      <c r="C263" s="132" t="s">
        <v>308</v>
      </c>
      <c r="D263" s="101"/>
      <c r="E263" s="244" t="str">
        <f>"(Note "&amp;B$318&amp;")"</f>
        <v>(Note N)</v>
      </c>
      <c r="F263" s="34" t="s">
        <v>309</v>
      </c>
      <c r="G263" s="34"/>
      <c r="H263" s="339">
        <f>+'5 - Cost Support 1'!G145</f>
        <v>0</v>
      </c>
    </row>
    <row r="264" spans="1:9" ht="16.5" thickBot="1">
      <c r="A264" s="33"/>
      <c r="B264" s="33"/>
      <c r="C264" s="73"/>
      <c r="D264" s="73"/>
      <c r="F264" s="34"/>
      <c r="G264" s="34"/>
      <c r="H264" s="44"/>
    </row>
    <row r="265" spans="1:9" s="1" customFormat="1" ht="18.75" thickBot="1">
      <c r="A265" s="186">
        <f>+A263+1</f>
        <v>156</v>
      </c>
      <c r="B265" s="194"/>
      <c r="C265" s="187" t="s">
        <v>209</v>
      </c>
      <c r="D265" s="188"/>
      <c r="E265" s="239"/>
      <c r="F265" s="342" t="str">
        <f>"(Line "&amp;A259&amp;" - "&amp;A262&amp;" + "&amp;A263&amp;")"</f>
        <v>(Line 153 - 154 + 155)</v>
      </c>
      <c r="G265" s="189"/>
      <c r="H265" s="829">
        <f>+H259-H262+H263</f>
        <v>124235426.97890331</v>
      </c>
    </row>
    <row r="266" spans="1:9" ht="15.75">
      <c r="A266" s="292"/>
      <c r="B266" s="33"/>
      <c r="C266" s="73"/>
      <c r="D266" s="73"/>
      <c r="F266" s="34"/>
      <c r="G266" s="34"/>
      <c r="H266" s="44"/>
    </row>
    <row r="267" spans="1:9" ht="15.75">
      <c r="A267" s="98"/>
      <c r="B267" s="273" t="s">
        <v>171</v>
      </c>
      <c r="C267" s="58"/>
      <c r="D267" s="73"/>
      <c r="F267" s="34"/>
      <c r="G267" s="34"/>
      <c r="H267" s="44"/>
    </row>
    <row r="268" spans="1:9" ht="15.75">
      <c r="A268" s="98">
        <f>+A265+1</f>
        <v>157</v>
      </c>
      <c r="B268" s="98"/>
      <c r="C268" s="73" t="str">
        <f>+C265</f>
        <v>Net Revenue Requirement</v>
      </c>
      <c r="D268" s="73"/>
      <c r="F268" s="34" t="str">
        <f>"(Line "&amp;A265&amp;")"</f>
        <v>(Line 156)</v>
      </c>
      <c r="G268" s="34"/>
      <c r="H268" s="310">
        <f>+H265</f>
        <v>124235426.97890331</v>
      </c>
    </row>
    <row r="269" spans="1:9" ht="15.75">
      <c r="A269" s="98">
        <f>+A268+1</f>
        <v>158</v>
      </c>
      <c r="B269" s="98"/>
      <c r="C269" s="73" t="s">
        <v>275</v>
      </c>
      <c r="D269" s="73"/>
      <c r="F269" s="34" t="str">
        <f>"(Line "&amp;A40&amp;" - "&amp;A57&amp;")"</f>
        <v>(Line 19 - 30)</v>
      </c>
      <c r="G269" s="34"/>
      <c r="H269" s="310">
        <f>+H40-H57</f>
        <v>885241178</v>
      </c>
    </row>
    <row r="270" spans="1:9" ht="15.75">
      <c r="A270" s="98">
        <f>+A269+1</f>
        <v>159</v>
      </c>
      <c r="B270" s="98"/>
      <c r="C270" s="73" t="s">
        <v>173</v>
      </c>
      <c r="D270" s="73"/>
      <c r="F270" s="34" t="str">
        <f>"(Line "&amp;A268&amp;" / "&amp;A269&amp;")"</f>
        <v>(Line 157 / 158)</v>
      </c>
      <c r="G270" s="34"/>
      <c r="H270" s="44">
        <f>+H268/H269</f>
        <v>0.14034076821819885</v>
      </c>
    </row>
    <row r="271" spans="1:9" ht="15.75">
      <c r="A271" s="98">
        <f>+A270+1</f>
        <v>160</v>
      </c>
      <c r="B271" s="98"/>
      <c r="C271" s="73" t="s">
        <v>174</v>
      </c>
      <c r="D271" s="73"/>
      <c r="F271" s="34" t="str">
        <f>"(Line "&amp;A268&amp;" - "&amp;A151&amp;") / "&amp;A269</f>
        <v>(Line 157 - 86) / 158</v>
      </c>
      <c r="G271" s="34"/>
      <c r="H271" s="44">
        <f>(H268-H151)/H269</f>
        <v>0.10772176481255294</v>
      </c>
    </row>
    <row r="272" spans="1:9" ht="15.75">
      <c r="A272" s="98">
        <f>+A271+1</f>
        <v>161</v>
      </c>
      <c r="B272" s="98"/>
      <c r="C272" s="73" t="s">
        <v>175</v>
      </c>
      <c r="D272" s="73"/>
      <c r="E272" s="117"/>
      <c r="F272" s="63" t="str">
        <f>"(Line "&amp;A268&amp;" - "&amp;A151&amp;" - "&amp;A215&amp;" - "&amp;A236&amp;") / "&amp;A269</f>
        <v>(Line 157 - 86 - 127 - 138) / 158</v>
      </c>
      <c r="G272" s="34"/>
      <c r="H272" s="44">
        <f>(H268-H151-H215-H236)/H269</f>
        <v>2.7412697597086012E-2</v>
      </c>
    </row>
    <row r="273" spans="1:180" ht="15.75">
      <c r="A273" s="98"/>
      <c r="B273" s="98"/>
      <c r="C273" s="73"/>
      <c r="D273" s="73"/>
      <c r="F273" s="34"/>
      <c r="G273" s="34"/>
      <c r="H273" s="44"/>
    </row>
    <row r="274" spans="1:180" ht="15.75">
      <c r="A274" s="98"/>
      <c r="B274" s="98"/>
      <c r="C274" s="73"/>
      <c r="D274" s="73"/>
      <c r="F274" s="34"/>
      <c r="G274" s="34"/>
      <c r="H274" s="44"/>
    </row>
    <row r="275" spans="1:180" ht="15.75">
      <c r="A275" s="98"/>
      <c r="B275" s="273" t="s">
        <v>172</v>
      </c>
      <c r="C275" s="73"/>
      <c r="D275" s="73"/>
      <c r="F275" s="34"/>
      <c r="G275" s="34"/>
      <c r="H275" s="44"/>
    </row>
    <row r="276" spans="1:180" ht="15.75">
      <c r="A276" s="98">
        <f>+A272+1</f>
        <v>162</v>
      </c>
      <c r="B276" s="98"/>
      <c r="C276" s="73" t="s">
        <v>352</v>
      </c>
      <c r="D276" s="73"/>
      <c r="F276" s="63" t="str">
        <f>"(Line "&amp;A265&amp;" - "&amp;A248&amp;" - "&amp;A249&amp;")"</f>
        <v>(Line 156 - 145 - 146)</v>
      </c>
      <c r="G276" s="34"/>
      <c r="H276" s="310">
        <f>+H265-H248-H249</f>
        <v>53142533.713002197</v>
      </c>
    </row>
    <row r="277" spans="1:180" ht="15.75">
      <c r="A277" s="98">
        <f>+A276+1</f>
        <v>163</v>
      </c>
      <c r="B277" s="98"/>
      <c r="C277" s="73" t="s">
        <v>403</v>
      </c>
      <c r="D277" s="73"/>
      <c r="F277" s="63" t="s">
        <v>499</v>
      </c>
      <c r="G277" s="34"/>
      <c r="H277" s="310">
        <f>+'4 - 100 Basis Pt ROE'!I9</f>
        <v>76583858.397609949</v>
      </c>
    </row>
    <row r="278" spans="1:180" ht="15.75">
      <c r="A278" s="98">
        <f>+A277+1</f>
        <v>164</v>
      </c>
      <c r="B278" s="98"/>
      <c r="C278" s="73" t="s">
        <v>176</v>
      </c>
      <c r="D278" s="73"/>
      <c r="F278" s="63" t="str">
        <f>"(Line "&amp;A276&amp;" + "&amp;A277&amp;")"</f>
        <v>(Line 162 + 163)</v>
      </c>
      <c r="G278" s="34"/>
      <c r="H278" s="310">
        <f>+H277+H276</f>
        <v>129726392.11061215</v>
      </c>
    </row>
    <row r="279" spans="1:180" ht="15.75">
      <c r="A279" s="98">
        <f>+A278+1</f>
        <v>165</v>
      </c>
      <c r="B279" s="98"/>
      <c r="C279" s="73" t="str">
        <f>+C269</f>
        <v>Net Transmission Plant</v>
      </c>
      <c r="D279" s="73"/>
      <c r="F279" s="34" t="str">
        <f>"(Line "&amp;A40&amp;" - "&amp;A57&amp;")"</f>
        <v>(Line 19 - 30)</v>
      </c>
      <c r="G279" s="34"/>
      <c r="H279" s="310">
        <f>+H269</f>
        <v>885241178</v>
      </c>
    </row>
    <row r="280" spans="1:180" ht="15.75">
      <c r="A280" s="98">
        <f>+A279+1</f>
        <v>166</v>
      </c>
      <c r="B280" s="98"/>
      <c r="C280" s="73" t="s">
        <v>177</v>
      </c>
      <c r="D280" s="73"/>
      <c r="F280" s="34" t="str">
        <f>"(Line "&amp;A278&amp;" / "&amp;A279&amp;")"</f>
        <v>(Line 164 / 165)</v>
      </c>
      <c r="G280" s="34"/>
      <c r="H280" s="44">
        <f>+H278/H279</f>
        <v>0.14654355822409806</v>
      </c>
    </row>
    <row r="281" spans="1:180" ht="15.75">
      <c r="A281" s="98">
        <f>+A280+1</f>
        <v>167</v>
      </c>
      <c r="B281" s="98"/>
      <c r="C281" s="73" t="s">
        <v>178</v>
      </c>
      <c r="D281" s="73"/>
      <c r="F281" s="34" t="str">
        <f>"(Line "&amp;A277&amp;" - "&amp;A151&amp;") / "&amp;A279</f>
        <v>(Line 163 - 86) / 165</v>
      </c>
      <c r="G281" s="34"/>
      <c r="H281" s="44">
        <f>(H278-H151)/H279</f>
        <v>0.11392455481845215</v>
      </c>
    </row>
    <row r="282" spans="1:180" ht="15.75">
      <c r="A282" s="98"/>
      <c r="B282" s="98"/>
      <c r="C282" s="73"/>
      <c r="D282" s="73"/>
      <c r="F282" s="34"/>
      <c r="G282" s="34"/>
      <c r="H282" s="44"/>
    </row>
    <row r="283" spans="1:180" ht="15.75">
      <c r="A283" s="98">
        <f>+A281+1</f>
        <v>168</v>
      </c>
      <c r="B283" s="98"/>
      <c r="C283" s="273" t="s">
        <v>209</v>
      </c>
      <c r="D283" s="73"/>
      <c r="E283" s="117"/>
      <c r="F283" s="34" t="str">
        <f>"(Line "&amp;A265&amp;")"</f>
        <v>(Line 156)</v>
      </c>
      <c r="G283" s="34"/>
      <c r="H283" s="310">
        <f>+H265</f>
        <v>124235426.97890331</v>
      </c>
    </row>
    <row r="284" spans="1:180" ht="15.75">
      <c r="A284" s="98">
        <f>+A283+1</f>
        <v>169</v>
      </c>
      <c r="B284" s="98"/>
      <c r="C284" s="73" t="s">
        <v>481</v>
      </c>
      <c r="D284" s="73"/>
      <c r="E284" s="481"/>
      <c r="F284" s="540" t="s">
        <v>494</v>
      </c>
      <c r="G284" s="34"/>
      <c r="H284" s="338">
        <f>'6- Est &amp; Reconcile WS'!H160</f>
        <v>-7305737.9054216454</v>
      </c>
    </row>
    <row r="285" spans="1:180" ht="15.75">
      <c r="A285" s="98">
        <f>+A284+1</f>
        <v>170</v>
      </c>
      <c r="B285" s="98"/>
      <c r="C285" s="73" t="s">
        <v>405</v>
      </c>
      <c r="D285" s="73"/>
      <c r="E285" s="481"/>
      <c r="F285" s="540" t="s">
        <v>554</v>
      </c>
      <c r="G285" s="34"/>
      <c r="H285" s="338">
        <f>'7 - Cap Add WS'!BB53-'7 - Cap Add WS'!BC52</f>
        <v>559389.14537612535</v>
      </c>
    </row>
    <row r="286" spans="1:180" ht="15.75">
      <c r="A286" s="98">
        <f>+A285+1</f>
        <v>171</v>
      </c>
      <c r="B286" s="98"/>
      <c r="C286" s="39" t="s">
        <v>406</v>
      </c>
      <c r="D286" s="641"/>
      <c r="E286" s="244"/>
      <c r="F286" s="101" t="s">
        <v>603</v>
      </c>
      <c r="G286" s="34"/>
      <c r="H286" s="700">
        <f>+'5 - Cost Support 1'!G155</f>
        <v>0</v>
      </c>
      <c r="FX286" s="58">
        <f>SUM(A286:FW286)</f>
        <v>171</v>
      </c>
    </row>
    <row r="287" spans="1:180" ht="15.75">
      <c r="A287" s="98" t="s">
        <v>726</v>
      </c>
      <c r="B287" s="98"/>
      <c r="C287" s="39" t="s">
        <v>727</v>
      </c>
      <c r="D287" s="641"/>
      <c r="E287" s="244"/>
      <c r="F287" s="101" t="s">
        <v>603</v>
      </c>
      <c r="G287" s="34"/>
      <c r="H287" s="700">
        <v>0</v>
      </c>
    </row>
    <row r="288" spans="1:180" ht="15.75">
      <c r="A288" s="98">
        <f>+A286+1</f>
        <v>172</v>
      </c>
      <c r="B288" s="98"/>
      <c r="C288" s="273" t="s">
        <v>314</v>
      </c>
      <c r="D288" s="73"/>
      <c r="E288" s="117"/>
      <c r="F288" s="34" t="str">
        <f>"(Line "&amp;A283&amp;" + "&amp;A284&amp;" +"&amp;A285&amp;"+ "&amp;A286&amp;"+"&amp;A287&amp;")"</f>
        <v>(Line 168 + 169 +170+ 171+171a)</v>
      </c>
      <c r="G288" s="34"/>
      <c r="H288" s="310">
        <f>SUM(H283:H287)</f>
        <v>117489078.2188578</v>
      </c>
    </row>
    <row r="289" spans="1:8" ht="15.75">
      <c r="A289" s="98"/>
      <c r="B289" s="98"/>
      <c r="C289" s="73"/>
      <c r="D289" s="73"/>
      <c r="F289" s="34"/>
      <c r="G289" s="34"/>
      <c r="H289" s="44"/>
    </row>
    <row r="290" spans="1:8" ht="15.75">
      <c r="A290" s="98"/>
      <c r="B290" s="691" t="s">
        <v>313</v>
      </c>
      <c r="C290" s="73"/>
      <c r="D290" s="73"/>
      <c r="F290" s="34"/>
      <c r="G290" s="34"/>
      <c r="H290" s="44"/>
    </row>
    <row r="291" spans="1:8" ht="15.75">
      <c r="A291" s="98">
        <f>+A288+1</f>
        <v>173</v>
      </c>
      <c r="B291" s="98"/>
      <c r="C291" s="163" t="s">
        <v>137</v>
      </c>
      <c r="D291" s="163"/>
      <c r="E291" s="244" t="str">
        <f>"(Note "&amp;B$316&amp;")"</f>
        <v>(Note L)</v>
      </c>
      <c r="F291" s="73" t="s">
        <v>309</v>
      </c>
      <c r="G291" s="73"/>
      <c r="H291" s="312">
        <f>'5 - Cost Support 1'!G161</f>
        <v>4114</v>
      </c>
    </row>
    <row r="292" spans="1:8" ht="15.75">
      <c r="A292" s="31">
        <f>+A291+1</f>
        <v>174</v>
      </c>
      <c r="B292" s="98"/>
      <c r="C292" s="163" t="s">
        <v>136</v>
      </c>
      <c r="D292" s="446"/>
      <c r="E292" s="447"/>
      <c r="F292" s="27" t="str">
        <f>"(Line "&amp;A288&amp;" / "&amp;A291&amp;")"</f>
        <v>(Line 172 / 173)</v>
      </c>
      <c r="G292" s="176"/>
      <c r="H292" s="164">
        <f>+H288/H291</f>
        <v>28558.356397388867</v>
      </c>
    </row>
    <row r="293" spans="1:8" ht="16.5" thickBot="1">
      <c r="A293" s="98"/>
      <c r="B293" s="98"/>
      <c r="C293" s="163"/>
      <c r="D293" s="163"/>
      <c r="E293" s="240"/>
      <c r="F293" s="176"/>
      <c r="G293" s="176"/>
      <c r="H293" s="164"/>
    </row>
    <row r="294" spans="1:8" s="103" customFormat="1" ht="18.75" thickBot="1">
      <c r="A294" s="692">
        <f>+A292+1</f>
        <v>175</v>
      </c>
      <c r="B294" s="693"/>
      <c r="C294" s="187" t="s">
        <v>223</v>
      </c>
      <c r="D294" s="197"/>
      <c r="E294" s="197"/>
      <c r="F294" s="197" t="str">
        <f>"(Line "&amp;A292&amp;")"</f>
        <v>(Line 174)</v>
      </c>
      <c r="G294" s="197"/>
      <c r="H294" s="830">
        <f>+H292</f>
        <v>28558.356397388867</v>
      </c>
    </row>
    <row r="295" spans="1:8" s="103" customFormat="1" ht="15.75">
      <c r="A295" s="694"/>
      <c r="B295" s="236"/>
      <c r="C295" s="195"/>
      <c r="D295" s="195"/>
      <c r="E295" s="240"/>
      <c r="F295" s="176"/>
      <c r="G295" s="176"/>
      <c r="H295" s="164"/>
    </row>
    <row r="296" spans="1:8" s="103" customFormat="1" ht="18">
      <c r="A296" s="695"/>
      <c r="B296" s="473" t="s">
        <v>200</v>
      </c>
      <c r="C296" s="195"/>
      <c r="D296" s="195"/>
      <c r="E296" s="240"/>
      <c r="F296" s="176"/>
      <c r="G296" s="176"/>
      <c r="H296" s="164"/>
    </row>
    <row r="297" spans="1:8" s="103" customFormat="1" ht="15.75">
      <c r="A297" s="656"/>
      <c r="B297" s="372" t="s">
        <v>68</v>
      </c>
      <c r="C297" s="353" t="s">
        <v>213</v>
      </c>
      <c r="D297" s="245"/>
      <c r="E297" s="246"/>
      <c r="F297" s="247"/>
      <c r="G297" s="176"/>
      <c r="H297" s="164"/>
    </row>
    <row r="298" spans="1:8" s="103" customFormat="1" ht="15.75">
      <c r="A298" s="656"/>
      <c r="B298" s="372" t="s">
        <v>182</v>
      </c>
      <c r="C298" s="248" t="s">
        <v>555</v>
      </c>
      <c r="D298" s="353"/>
      <c r="E298" s="444"/>
      <c r="F298" s="445"/>
      <c r="G298" s="176"/>
      <c r="H298" s="164"/>
    </row>
    <row r="299" spans="1:8" s="103" customFormat="1" ht="15.75">
      <c r="A299" s="656"/>
      <c r="B299" s="372"/>
      <c r="C299" s="248" t="s">
        <v>556</v>
      </c>
      <c r="D299" s="353"/>
      <c r="E299" s="444"/>
      <c r="F299" s="445"/>
      <c r="G299" s="176"/>
      <c r="H299" s="164"/>
    </row>
    <row r="300" spans="1:8" s="103" customFormat="1" ht="15.75">
      <c r="A300" s="656"/>
      <c r="B300" s="372"/>
      <c r="C300" s="248" t="s">
        <v>557</v>
      </c>
      <c r="D300" s="353"/>
      <c r="E300" s="444"/>
      <c r="F300" s="445"/>
      <c r="G300" s="176"/>
      <c r="H300" s="164"/>
    </row>
    <row r="301" spans="1:8" s="103" customFormat="1" ht="15.75">
      <c r="A301" s="656"/>
      <c r="B301" s="372"/>
      <c r="C301" s="248" t="s">
        <v>558</v>
      </c>
      <c r="D301" s="353"/>
      <c r="E301" s="444"/>
      <c r="F301" s="445"/>
      <c r="G301" s="176"/>
      <c r="H301" s="164"/>
    </row>
    <row r="302" spans="1:8" s="103" customFormat="1" ht="15.75">
      <c r="A302" s="656"/>
      <c r="B302" s="372"/>
      <c r="C302" s="248" t="s">
        <v>636</v>
      </c>
      <c r="D302" s="353"/>
      <c r="E302" s="444"/>
      <c r="F302" s="445"/>
      <c r="G302" s="176"/>
      <c r="H302" s="164"/>
    </row>
    <row r="303" spans="1:8" s="103" customFormat="1" ht="15.75">
      <c r="A303" s="656"/>
      <c r="B303" s="372" t="s">
        <v>46</v>
      </c>
      <c r="C303" s="248" t="s">
        <v>214</v>
      </c>
      <c r="D303" s="245"/>
      <c r="E303" s="246"/>
      <c r="F303" s="247"/>
      <c r="G303" s="176"/>
      <c r="H303" s="164"/>
    </row>
    <row r="304" spans="1:8" s="103" customFormat="1" ht="15.75">
      <c r="A304" s="656"/>
      <c r="B304" s="372" t="s">
        <v>69</v>
      </c>
      <c r="C304" s="249" t="s">
        <v>520</v>
      </c>
      <c r="D304" s="245"/>
      <c r="E304" s="246"/>
      <c r="F304" s="247"/>
      <c r="G304" s="176"/>
      <c r="H304" s="164"/>
    </row>
    <row r="305" spans="1:8" s="103" customFormat="1" ht="15.75">
      <c r="A305" s="656"/>
      <c r="B305" s="372" t="s">
        <v>67</v>
      </c>
      <c r="C305" s="250" t="s">
        <v>95</v>
      </c>
      <c r="D305" s="245"/>
      <c r="E305" s="246"/>
      <c r="F305" s="247"/>
      <c r="G305" s="176"/>
      <c r="H305" s="164"/>
    </row>
    <row r="306" spans="1:8" s="103" customFormat="1" ht="15.75">
      <c r="A306" s="656"/>
      <c r="B306" s="372" t="s">
        <v>340</v>
      </c>
      <c r="C306" s="249" t="s">
        <v>243</v>
      </c>
      <c r="D306" s="245"/>
      <c r="E306" s="246"/>
      <c r="F306" s="247"/>
      <c r="G306" s="176"/>
      <c r="H306" s="164"/>
    </row>
    <row r="307" spans="1:8" s="103" customFormat="1" ht="15.75">
      <c r="A307" s="656"/>
      <c r="B307" s="372" t="s">
        <v>70</v>
      </c>
      <c r="C307" s="249" t="s">
        <v>521</v>
      </c>
      <c r="D307" s="245"/>
      <c r="E307" s="246"/>
      <c r="F307" s="247"/>
      <c r="G307" s="176"/>
      <c r="H307" s="164"/>
    </row>
    <row r="308" spans="1:8" s="103" customFormat="1" ht="15.75">
      <c r="A308" s="656"/>
      <c r="B308" s="372" t="s">
        <v>54</v>
      </c>
      <c r="C308" s="249" t="s">
        <v>73</v>
      </c>
      <c r="D308" s="245"/>
      <c r="E308" s="246"/>
      <c r="F308" s="247"/>
      <c r="G308" s="176"/>
      <c r="H308" s="164"/>
    </row>
    <row r="309" spans="1:8" s="103" customFormat="1" ht="15.75">
      <c r="A309" s="656"/>
      <c r="B309" s="372"/>
      <c r="C309" s="249" t="s">
        <v>87</v>
      </c>
      <c r="D309" s="245"/>
      <c r="E309" s="246"/>
      <c r="F309" s="247"/>
      <c r="G309" s="176"/>
      <c r="H309" s="164"/>
    </row>
    <row r="310" spans="1:8" s="103" customFormat="1" ht="15.75">
      <c r="A310" s="656"/>
      <c r="B310" s="372"/>
      <c r="C310" s="249" t="s">
        <v>625</v>
      </c>
      <c r="D310" s="245"/>
      <c r="E310" s="246"/>
      <c r="F310" s="247"/>
      <c r="G310" s="176"/>
      <c r="H310" s="164"/>
    </row>
    <row r="311" spans="1:8" s="103" customFormat="1" ht="15.75">
      <c r="A311" s="656"/>
      <c r="B311" s="372"/>
      <c r="C311" s="249" t="s">
        <v>442</v>
      </c>
      <c r="D311" s="245"/>
      <c r="E311" s="246"/>
      <c r="F311" s="247"/>
      <c r="G311" s="176"/>
      <c r="H311" s="164"/>
    </row>
    <row r="312" spans="1:8" s="103" customFormat="1" ht="15.75">
      <c r="A312" s="656"/>
      <c r="B312" s="372"/>
      <c r="C312" s="249" t="s">
        <v>76</v>
      </c>
      <c r="D312" s="245"/>
      <c r="E312" s="246"/>
      <c r="F312" s="247"/>
      <c r="G312" s="176"/>
      <c r="H312" s="164"/>
    </row>
    <row r="313" spans="1:8" s="103" customFormat="1" ht="15.75">
      <c r="A313" s="656"/>
      <c r="B313" s="372"/>
      <c r="C313" s="249" t="s">
        <v>274</v>
      </c>
      <c r="D313" s="245"/>
      <c r="E313" s="246"/>
      <c r="F313" s="247"/>
      <c r="G313" s="176"/>
      <c r="H313" s="164"/>
    </row>
    <row r="314" spans="1:8" s="103" customFormat="1" ht="45.75" customHeight="1">
      <c r="A314" s="656"/>
      <c r="B314" s="372" t="s">
        <v>56</v>
      </c>
      <c r="C314" s="1178" t="s">
        <v>802</v>
      </c>
      <c r="D314" s="1179"/>
      <c r="E314" s="1179"/>
      <c r="F314" s="1179"/>
      <c r="G314" s="176"/>
      <c r="H314" s="164"/>
    </row>
    <row r="315" spans="1:8" s="103" customFormat="1" ht="15.75">
      <c r="A315" s="656"/>
      <c r="B315" s="372" t="s">
        <v>72</v>
      </c>
      <c r="C315" s="353" t="s">
        <v>244</v>
      </c>
      <c r="D315" s="245"/>
      <c r="E315" s="246"/>
      <c r="F315" s="247"/>
      <c r="G315" s="176"/>
      <c r="H315" s="164"/>
    </row>
    <row r="316" spans="1:8" s="103" customFormat="1" ht="15.75">
      <c r="A316" s="656"/>
      <c r="B316" s="372" t="s">
        <v>142</v>
      </c>
      <c r="C316" s="353" t="s">
        <v>426</v>
      </c>
      <c r="D316" s="245"/>
      <c r="E316" s="246"/>
      <c r="F316" s="247"/>
      <c r="G316" s="176"/>
      <c r="H316" s="164"/>
    </row>
    <row r="317" spans="1:8" ht="15.75">
      <c r="A317" s="657"/>
      <c r="B317" s="657" t="s">
        <v>143</v>
      </c>
      <c r="C317" s="250" t="s">
        <v>287</v>
      </c>
      <c r="D317" s="267"/>
      <c r="E317" s="246"/>
      <c r="F317" s="247"/>
      <c r="G317" s="176"/>
      <c r="H317" s="164"/>
    </row>
    <row r="318" spans="1:8" ht="15.75">
      <c r="A318" s="657"/>
      <c r="B318" s="657" t="s">
        <v>341</v>
      </c>
      <c r="C318" s="340" t="s">
        <v>312</v>
      </c>
      <c r="D318" s="267"/>
      <c r="E318" s="246"/>
      <c r="F318" s="247"/>
      <c r="G318" s="176"/>
      <c r="H318" s="164"/>
    </row>
    <row r="319" spans="1:8" ht="15.75">
      <c r="A319" s="657"/>
      <c r="B319" s="657"/>
      <c r="C319" s="340" t="s">
        <v>311</v>
      </c>
      <c r="D319" s="267"/>
      <c r="E319" s="246"/>
      <c r="F319" s="247"/>
      <c r="G319" s="176"/>
      <c r="H319" s="164"/>
    </row>
    <row r="320" spans="1:8" ht="15.75">
      <c r="A320" s="657"/>
      <c r="B320" s="657"/>
      <c r="C320" s="340" t="str">
        <f>"  Interest on the Network Credits as booked each year is added to the revenue requirement to make the Transmisison Owner whole on Line "&amp;A263&amp;"."</f>
        <v xml:space="preserve">  Interest on the Network Credits as booked each year is added to the revenue requirement to make the Transmisison Owner whole on Line 155.</v>
      </c>
      <c r="D320" s="250"/>
      <c r="E320" s="444"/>
      <c r="F320" s="445"/>
      <c r="G320" s="176"/>
      <c r="H320" s="164"/>
    </row>
    <row r="321" spans="1:8" ht="15.75">
      <c r="A321" s="657"/>
      <c r="B321" s="657" t="s">
        <v>397</v>
      </c>
      <c r="C321" s="340" t="str">
        <f>"Payments made under Schedule 12 of the PJM OATT that are not directly assessed to load in the Zone under Schedule 12 are included in Transmission O&amp;M."</f>
        <v>Payments made under Schedule 12 of the PJM OATT that are not directly assessed to load in the Zone under Schedule 12 are included in Transmission O&amp;M.</v>
      </c>
      <c r="D321" s="498"/>
      <c r="E321" s="447"/>
      <c r="F321" s="471"/>
      <c r="G321" s="176"/>
      <c r="H321" s="164"/>
    </row>
    <row r="322" spans="1:8" s="103" customFormat="1" ht="18">
      <c r="A322" s="657"/>
      <c r="B322" s="657"/>
      <c r="C322" s="340" t="str">
        <f>"  If they are booked to Acct 565, they are included in on line "&amp;A118&amp;""</f>
        <v xml:space="preserve">  If they are booked to Acct 565, they are included in on line 64</v>
      </c>
      <c r="D322" s="480"/>
      <c r="E322" s="480"/>
      <c r="F322" s="480"/>
      <c r="G322" s="196"/>
      <c r="H322" s="831"/>
    </row>
    <row r="323" spans="1:8" ht="15.75">
      <c r="A323" s="696"/>
      <c r="B323" s="372" t="s">
        <v>99</v>
      </c>
      <c r="C323" s="846" t="s">
        <v>427</v>
      </c>
      <c r="D323" s="472"/>
      <c r="E323" s="447"/>
      <c r="F323" s="471"/>
      <c r="G323" s="176"/>
      <c r="H323" s="164"/>
    </row>
    <row r="324" spans="1:8" ht="15.75">
      <c r="A324" s="372"/>
      <c r="B324" s="372" t="s">
        <v>637</v>
      </c>
      <c r="C324" s="353" t="s">
        <v>638</v>
      </c>
      <c r="D324" s="472"/>
      <c r="E324" s="447"/>
      <c r="F324" s="471"/>
      <c r="G324" s="176"/>
      <c r="H324" s="164"/>
    </row>
    <row r="325" spans="1:8" ht="15.75">
      <c r="A325" s="236"/>
      <c r="B325" s="227" t="s">
        <v>639</v>
      </c>
      <c r="C325" s="472" t="s">
        <v>640</v>
      </c>
      <c r="D325" s="472"/>
      <c r="E325" s="447"/>
      <c r="F325" s="471"/>
      <c r="G325" s="176"/>
      <c r="H325" s="164"/>
    </row>
    <row r="326" spans="1:8" ht="15.75">
      <c r="A326" s="236"/>
      <c r="B326" s="473"/>
      <c r="C326" s="472" t="s">
        <v>641</v>
      </c>
      <c r="D326" s="472"/>
      <c r="E326" s="447"/>
      <c r="F326" s="471"/>
      <c r="G326" s="176"/>
      <c r="H326" s="164"/>
    </row>
    <row r="327" spans="1:8" ht="15.75">
      <c r="A327" s="236"/>
      <c r="B327" s="227" t="s">
        <v>806</v>
      </c>
      <c r="C327" s="472" t="s">
        <v>807</v>
      </c>
      <c r="D327" s="472"/>
      <c r="E327" s="447"/>
      <c r="F327" s="471"/>
      <c r="G327" s="176"/>
      <c r="H327" s="164"/>
    </row>
    <row r="328" spans="1:8" ht="15.75">
      <c r="A328" s="236"/>
      <c r="B328" s="473"/>
      <c r="C328" s="472"/>
      <c r="D328" s="472"/>
      <c r="E328" s="447"/>
      <c r="F328" s="471"/>
      <c r="G328" s="176"/>
      <c r="H328" s="164"/>
    </row>
    <row r="329" spans="1:8" ht="15.75">
      <c r="A329" s="236"/>
      <c r="B329" s="236"/>
      <c r="C329" s="472"/>
      <c r="D329" s="472"/>
      <c r="E329" s="447"/>
      <c r="F329" s="471"/>
      <c r="G329" s="176"/>
      <c r="H329" s="164"/>
    </row>
    <row r="330" spans="1:8" ht="15.75">
      <c r="A330" s="236"/>
      <c r="B330" s="236"/>
      <c r="C330" s="472"/>
      <c r="D330" s="472"/>
      <c r="E330" s="447"/>
      <c r="F330" s="471"/>
      <c r="G330" s="176"/>
      <c r="H330" s="164"/>
    </row>
    <row r="331" spans="1:8" ht="15.75">
      <c r="A331" s="60"/>
      <c r="B331" s="33"/>
      <c r="C331" s="26"/>
      <c r="D331" s="63"/>
      <c r="E331" s="21"/>
      <c r="F331" s="34"/>
      <c r="G331" s="34"/>
      <c r="H331" s="44"/>
    </row>
    <row r="332" spans="1:8" ht="15.75">
      <c r="A332" s="178" t="s">
        <v>44</v>
      </c>
      <c r="B332" s="177"/>
      <c r="C332" s="157"/>
      <c r="D332" s="156"/>
      <c r="E332" s="241"/>
      <c r="F332" s="156"/>
      <c r="G332" s="156"/>
      <c r="H332" s="157"/>
    </row>
    <row r="333" spans="1:8">
      <c r="A333" s="60"/>
      <c r="B333" s="33"/>
      <c r="C333" s="58"/>
      <c r="D333" s="58"/>
    </row>
    <row r="334" spans="1:8">
      <c r="H334" s="171"/>
    </row>
    <row r="335" spans="1:8">
      <c r="H335" s="170"/>
    </row>
    <row r="336" spans="1:8">
      <c r="H336" s="169"/>
    </row>
  </sheetData>
  <customSheetViews>
    <customSheetView guid="{DD59B418-F201-4517-876C-F4216587CC56}" scale="75" showPageBreaks="1" printArea="1" showRuler="0" topLeftCell="A65">
      <selection activeCell="H106" sqref="H106"/>
      <rowBreaks count="3" manualBreakCount="3">
        <brk id="70" max="7" man="1"/>
        <brk id="144" max="7" man="1"/>
        <brk id="211" max="7" man="1"/>
      </rowBreaks>
      <colBreaks count="1" manualBreakCount="1">
        <brk id="8" max="316" man="1"/>
      </colBreaks>
      <pageMargins left="0.25" right="0.25" top="0.75" bottom="0.5" header="0.5" footer="0.5"/>
      <printOptions horizontalCentered="1"/>
      <pageSetup scale="38" fitToHeight="10" orientation="portrait" r:id="rId1"/>
      <headerFooter alignWithMargins="0"/>
    </customSheetView>
    <customSheetView guid="{6FDC2004-56D4-4E4C-BEEF-80DB64AD0DBB}" scale="60" showPageBreaks="1" printArea="1" view="pageBreakPreview" showRuler="0" topLeftCell="A76">
      <selection activeCell="D2" sqref="D2"/>
      <rowBreaks count="4" manualBreakCount="4">
        <brk id="70" max="7" man="1"/>
        <brk id="142" max="7" man="1"/>
        <brk id="209" max="7" man="1"/>
        <brk id="286" max="7" man="1"/>
      </rowBreaks>
      <colBreaks count="1" manualBreakCount="1">
        <brk id="8" max="316" man="1"/>
      </colBreaks>
      <pageMargins left="0.25" right="0.25" top="0.75" bottom="0.5" header="0.5" footer="0.5"/>
      <printOptions horizontalCentered="1"/>
      <pageSetup scale="44" fitToHeight="10" orientation="portrait" r:id="rId2"/>
      <headerFooter alignWithMargins="0">
        <oddHeader>&amp;R&amp;12Page &amp;P of &amp;N</oddHeader>
      </headerFooter>
    </customSheetView>
    <customSheetView guid="{4F5BB44A-5460-4358-BCFE-B7FB945BAE1D}" scale="75" showPageBreaks="1" printArea="1" showRuler="0">
      <selection activeCell="D2" sqref="D2"/>
      <rowBreaks count="4" manualBreakCount="4">
        <brk id="70" max="7" man="1"/>
        <brk id="142" max="7" man="1"/>
        <brk id="209" max="7" man="1"/>
        <brk id="286" max="7" man="1"/>
      </rowBreaks>
      <colBreaks count="1" manualBreakCount="1">
        <brk id="8" max="316" man="1"/>
      </colBreaks>
      <pageMargins left="0.25" right="0.25" top="0.75" bottom="0.5" header="0.5" footer="0.5"/>
      <printOptions horizontalCentered="1"/>
      <pageSetup scale="44" fitToHeight="10" orientation="portrait" r:id="rId3"/>
      <headerFooter alignWithMargins="0">
        <oddHeader>&amp;R&amp;12Page &amp;P of &amp;N</oddHeader>
      </headerFooter>
    </customSheetView>
    <customSheetView guid="{C0EA0F9F-7310-4201-82C9-7B8FC8DB9137}" showPageBreaks="1" printArea="1" showRuler="0">
      <pane ySplit="7" topLeftCell="A97" activePane="bottomLeft" state="frozen"/>
      <selection pane="bottomLeft" activeCell="C112" sqref="C112"/>
      <rowBreaks count="4" manualBreakCount="4">
        <brk id="70" max="7" man="1"/>
        <brk id="142" max="7" man="1"/>
        <brk id="209" max="7" man="1"/>
        <brk id="286" max="7" man="1"/>
      </rowBreaks>
      <colBreaks count="1" manualBreakCount="1">
        <brk id="8" max="316" man="1"/>
      </colBreaks>
      <pageMargins left="0.25" right="0.25" top="0.75" bottom="0.5" header="0.5" footer="0.5"/>
      <printOptions horizontalCentered="1"/>
      <pageSetup scale="50" fitToHeight="10" orientation="portrait" r:id="rId4"/>
      <headerFooter alignWithMargins="0">
        <oddHeader>&amp;R&amp;"Arial,Bold"&amp;14Page &amp;P of &amp;N</oddHeader>
      </headerFooter>
    </customSheetView>
    <customSheetView guid="{3BDD6235-B127-4929-8311-BDAF7BB89818}" scale="75" showPageBreaks="1" printArea="1" showRuler="0">
      <selection activeCell="D2" sqref="D2"/>
      <rowBreaks count="4" manualBreakCount="4">
        <brk id="70" max="7" man="1"/>
        <brk id="142" max="7" man="1"/>
        <brk id="209" max="7" man="1"/>
        <brk id="286" max="7" man="1"/>
      </rowBreaks>
      <colBreaks count="1" manualBreakCount="1">
        <brk id="8" max="316" man="1"/>
      </colBreaks>
      <pageMargins left="0.25" right="0.25" top="0.75" bottom="0.5" header="0.5" footer="0.5"/>
      <printOptions horizontalCentered="1"/>
      <pageSetup scale="44" fitToHeight="10" orientation="portrait" r:id="rId5"/>
      <headerFooter alignWithMargins="0">
        <oddHeader>&amp;R&amp;12Page &amp;P of &amp;N</oddHeader>
      </headerFooter>
    </customSheetView>
    <customSheetView guid="{4C8E812F-DAB5-4C49-9682-E5A34DC8C1B4}" scale="60" showPageBreaks="1" printArea="1" view="pageBreakPreview" showRuler="0" topLeftCell="A10">
      <selection activeCell="H42" sqref="H42"/>
      <rowBreaks count="4" manualBreakCount="4">
        <brk id="70" max="7" man="1"/>
        <brk id="142" max="7" man="1"/>
        <brk id="209" max="7" man="1"/>
        <brk id="286" max="7" man="1"/>
      </rowBreaks>
      <colBreaks count="1" manualBreakCount="1">
        <brk id="8" max="316" man="1"/>
      </colBreaks>
      <pageMargins left="0.25" right="0.25" top="0.75" bottom="0.5" header="0.5" footer="0.5"/>
      <printOptions horizontalCentered="1"/>
      <pageSetup scale="25" fitToHeight="10" orientation="portrait" r:id="rId6"/>
      <headerFooter alignWithMargins="0">
        <oddHeader>&amp;R&amp;12Page &amp;P of &amp;N</oddHeader>
      </headerFooter>
    </customSheetView>
  </customSheetViews>
  <mergeCells count="1">
    <mergeCell ref="C314:F314"/>
  </mergeCells>
  <phoneticPr fontId="0" type="noConversion"/>
  <printOptions horizontalCentered="1"/>
  <pageMargins left="0.25" right="0.25" top="0.75" bottom="0.5" header="0.5" footer="0.5"/>
  <pageSetup scale="40" fitToWidth="4" fitToHeight="4" orientation="portrait" r:id="rId7"/>
  <headerFooter alignWithMargins="0"/>
  <rowBreaks count="3" manualBreakCount="3">
    <brk id="109" max="7" man="1"/>
    <brk id="215" max="7" man="1"/>
    <brk id="295" max="7" man="1"/>
  </rowBreaks>
  <ignoredErrors>
    <ignoredError sqref="C320:C322"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45"/>
  <sheetViews>
    <sheetView zoomScaleNormal="100" workbookViewId="0">
      <selection activeCell="H28" sqref="H28"/>
    </sheetView>
  </sheetViews>
  <sheetFormatPr defaultRowHeight="12.75"/>
  <cols>
    <col min="2" max="2" width="1.42578125" customWidth="1"/>
    <col min="3" max="3" width="2.28515625" customWidth="1"/>
    <col min="4" max="4" width="43.42578125" customWidth="1"/>
    <col min="5" max="5" width="19.7109375" customWidth="1"/>
    <col min="6" max="6" width="19.42578125" customWidth="1"/>
    <col min="7" max="7" width="20.5703125" customWidth="1"/>
  </cols>
  <sheetData>
    <row r="1" spans="1:8" ht="18">
      <c r="A1" s="1185" t="str">
        <f>+'ATT H-3D'!A4</f>
        <v>Delmarva Power &amp; Light Company</v>
      </c>
      <c r="B1" s="1185"/>
      <c r="C1" s="1185"/>
      <c r="D1" s="1185"/>
      <c r="E1" s="1185"/>
      <c r="F1" s="1185"/>
    </row>
    <row r="2" spans="1:8">
      <c r="A2" s="305"/>
    </row>
    <row r="3" spans="1:8" ht="15">
      <c r="A3" s="1186" t="s">
        <v>493</v>
      </c>
      <c r="B3" s="1187"/>
      <c r="C3" s="1187"/>
      <c r="D3" s="1187"/>
      <c r="E3" s="1187"/>
      <c r="F3" s="1187"/>
    </row>
    <row r="4" spans="1:8">
      <c r="B4" s="181"/>
      <c r="C4" s="284"/>
      <c r="D4" s="284"/>
    </row>
    <row r="5" spans="1:8">
      <c r="A5" s="181"/>
    </row>
    <row r="6" spans="1:8">
      <c r="E6" s="308"/>
    </row>
    <row r="8" spans="1:8">
      <c r="B8" s="2"/>
      <c r="C8" s="2"/>
      <c r="D8" s="2"/>
      <c r="E8" s="2"/>
      <c r="F8" s="2"/>
      <c r="G8" s="2"/>
      <c r="H8" s="2"/>
    </row>
    <row r="9" spans="1:8">
      <c r="B9" s="309"/>
      <c r="C9" s="309"/>
      <c r="D9" s="309"/>
      <c r="E9" s="309"/>
      <c r="F9" s="309"/>
      <c r="G9" s="309"/>
      <c r="H9" s="2"/>
    </row>
    <row r="10" spans="1:8">
      <c r="B10" s="2"/>
      <c r="C10" s="2"/>
      <c r="D10" s="2"/>
      <c r="E10" s="2"/>
      <c r="F10" s="2"/>
      <c r="G10" s="2"/>
      <c r="H10" s="2"/>
    </row>
    <row r="12" spans="1:8">
      <c r="A12" t="s">
        <v>276</v>
      </c>
    </row>
    <row r="13" spans="1:8">
      <c r="C13" t="s">
        <v>57</v>
      </c>
    </row>
    <row r="14" spans="1:8">
      <c r="A14" s="305">
        <f>+'ATT H-3D'!A180</f>
        <v>101</v>
      </c>
      <c r="B14" s="305">
        <f>+'ATT H-3D'!B182</f>
        <v>0</v>
      </c>
      <c r="C14" s="305" t="str">
        <f>+'ATT H-3D'!C180</f>
        <v xml:space="preserve">    Less LTD Interest on Securitization Bonds</v>
      </c>
      <c r="D14" s="305"/>
      <c r="E14" s="282">
        <v>0</v>
      </c>
      <c r="F14" s="305"/>
    </row>
    <row r="17" spans="1:6">
      <c r="C17" t="s">
        <v>126</v>
      </c>
    </row>
    <row r="18" spans="1:6">
      <c r="A18" s="305">
        <f>+'ATT H-3D'!A196</f>
        <v>112</v>
      </c>
      <c r="C18" s="305" t="str">
        <f>+'ATT H-3D'!C196</f>
        <v xml:space="preserve">      Less LTD on Securitization Bonds</v>
      </c>
      <c r="D18" s="305"/>
      <c r="E18" s="282">
        <v>0</v>
      </c>
      <c r="F18" s="305"/>
    </row>
    <row r="21" spans="1:6">
      <c r="C21" s="2" t="s">
        <v>482</v>
      </c>
      <c r="D21" s="2"/>
      <c r="E21" s="2"/>
    </row>
    <row r="22" spans="1:6">
      <c r="D22" s="282"/>
      <c r="E22" s="282"/>
      <c r="F22" s="282"/>
    </row>
    <row r="23" spans="1:6">
      <c r="D23" s="282"/>
      <c r="E23" s="282"/>
      <c r="F23" s="282"/>
    </row>
    <row r="24" spans="1:6">
      <c r="D24" s="282"/>
      <c r="E24" s="282"/>
      <c r="F24" s="282"/>
    </row>
    <row r="25" spans="1:6">
      <c r="D25" s="282"/>
      <c r="E25" s="282"/>
      <c r="F25" s="282"/>
    </row>
    <row r="26" spans="1:6">
      <c r="D26" s="282"/>
      <c r="E26" s="282"/>
      <c r="F26" s="282"/>
    </row>
    <row r="27" spans="1:6">
      <c r="D27" s="282"/>
      <c r="E27" s="282"/>
      <c r="F27" s="282"/>
    </row>
    <row r="28" spans="1:6">
      <c r="D28" s="282"/>
      <c r="E28" s="282"/>
      <c r="F28" s="282"/>
    </row>
    <row r="29" spans="1:6">
      <c r="D29" s="282"/>
      <c r="E29" s="282"/>
      <c r="F29" s="282"/>
    </row>
    <row r="30" spans="1:6">
      <c r="D30" s="282"/>
      <c r="E30" s="282"/>
      <c r="F30" s="282"/>
    </row>
    <row r="31" spans="1:6">
      <c r="D31" s="282"/>
      <c r="E31" s="282"/>
      <c r="F31" s="282"/>
    </row>
    <row r="32" spans="1:6">
      <c r="D32" s="282"/>
      <c r="E32" s="282"/>
      <c r="F32" s="282"/>
    </row>
    <row r="33" spans="4:6">
      <c r="D33" s="282"/>
      <c r="E33" s="282"/>
      <c r="F33" s="282"/>
    </row>
    <row r="34" spans="4:6">
      <c r="D34" s="282"/>
      <c r="E34" s="282"/>
      <c r="F34" s="282"/>
    </row>
    <row r="35" spans="4:6">
      <c r="D35" s="282"/>
      <c r="E35" s="282"/>
      <c r="F35" s="282"/>
    </row>
    <row r="36" spans="4:6">
      <c r="D36" s="282"/>
      <c r="E36" s="282"/>
      <c r="F36" s="282"/>
    </row>
    <row r="37" spans="4:6">
      <c r="D37" s="282"/>
      <c r="E37" s="282"/>
      <c r="F37" s="282"/>
    </row>
    <row r="38" spans="4:6">
      <c r="D38" s="282"/>
      <c r="E38" s="282"/>
      <c r="F38" s="282"/>
    </row>
    <row r="39" spans="4:6">
      <c r="D39" s="282"/>
      <c r="E39" s="282"/>
      <c r="F39" s="282"/>
    </row>
    <row r="40" spans="4:6">
      <c r="D40" s="282"/>
      <c r="E40" s="282"/>
      <c r="F40" s="282"/>
    </row>
    <row r="41" spans="4:6">
      <c r="D41" s="282"/>
      <c r="E41" s="282"/>
      <c r="F41" s="282"/>
    </row>
    <row r="42" spans="4:6">
      <c r="D42" s="282"/>
      <c r="E42" s="282"/>
      <c r="F42" s="282"/>
    </row>
    <row r="43" spans="4:6">
      <c r="D43" s="282"/>
      <c r="E43" s="282"/>
      <c r="F43" s="282"/>
    </row>
    <row r="44" spans="4:6">
      <c r="D44" s="282"/>
      <c r="E44" s="282"/>
      <c r="F44" s="282"/>
    </row>
    <row r="45" spans="4:6">
      <c r="D45" s="282"/>
      <c r="E45" s="282"/>
      <c r="F45" s="282"/>
    </row>
  </sheetData>
  <customSheetViews>
    <customSheetView guid="{DD59B418-F201-4517-876C-F4216587CC56}" showPageBreaks="1" fitToPage="1" showRuler="0" topLeftCell="A186">
      <pageMargins left="0.75" right="0.75" top="1" bottom="1" header="0.5" footer="0.5"/>
      <pageSetup scale="94" orientation="portrait" r:id="rId1"/>
      <headerFooter alignWithMargins="0"/>
    </customSheetView>
    <customSheetView guid="{6FDC2004-56D4-4E4C-BEEF-80DB64AD0DBB}" scale="60" showPageBreaks="1" fitToPage="1" view="pageBreakPreview" showRuler="0">
      <selection activeCell="F21" sqref="F21"/>
      <pageMargins left="0.75" right="0.75" top="1" bottom="1" header="0.5" footer="0.5"/>
      <pageSetup scale="94" orientation="portrait" r:id="rId2"/>
      <headerFooter alignWithMargins="0">
        <oddHeader>&amp;R&amp;12Page &amp;P of &amp;N</oddHeader>
      </headerFooter>
    </customSheetView>
    <customSheetView guid="{4F5BB44A-5460-4358-BCFE-B7FB945BAE1D}" fitToPage="1" showRuler="0">
      <selection sqref="A1:F1"/>
      <pageMargins left="0.75" right="0.75" top="1" bottom="1" header="0.5" footer="0.5"/>
      <pageSetup scale="94" orientation="portrait" r:id="rId3"/>
      <headerFooter alignWithMargins="0">
        <oddHeader>&amp;R&amp;12Page &amp;P of &amp;N</oddHeader>
      </headerFooter>
    </customSheetView>
    <customSheetView guid="{C0EA0F9F-7310-4201-82C9-7B8FC8DB9137}" fitToPage="1" showRuler="0" topLeftCell="A9">
      <selection activeCell="D21" sqref="D21"/>
      <pageMargins left="0.75" right="0.75" top="1" bottom="1" header="0.5" footer="0.5"/>
      <pageSetup scale="95" orientation="portrait" r:id="rId4"/>
      <headerFooter alignWithMargins="0">
        <oddHeader>&amp;R&amp;14Page &amp;P of &amp;N</oddHeader>
      </headerFooter>
    </customSheetView>
    <customSheetView guid="{3BDD6235-B127-4929-8311-BDAF7BB89818}" showPageBreaks="1" fitToPage="1" showRuler="0">
      <selection sqref="A1:F1"/>
      <pageMargins left="0.75" right="0.75" top="1" bottom="1" header="0.5" footer="0.5"/>
      <pageSetup scale="94" orientation="portrait" r:id="rId5"/>
      <headerFooter alignWithMargins="0">
        <oddHeader>&amp;R&amp;12Page &amp;P of &amp;N</oddHeader>
      </headerFooter>
    </customSheetView>
    <customSheetView guid="{4C8E812F-DAB5-4C49-9682-E5A34DC8C1B4}" showPageBreaks="1" fitToPage="1" showRuler="0">
      <selection sqref="A1:F1"/>
      <pageMargins left="0.75" right="0.75" top="1" bottom="1" header="0.5" footer="0.5"/>
      <pageSetup scale="95" orientation="portrait" r:id="rId6"/>
      <headerFooter alignWithMargins="0">
        <oddHeader>&amp;R&amp;12Page &amp;P of &amp;N</oddHeader>
      </headerFooter>
    </customSheetView>
  </customSheetViews>
  <mergeCells count="2">
    <mergeCell ref="A3:F3"/>
    <mergeCell ref="A1:F1"/>
  </mergeCells>
  <phoneticPr fontId="0" type="noConversion"/>
  <pageMargins left="0.75" right="0.75" top="1" bottom="1" header="0.5" footer="0.5"/>
  <pageSetup scale="95" orientation="portrait" r:id="rId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144"/>
  <sheetViews>
    <sheetView zoomScale="95" zoomScaleNormal="95" workbookViewId="0"/>
  </sheetViews>
  <sheetFormatPr defaultColWidth="9.140625" defaultRowHeight="15"/>
  <cols>
    <col min="1" max="1" width="45.28515625" style="1055" customWidth="1"/>
    <col min="2" max="6" width="20.7109375" style="1060" customWidth="1"/>
    <col min="7" max="7" width="119" style="1055" bestFit="1" customWidth="1"/>
    <col min="8" max="16384" width="9.140625" style="1055"/>
  </cols>
  <sheetData>
    <row r="1" spans="1:189" ht="15.75" customHeight="1">
      <c r="A1" s="1053"/>
      <c r="B1" s="1054"/>
      <c r="C1" s="1054"/>
      <c r="D1" s="1054"/>
      <c r="E1" s="1054"/>
      <c r="F1" s="1054"/>
      <c r="G1" s="1053"/>
    </row>
    <row r="2" spans="1:189" ht="15.75">
      <c r="A2" s="1180" t="s">
        <v>506</v>
      </c>
      <c r="B2" s="1180"/>
      <c r="C2" s="1180"/>
      <c r="D2" s="1180"/>
      <c r="E2" s="1180"/>
      <c r="F2" s="1180"/>
      <c r="G2" s="1180"/>
    </row>
    <row r="3" spans="1:189" ht="20.25">
      <c r="A3" s="1029"/>
      <c r="B3" s="1030"/>
      <c r="C3" s="1030"/>
      <c r="D3" s="1030"/>
      <c r="E3" s="1030"/>
      <c r="F3" s="1030"/>
      <c r="G3" s="1029"/>
      <c r="CP3" s="1181"/>
      <c r="CQ3" s="1181"/>
      <c r="CR3" s="1181"/>
      <c r="CS3" s="1181"/>
      <c r="CT3" s="1181"/>
      <c r="CU3" s="1181"/>
      <c r="CV3" s="1181"/>
      <c r="CW3" s="1181"/>
      <c r="CX3" s="1181"/>
      <c r="CY3" s="1181"/>
      <c r="CZ3" s="1181"/>
      <c r="DA3" s="1181"/>
      <c r="DB3" s="1181"/>
      <c r="DC3" s="1181"/>
      <c r="DD3" s="1181"/>
      <c r="DE3" s="1181"/>
      <c r="DF3" s="1181"/>
      <c r="DG3" s="1181"/>
      <c r="DH3" s="1181"/>
      <c r="DI3" s="1181"/>
      <c r="DJ3" s="1181"/>
      <c r="DK3" s="1181"/>
      <c r="DL3" s="1181"/>
      <c r="DM3" s="1181"/>
      <c r="DN3" s="1181"/>
      <c r="DO3" s="1181"/>
      <c r="DP3" s="1181"/>
      <c r="DQ3" s="1181"/>
      <c r="DR3" s="1181"/>
      <c r="DS3" s="1181"/>
      <c r="DT3" s="1181"/>
      <c r="DU3" s="1181"/>
      <c r="DV3" s="1181"/>
      <c r="DW3" s="1181"/>
      <c r="DX3" s="1181"/>
      <c r="DY3" s="1181"/>
      <c r="DZ3" s="1181"/>
      <c r="EA3" s="1181"/>
      <c r="EB3" s="1181"/>
      <c r="EC3" s="1181"/>
      <c r="ED3" s="1181"/>
      <c r="EE3" s="1181"/>
      <c r="EF3" s="1181"/>
      <c r="EG3" s="1181"/>
      <c r="EH3" s="1181"/>
      <c r="EI3" s="1181"/>
      <c r="EJ3" s="1181"/>
      <c r="EK3" s="1181"/>
      <c r="EL3" s="1181"/>
      <c r="EM3" s="1181"/>
      <c r="EN3" s="1181"/>
      <c r="EO3" s="1181"/>
      <c r="EP3" s="1181"/>
      <c r="EQ3" s="1181"/>
      <c r="ER3" s="1181"/>
      <c r="ES3" s="1181"/>
      <c r="ET3" s="1181"/>
      <c r="EU3" s="1181"/>
      <c r="EV3" s="1181"/>
      <c r="EW3" s="1181"/>
      <c r="EX3" s="1181"/>
      <c r="EY3" s="1181"/>
      <c r="EZ3" s="1181"/>
      <c r="FA3" s="1181"/>
      <c r="FB3" s="1181"/>
      <c r="FC3" s="1181"/>
      <c r="FD3" s="1181"/>
      <c r="FE3" s="1181"/>
      <c r="FF3" s="1181"/>
      <c r="FG3" s="1181"/>
      <c r="FH3" s="1181"/>
      <c r="FI3" s="1181"/>
      <c r="FJ3" s="1181"/>
      <c r="FK3" s="1181"/>
      <c r="FL3" s="1181"/>
      <c r="FM3" s="1181"/>
      <c r="FN3" s="1181"/>
      <c r="FO3" s="1181"/>
      <c r="FP3" s="1181"/>
      <c r="FQ3" s="1181"/>
      <c r="FR3" s="1181"/>
      <c r="FS3" s="1181"/>
      <c r="FT3" s="1181"/>
      <c r="FU3" s="1181"/>
      <c r="FV3" s="1181"/>
      <c r="FW3" s="1181"/>
      <c r="FX3" s="1181"/>
      <c r="FY3" s="1181"/>
      <c r="FZ3" s="1181"/>
      <c r="GA3" s="1181"/>
      <c r="GB3" s="1181"/>
      <c r="GC3" s="1181"/>
      <c r="GD3" s="1181"/>
      <c r="GE3" s="1181"/>
      <c r="GF3" s="1181"/>
      <c r="GG3" s="1181"/>
    </row>
    <row r="4" spans="1:189" ht="18">
      <c r="A4" s="1184" t="s">
        <v>524</v>
      </c>
      <c r="B4" s="1184"/>
      <c r="C4" s="1184"/>
      <c r="D4" s="1184"/>
      <c r="E4" s="1184"/>
      <c r="F4" s="1184"/>
      <c r="G4" s="1184"/>
      <c r="CP4" s="1056"/>
      <c r="CQ4" s="1057"/>
      <c r="CX4" s="1056"/>
      <c r="CY4" s="1057"/>
      <c r="DF4" s="1056"/>
      <c r="DG4" s="1057"/>
      <c r="DN4" s="1056"/>
      <c r="DO4" s="1057"/>
      <c r="DV4" s="1056"/>
      <c r="DW4" s="1057"/>
      <c r="ED4" s="1056"/>
      <c r="EE4" s="1057"/>
      <c r="EL4" s="1056"/>
      <c r="EM4" s="1057"/>
      <c r="ET4" s="1056"/>
      <c r="EU4" s="1057"/>
      <c r="FB4" s="1056"/>
      <c r="FC4" s="1057"/>
      <c r="FJ4" s="1056"/>
      <c r="FK4" s="1057"/>
      <c r="FR4" s="1056"/>
      <c r="FS4" s="1057"/>
      <c r="FZ4" s="1056"/>
      <c r="GA4" s="1057"/>
    </row>
    <row r="5" spans="1:189" ht="18">
      <c r="A5" s="1031"/>
      <c r="B5" s="1031"/>
      <c r="C5" s="1031"/>
      <c r="D5" s="1031"/>
      <c r="E5" s="1031"/>
      <c r="F5" s="1031"/>
      <c r="G5" s="1031"/>
      <c r="CP5" s="1056"/>
      <c r="CQ5" s="1057"/>
      <c r="CX5" s="1056"/>
      <c r="CY5" s="1057"/>
      <c r="DF5" s="1056"/>
      <c r="DG5" s="1057"/>
      <c r="DN5" s="1056"/>
      <c r="DO5" s="1057"/>
      <c r="DV5" s="1056"/>
      <c r="DW5" s="1057"/>
      <c r="ED5" s="1056"/>
      <c r="EE5" s="1057"/>
      <c r="EL5" s="1056"/>
      <c r="EM5" s="1057"/>
      <c r="ET5" s="1056"/>
      <c r="EU5" s="1057"/>
      <c r="FB5" s="1056"/>
      <c r="FC5" s="1057"/>
      <c r="FJ5" s="1056"/>
      <c r="FK5" s="1057"/>
      <c r="FR5" s="1056"/>
      <c r="FS5" s="1057"/>
      <c r="FZ5" s="1056"/>
      <c r="GA5" s="1057"/>
    </row>
    <row r="6" spans="1:189" ht="18">
      <c r="A6" s="1031"/>
      <c r="B6" s="1031"/>
      <c r="C6" s="1031"/>
      <c r="D6" s="1031"/>
      <c r="E6" s="1031"/>
      <c r="F6" s="1031"/>
      <c r="G6" s="1031"/>
      <c r="CP6" s="1056"/>
      <c r="CQ6" s="1057"/>
      <c r="CX6" s="1056"/>
      <c r="CY6" s="1057"/>
      <c r="DF6" s="1056"/>
      <c r="DG6" s="1057"/>
      <c r="DN6" s="1056"/>
      <c r="DO6" s="1057"/>
      <c r="DV6" s="1056"/>
      <c r="DW6" s="1057"/>
      <c r="ED6" s="1056"/>
      <c r="EE6" s="1057"/>
      <c r="EL6" s="1056"/>
      <c r="EM6" s="1057"/>
      <c r="ET6" s="1056"/>
      <c r="EU6" s="1057"/>
      <c r="FB6" s="1056"/>
      <c r="FC6" s="1057"/>
      <c r="FJ6" s="1056"/>
      <c r="FK6" s="1057"/>
      <c r="FR6" s="1056"/>
      <c r="FS6" s="1057"/>
      <c r="FZ6" s="1056"/>
      <c r="GA6" s="1057"/>
    </row>
    <row r="7" spans="1:189">
      <c r="A7" s="895"/>
      <c r="B7" s="889" t="s">
        <v>249</v>
      </c>
      <c r="C7" s="889"/>
      <c r="D7" s="893"/>
      <c r="E7" s="889"/>
      <c r="F7" s="893"/>
      <c r="G7" s="890"/>
      <c r="AL7" s="1058"/>
      <c r="AO7" s="1059"/>
      <c r="AP7" s="1059"/>
      <c r="AR7" s="1059"/>
      <c r="AT7" s="1058"/>
      <c r="AW7" s="1059"/>
      <c r="AX7" s="1059"/>
      <c r="AZ7" s="1059"/>
      <c r="BB7" s="1058"/>
      <c r="BE7" s="1059"/>
      <c r="BF7" s="1059"/>
      <c r="BH7" s="1059"/>
      <c r="BJ7" s="1058"/>
      <c r="BM7" s="1059"/>
      <c r="BN7" s="1059"/>
      <c r="BP7" s="1059"/>
      <c r="BR7" s="1058"/>
      <c r="BU7" s="1059"/>
      <c r="BV7" s="1059"/>
      <c r="BX7" s="1059"/>
      <c r="BZ7" s="1058"/>
      <c r="CC7" s="1059"/>
      <c r="CD7" s="1059"/>
      <c r="CF7" s="1059"/>
      <c r="CH7" s="1058"/>
      <c r="CK7" s="1059"/>
      <c r="CL7" s="1059"/>
      <c r="CN7" s="1059"/>
      <c r="CP7" s="1058"/>
      <c r="CS7" s="1059"/>
      <c r="CT7" s="1059"/>
      <c r="CV7" s="1059"/>
      <c r="CX7" s="1058"/>
      <c r="DA7" s="1059"/>
      <c r="DB7" s="1059"/>
      <c r="DD7" s="1059"/>
      <c r="DF7" s="1058"/>
      <c r="DI7" s="1059"/>
      <c r="DJ7" s="1059"/>
      <c r="DL7" s="1059"/>
      <c r="DN7" s="1058"/>
      <c r="DQ7" s="1059"/>
      <c r="DR7" s="1059"/>
      <c r="DT7" s="1059"/>
      <c r="DV7" s="1058"/>
      <c r="DY7" s="1059"/>
      <c r="DZ7" s="1059"/>
      <c r="EB7" s="1059"/>
    </row>
    <row r="8" spans="1:189">
      <c r="A8" s="890"/>
      <c r="B8" s="889" t="s">
        <v>234</v>
      </c>
      <c r="C8" s="889" t="s">
        <v>245</v>
      </c>
      <c r="D8" s="889" t="s">
        <v>247</v>
      </c>
      <c r="E8" s="889" t="s">
        <v>181</v>
      </c>
      <c r="F8" s="893"/>
      <c r="G8" s="890"/>
      <c r="AL8" s="1058"/>
      <c r="AO8" s="1059"/>
      <c r="AP8" s="1059"/>
      <c r="AQ8" s="1059"/>
      <c r="AR8" s="1059"/>
      <c r="AT8" s="1058"/>
      <c r="AW8" s="1059"/>
      <c r="AX8" s="1059"/>
      <c r="AY8" s="1059"/>
      <c r="AZ8" s="1059"/>
      <c r="BB8" s="1058"/>
      <c r="BE8" s="1059"/>
      <c r="BF8" s="1059"/>
      <c r="BG8" s="1059"/>
      <c r="BH8" s="1059"/>
      <c r="BJ8" s="1058"/>
      <c r="BM8" s="1059"/>
      <c r="BN8" s="1059"/>
      <c r="BO8" s="1059"/>
      <c r="BP8" s="1059"/>
      <c r="BR8" s="1058"/>
      <c r="BU8" s="1059"/>
      <c r="BV8" s="1059"/>
      <c r="BW8" s="1059"/>
      <c r="BX8" s="1059"/>
      <c r="BZ8" s="1058"/>
      <c r="CC8" s="1059"/>
      <c r="CD8" s="1059"/>
      <c r="CE8" s="1059"/>
      <c r="CF8" s="1059"/>
      <c r="CH8" s="1058"/>
      <c r="CK8" s="1059"/>
      <c r="CL8" s="1059"/>
      <c r="CM8" s="1059"/>
      <c r="CN8" s="1059"/>
      <c r="CP8" s="1058"/>
      <c r="CS8" s="1059"/>
      <c r="CT8" s="1059"/>
      <c r="CU8" s="1059"/>
      <c r="CV8" s="1059"/>
      <c r="CX8" s="1058"/>
      <c r="DA8" s="1059"/>
      <c r="DB8" s="1059"/>
      <c r="DC8" s="1059"/>
      <c r="DD8" s="1059"/>
      <c r="DF8" s="1058"/>
      <c r="DI8" s="1059"/>
      <c r="DJ8" s="1059"/>
      <c r="DK8" s="1059"/>
      <c r="DL8" s="1059"/>
      <c r="DN8" s="1058"/>
      <c r="DQ8" s="1059"/>
      <c r="DR8" s="1059"/>
      <c r="DS8" s="1059"/>
      <c r="DT8" s="1059"/>
      <c r="DV8" s="1058"/>
      <c r="DY8" s="1059"/>
      <c r="DZ8" s="1059"/>
      <c r="EA8" s="1059"/>
      <c r="EB8" s="1059"/>
    </row>
    <row r="9" spans="1:189">
      <c r="A9" s="890"/>
      <c r="B9" s="889" t="s">
        <v>246</v>
      </c>
      <c r="C9" s="889" t="s">
        <v>246</v>
      </c>
      <c r="D9" s="889" t="s">
        <v>246</v>
      </c>
      <c r="E9" s="889" t="s">
        <v>255</v>
      </c>
      <c r="F9" s="893"/>
      <c r="G9" s="890"/>
      <c r="AL9" s="1058"/>
      <c r="AO9" s="1059"/>
      <c r="AP9" s="1059"/>
      <c r="AQ9" s="1059"/>
      <c r="AR9" s="1059"/>
      <c r="AT9" s="1058"/>
      <c r="AW9" s="1059"/>
      <c r="AX9" s="1059"/>
      <c r="AY9" s="1059"/>
      <c r="AZ9" s="1059"/>
      <c r="BB9" s="1058"/>
      <c r="BE9" s="1059"/>
      <c r="BF9" s="1059"/>
      <c r="BG9" s="1059"/>
      <c r="BH9" s="1059"/>
      <c r="BJ9" s="1058"/>
      <c r="BM9" s="1059"/>
      <c r="BN9" s="1059"/>
      <c r="BO9" s="1059"/>
      <c r="BP9" s="1059"/>
      <c r="BR9" s="1058"/>
      <c r="BU9" s="1059"/>
      <c r="BV9" s="1059"/>
      <c r="BW9" s="1059"/>
      <c r="BX9" s="1059"/>
      <c r="BZ9" s="1058"/>
      <c r="CC9" s="1059"/>
      <c r="CD9" s="1059"/>
      <c r="CE9" s="1059"/>
      <c r="CF9" s="1059"/>
      <c r="CH9" s="1058"/>
      <c r="CK9" s="1059"/>
      <c r="CL9" s="1059"/>
      <c r="CM9" s="1059"/>
      <c r="CN9" s="1059"/>
      <c r="CP9" s="1058"/>
      <c r="CS9" s="1059"/>
      <c r="CT9" s="1059"/>
      <c r="CU9" s="1059"/>
      <c r="CV9" s="1059"/>
      <c r="CX9" s="1058"/>
      <c r="DA9" s="1059"/>
      <c r="DB9" s="1059"/>
      <c r="DC9" s="1059"/>
      <c r="DD9" s="1059"/>
      <c r="DF9" s="1058"/>
      <c r="DI9" s="1059"/>
      <c r="DJ9" s="1059"/>
      <c r="DK9" s="1059"/>
      <c r="DL9" s="1059"/>
      <c r="DN9" s="1058"/>
      <c r="DQ9" s="1059"/>
      <c r="DR9" s="1059"/>
      <c r="DS9" s="1059"/>
      <c r="DT9" s="1059"/>
      <c r="DV9" s="1058"/>
      <c r="DY9" s="1059"/>
      <c r="DZ9" s="1059"/>
      <c r="EA9" s="1059"/>
      <c r="EB9" s="1059"/>
    </row>
    <row r="10" spans="1:189">
      <c r="A10" s="942"/>
      <c r="B10" s="909"/>
      <c r="C10" s="909"/>
      <c r="D10" s="909"/>
      <c r="E10" s="909"/>
      <c r="F10" s="909"/>
      <c r="G10" s="1032"/>
      <c r="CR10" s="1058"/>
      <c r="CZ10" s="1058"/>
      <c r="DH10" s="1058"/>
      <c r="DP10" s="1058"/>
      <c r="DX10" s="1058"/>
      <c r="EF10" s="1058"/>
      <c r="EN10" s="1058"/>
      <c r="EV10" s="1058"/>
      <c r="FD10" s="1058"/>
      <c r="FL10" s="1058"/>
      <c r="FT10" s="1058"/>
      <c r="GB10" s="1058"/>
    </row>
    <row r="11" spans="1:189">
      <c r="A11" s="894" t="s">
        <v>700</v>
      </c>
      <c r="B11" s="893">
        <f>D76</f>
        <v>0</v>
      </c>
      <c r="C11" s="893">
        <f>E76</f>
        <v>-804963126.8762157</v>
      </c>
      <c r="D11" s="893">
        <f>F76</f>
        <v>0</v>
      </c>
      <c r="E11" s="893">
        <f>SUM(B11:D11)</f>
        <v>-804963126.8762157</v>
      </c>
      <c r="F11" s="909"/>
      <c r="G11" s="1032"/>
      <c r="H11" s="1060"/>
      <c r="I11" s="1060"/>
      <c r="J11" s="1060"/>
      <c r="K11" s="1060"/>
      <c r="L11" s="1060"/>
      <c r="M11" s="1060"/>
      <c r="N11" s="1060"/>
      <c r="CR11" s="1058"/>
      <c r="CS11" s="1061"/>
      <c r="CU11" s="1062"/>
      <c r="CV11" s="1062"/>
      <c r="CW11" s="1062"/>
      <c r="CZ11" s="1058"/>
      <c r="DA11" s="1061"/>
      <c r="DC11" s="1062"/>
      <c r="DD11" s="1062"/>
      <c r="DE11" s="1062"/>
      <c r="DH11" s="1058"/>
      <c r="DI11" s="1061"/>
      <c r="DK11" s="1062"/>
      <c r="DL11" s="1062"/>
      <c r="DM11" s="1062"/>
      <c r="DP11" s="1058"/>
      <c r="DQ11" s="1061"/>
      <c r="DS11" s="1062"/>
      <c r="DT11" s="1062"/>
      <c r="DU11" s="1062"/>
      <c r="DX11" s="1058"/>
      <c r="DY11" s="1061"/>
      <c r="EA11" s="1062"/>
      <c r="EB11" s="1062"/>
      <c r="EC11" s="1062"/>
      <c r="EF11" s="1058"/>
      <c r="EG11" s="1061"/>
      <c r="EI11" s="1062"/>
      <c r="EJ11" s="1062"/>
      <c r="EK11" s="1062"/>
      <c r="EN11" s="1058"/>
      <c r="EO11" s="1061"/>
      <c r="EQ11" s="1062"/>
      <c r="ER11" s="1062"/>
      <c r="ES11" s="1062"/>
      <c r="EV11" s="1058"/>
      <c r="EW11" s="1061"/>
      <c r="EY11" s="1062"/>
      <c r="EZ11" s="1062"/>
      <c r="FA11" s="1062"/>
      <c r="FD11" s="1058"/>
      <c r="FE11" s="1061"/>
      <c r="FG11" s="1062"/>
      <c r="FH11" s="1062"/>
      <c r="FI11" s="1062"/>
      <c r="FL11" s="1058"/>
      <c r="FM11" s="1061"/>
      <c r="FO11" s="1062"/>
      <c r="FP11" s="1062"/>
      <c r="FQ11" s="1062"/>
      <c r="FT11" s="1058"/>
      <c r="FU11" s="1061"/>
      <c r="FW11" s="1062"/>
      <c r="FX11" s="1062"/>
      <c r="FY11" s="1062"/>
      <c r="GB11" s="1058"/>
      <c r="GC11" s="1061"/>
      <c r="GE11" s="1062"/>
      <c r="GF11" s="1062"/>
      <c r="GG11" s="1062"/>
    </row>
    <row r="12" spans="1:189">
      <c r="A12" s="894" t="s">
        <v>237</v>
      </c>
      <c r="B12" s="893">
        <f>D113</f>
        <v>-3835851.227995446</v>
      </c>
      <c r="C12" s="893">
        <f>E113</f>
        <v>-3542120.601784301</v>
      </c>
      <c r="D12" s="893">
        <f>F113</f>
        <v>-76293870.265575111</v>
      </c>
      <c r="E12" s="893">
        <f>SUM(B12:D12)</f>
        <v>-83671842.095354855</v>
      </c>
      <c r="F12" s="909"/>
      <c r="G12" s="1032"/>
      <c r="CR12" s="1058"/>
      <c r="CS12" s="1061"/>
      <c r="CU12" s="1062"/>
      <c r="CV12" s="1062"/>
      <c r="CW12" s="1062"/>
      <c r="CZ12" s="1058"/>
      <c r="DA12" s="1061"/>
      <c r="DC12" s="1062"/>
      <c r="DD12" s="1062"/>
      <c r="DE12" s="1062"/>
      <c r="DH12" s="1058"/>
      <c r="DI12" s="1061"/>
      <c r="DK12" s="1062"/>
      <c r="DL12" s="1062"/>
      <c r="DM12" s="1062"/>
      <c r="DP12" s="1058"/>
      <c r="DQ12" s="1061"/>
      <c r="DS12" s="1062"/>
      <c r="DT12" s="1062"/>
      <c r="DU12" s="1062"/>
      <c r="DX12" s="1058"/>
      <c r="DY12" s="1061"/>
      <c r="EA12" s="1062"/>
      <c r="EB12" s="1062"/>
      <c r="EC12" s="1062"/>
      <c r="EF12" s="1058"/>
      <c r="EG12" s="1061"/>
      <c r="EI12" s="1062"/>
      <c r="EJ12" s="1062"/>
      <c r="EK12" s="1062"/>
      <c r="EN12" s="1058"/>
      <c r="EO12" s="1061"/>
      <c r="EQ12" s="1062"/>
      <c r="ER12" s="1062"/>
      <c r="ES12" s="1062"/>
      <c r="EV12" s="1058"/>
      <c r="EW12" s="1061"/>
      <c r="EY12" s="1062"/>
      <c r="EZ12" s="1062"/>
      <c r="FA12" s="1062"/>
      <c r="FD12" s="1058"/>
      <c r="FE12" s="1061"/>
      <c r="FG12" s="1062"/>
      <c r="FH12" s="1062"/>
      <c r="FI12" s="1062"/>
      <c r="FL12" s="1058"/>
      <c r="FM12" s="1061"/>
      <c r="FO12" s="1062"/>
      <c r="FP12" s="1062"/>
      <c r="FQ12" s="1062"/>
      <c r="FT12" s="1058"/>
      <c r="FU12" s="1061"/>
      <c r="FW12" s="1062"/>
      <c r="FX12" s="1062"/>
      <c r="FY12" s="1062"/>
      <c r="GB12" s="1058"/>
      <c r="GC12" s="1061"/>
      <c r="GE12" s="1062"/>
      <c r="GF12" s="1062"/>
      <c r="GG12" s="1062"/>
    </row>
    <row r="13" spans="1:189">
      <c r="A13" s="894" t="s">
        <v>235</v>
      </c>
      <c r="B13" s="893">
        <f>D47</f>
        <v>4311999.7434194991</v>
      </c>
      <c r="C13" s="893">
        <f>E47</f>
        <v>106126788.98999578</v>
      </c>
      <c r="D13" s="893">
        <f>F47</f>
        <v>7307458.1705641076</v>
      </c>
      <c r="E13" s="893">
        <f>SUM(B13:D13)</f>
        <v>117746246.90397939</v>
      </c>
      <c r="F13" s="909"/>
      <c r="G13" s="1032"/>
      <c r="CR13" s="1058"/>
      <c r="CS13" s="1061"/>
      <c r="CU13" s="1062"/>
      <c r="CV13" s="1062"/>
      <c r="CW13" s="1062"/>
      <c r="CZ13" s="1058"/>
      <c r="DA13" s="1061"/>
      <c r="DC13" s="1062"/>
      <c r="DD13" s="1062"/>
      <c r="DE13" s="1062"/>
      <c r="DH13" s="1058"/>
      <c r="DI13" s="1061"/>
      <c r="DK13" s="1062"/>
      <c r="DL13" s="1062"/>
      <c r="DM13" s="1062"/>
      <c r="DP13" s="1058"/>
      <c r="DQ13" s="1061"/>
      <c r="DS13" s="1062"/>
      <c r="DT13" s="1062"/>
      <c r="DU13" s="1062"/>
      <c r="DX13" s="1058"/>
      <c r="DY13" s="1061"/>
      <c r="EA13" s="1062"/>
      <c r="EB13" s="1062"/>
      <c r="EC13" s="1062"/>
      <c r="EF13" s="1058"/>
      <c r="EG13" s="1061"/>
      <c r="EI13" s="1062"/>
      <c r="EJ13" s="1062"/>
      <c r="EK13" s="1062"/>
      <c r="EN13" s="1058"/>
      <c r="EO13" s="1061"/>
      <c r="EQ13" s="1062"/>
      <c r="ER13" s="1062"/>
      <c r="ES13" s="1062"/>
      <c r="EV13" s="1058"/>
      <c r="EW13" s="1061"/>
      <c r="EY13" s="1062"/>
      <c r="EZ13" s="1062"/>
      <c r="FA13" s="1062"/>
      <c r="FD13" s="1058"/>
      <c r="FE13" s="1061"/>
      <c r="FG13" s="1062"/>
      <c r="FH13" s="1062"/>
      <c r="FI13" s="1062"/>
      <c r="FL13" s="1058"/>
      <c r="FM13" s="1061"/>
      <c r="FO13" s="1062"/>
      <c r="FP13" s="1062"/>
      <c r="FQ13" s="1062"/>
      <c r="FT13" s="1058"/>
      <c r="FU13" s="1061"/>
      <c r="FW13" s="1062"/>
      <c r="FX13" s="1062"/>
      <c r="FY13" s="1062"/>
      <c r="GB13" s="1058"/>
      <c r="GC13" s="1061"/>
      <c r="GE13" s="1062"/>
      <c r="GF13" s="1062"/>
      <c r="GG13" s="1062"/>
    </row>
    <row r="14" spans="1:189">
      <c r="A14" s="894" t="s">
        <v>443</v>
      </c>
      <c r="B14" s="893">
        <f>SUM(B11:B13)</f>
        <v>476148.51542405318</v>
      </c>
      <c r="C14" s="893">
        <f>SUM(C11:C13)</f>
        <v>-702378458.48800421</v>
      </c>
      <c r="D14" s="893">
        <f>SUM(D11:D13)</f>
        <v>-68986412.095010996</v>
      </c>
      <c r="E14" s="893">
        <f>SUM(E11:E13)</f>
        <v>-770888722.06759107</v>
      </c>
      <c r="F14" s="909"/>
      <c r="G14" s="1033"/>
      <c r="CR14" s="1058"/>
      <c r="CS14" s="1061"/>
      <c r="CU14" s="1062"/>
      <c r="CV14" s="1062"/>
      <c r="CW14" s="1062"/>
      <c r="CZ14" s="1058"/>
      <c r="DA14" s="1061"/>
      <c r="DC14" s="1062"/>
      <c r="DD14" s="1062"/>
      <c r="DE14" s="1062"/>
      <c r="DH14" s="1058"/>
      <c r="DI14" s="1061"/>
      <c r="DK14" s="1062"/>
      <c r="DL14" s="1062"/>
      <c r="DM14" s="1062"/>
      <c r="DP14" s="1058"/>
      <c r="DQ14" s="1061"/>
      <c r="DS14" s="1062"/>
      <c r="DT14" s="1062"/>
      <c r="DU14" s="1062"/>
      <c r="DX14" s="1058"/>
      <c r="DY14" s="1061"/>
      <c r="EA14" s="1062"/>
      <c r="EB14" s="1062"/>
      <c r="EC14" s="1062"/>
      <c r="EF14" s="1058"/>
      <c r="EG14" s="1061"/>
      <c r="EI14" s="1062"/>
      <c r="EJ14" s="1062"/>
      <c r="EK14" s="1062"/>
      <c r="EN14" s="1058"/>
      <c r="EO14" s="1061"/>
      <c r="EQ14" s="1062"/>
      <c r="ER14" s="1062"/>
      <c r="ES14" s="1062"/>
      <c r="EV14" s="1058"/>
      <c r="EW14" s="1061"/>
      <c r="EY14" s="1062"/>
      <c r="EZ14" s="1062"/>
      <c r="FA14" s="1062"/>
      <c r="FD14" s="1058"/>
      <c r="FE14" s="1061"/>
      <c r="FG14" s="1062"/>
      <c r="FH14" s="1062"/>
      <c r="FI14" s="1062"/>
      <c r="FL14" s="1058"/>
      <c r="FM14" s="1061"/>
      <c r="FO14" s="1062"/>
      <c r="FP14" s="1062"/>
      <c r="FQ14" s="1062"/>
      <c r="FT14" s="1058"/>
      <c r="FU14" s="1061"/>
      <c r="FW14" s="1062"/>
      <c r="FX14" s="1062"/>
      <c r="FY14" s="1062"/>
      <c r="GB14" s="1058"/>
      <c r="GC14" s="1061"/>
      <c r="GE14" s="1062"/>
      <c r="GF14" s="1062"/>
      <c r="GG14" s="1062"/>
    </row>
    <row r="15" spans="1:189">
      <c r="A15" s="894" t="s">
        <v>146</v>
      </c>
      <c r="B15" s="893"/>
      <c r="C15" s="893"/>
      <c r="D15" s="1034">
        <f>'ATT H-3D'!H16</f>
        <v>8.0514508226294385E-2</v>
      </c>
      <c r="E15" s="893"/>
      <c r="F15" s="909"/>
      <c r="G15" s="1032"/>
      <c r="CR15" s="1058"/>
      <c r="CS15" s="1061"/>
      <c r="CW15" s="1063"/>
      <c r="CZ15" s="1058"/>
      <c r="DA15" s="1061"/>
      <c r="DE15" s="1063"/>
      <c r="DH15" s="1058"/>
      <c r="DI15" s="1061"/>
      <c r="DM15" s="1063"/>
      <c r="DP15" s="1058"/>
      <c r="DQ15" s="1061"/>
      <c r="DU15" s="1063"/>
      <c r="DX15" s="1058"/>
      <c r="DY15" s="1061"/>
      <c r="EC15" s="1063"/>
      <c r="EF15" s="1058"/>
      <c r="EG15" s="1061"/>
      <c r="EK15" s="1063"/>
      <c r="EN15" s="1058"/>
      <c r="EO15" s="1061"/>
      <c r="ES15" s="1063"/>
      <c r="EV15" s="1058"/>
      <c r="EW15" s="1061"/>
      <c r="FA15" s="1063"/>
      <c r="FD15" s="1058"/>
      <c r="FE15" s="1061"/>
      <c r="FI15" s="1063"/>
      <c r="FL15" s="1058"/>
      <c r="FM15" s="1061"/>
      <c r="FQ15" s="1063"/>
      <c r="FT15" s="1058"/>
      <c r="FU15" s="1061"/>
      <c r="FY15" s="1063"/>
      <c r="GB15" s="1058"/>
      <c r="GC15" s="1061"/>
      <c r="GG15" s="1063"/>
    </row>
    <row r="16" spans="1:189">
      <c r="A16" s="894" t="s">
        <v>48</v>
      </c>
      <c r="B16" s="893"/>
      <c r="C16" s="1035">
        <f>'ATT H-3D'!H32</f>
        <v>0.34936689572563268</v>
      </c>
      <c r="D16" s="893"/>
      <c r="E16" s="896"/>
      <c r="F16" s="953"/>
      <c r="G16" s="1033"/>
      <c r="CR16" s="1058"/>
      <c r="CS16" s="1061"/>
      <c r="CV16" s="1063"/>
      <c r="CZ16" s="1058"/>
      <c r="DA16" s="1061"/>
      <c r="DD16" s="1063"/>
      <c r="DH16" s="1058"/>
      <c r="DI16" s="1061"/>
      <c r="DL16" s="1063"/>
      <c r="DP16" s="1058"/>
      <c r="DQ16" s="1061"/>
      <c r="DT16" s="1063"/>
      <c r="DX16" s="1058"/>
      <c r="DY16" s="1061"/>
      <c r="EB16" s="1063"/>
      <c r="EF16" s="1058"/>
      <c r="EG16" s="1061"/>
      <c r="EJ16" s="1063"/>
      <c r="EN16" s="1058"/>
      <c r="EO16" s="1061"/>
      <c r="ER16" s="1063"/>
      <c r="EV16" s="1058"/>
      <c r="EW16" s="1061"/>
      <c r="EZ16" s="1063"/>
      <c r="FD16" s="1058"/>
      <c r="FE16" s="1061"/>
      <c r="FH16" s="1063"/>
      <c r="FL16" s="1058"/>
      <c r="FM16" s="1061"/>
      <c r="FP16" s="1063"/>
      <c r="FT16" s="1058"/>
      <c r="FU16" s="1061"/>
      <c r="FX16" s="1063"/>
      <c r="GB16" s="1058"/>
      <c r="GC16" s="1061"/>
      <c r="GF16" s="1063"/>
    </row>
    <row r="17" spans="1:190">
      <c r="A17" s="894" t="s">
        <v>255</v>
      </c>
      <c r="B17" s="893">
        <f>B14</f>
        <v>476148.51542405318</v>
      </c>
      <c r="C17" s="893">
        <f>C14*C16</f>
        <v>-245387781.66650918</v>
      </c>
      <c r="D17" s="893">
        <f>D14*D15</f>
        <v>-5554407.0441262973</v>
      </c>
      <c r="E17" s="893">
        <f>SUM(B17:D17)</f>
        <v>-250466040.19521144</v>
      </c>
      <c r="F17" s="909"/>
      <c r="G17" s="1032"/>
      <c r="CR17" s="1058"/>
      <c r="CS17" s="1061"/>
      <c r="CU17" s="1062"/>
      <c r="CV17" s="1062"/>
      <c r="CW17" s="1062"/>
      <c r="CX17" s="1062"/>
      <c r="CZ17" s="1058"/>
      <c r="DA17" s="1061"/>
      <c r="DC17" s="1062"/>
      <c r="DD17" s="1062"/>
      <c r="DE17" s="1062"/>
      <c r="DF17" s="1062"/>
      <c r="DH17" s="1058"/>
      <c r="DI17" s="1061"/>
      <c r="DK17" s="1062"/>
      <c r="DL17" s="1062"/>
      <c r="DM17" s="1062"/>
      <c r="DN17" s="1062"/>
      <c r="DP17" s="1058"/>
      <c r="DQ17" s="1061"/>
      <c r="DS17" s="1062"/>
      <c r="DT17" s="1062"/>
      <c r="DU17" s="1062"/>
      <c r="DV17" s="1062"/>
      <c r="DX17" s="1058"/>
      <c r="DY17" s="1061"/>
      <c r="EA17" s="1062"/>
      <c r="EB17" s="1062"/>
      <c r="EC17" s="1062"/>
      <c r="ED17" s="1062"/>
      <c r="EF17" s="1058"/>
      <c r="EG17" s="1061"/>
      <c r="EI17" s="1062"/>
      <c r="EJ17" s="1062"/>
      <c r="EK17" s="1062"/>
      <c r="EL17" s="1062"/>
      <c r="EN17" s="1058"/>
      <c r="EO17" s="1061"/>
      <c r="EQ17" s="1062"/>
      <c r="ER17" s="1062"/>
      <c r="ES17" s="1062"/>
      <c r="ET17" s="1062"/>
      <c r="EV17" s="1058"/>
      <c r="EW17" s="1061"/>
      <c r="EY17" s="1062"/>
      <c r="EZ17" s="1062"/>
      <c r="FA17" s="1062"/>
      <c r="FB17" s="1062"/>
      <c r="FD17" s="1058"/>
      <c r="FE17" s="1061"/>
      <c r="FG17" s="1062"/>
      <c r="FH17" s="1062"/>
      <c r="FI17" s="1062"/>
      <c r="FJ17" s="1062"/>
      <c r="FL17" s="1058"/>
      <c r="FM17" s="1061"/>
      <c r="FO17" s="1062"/>
      <c r="FP17" s="1062"/>
      <c r="FQ17" s="1062"/>
      <c r="FR17" s="1062"/>
      <c r="FT17" s="1058"/>
      <c r="FU17" s="1061"/>
      <c r="FW17" s="1062"/>
      <c r="FX17" s="1062"/>
      <c r="FY17" s="1062"/>
      <c r="FZ17" s="1062"/>
      <c r="GB17" s="1058"/>
      <c r="GC17" s="1061"/>
      <c r="GE17" s="1062"/>
      <c r="GF17" s="1062"/>
      <c r="GG17" s="1062"/>
      <c r="GH17" s="1062"/>
    </row>
    <row r="18" spans="1:190">
      <c r="A18" s="892" t="s">
        <v>181</v>
      </c>
      <c r="B18" s="893"/>
      <c r="C18" s="893"/>
      <c r="D18" s="893"/>
      <c r="E18" s="893"/>
      <c r="F18" s="914"/>
      <c r="G18" s="1033"/>
      <c r="CR18" s="1058"/>
      <c r="CZ18" s="1058"/>
      <c r="DH18" s="1058"/>
      <c r="DP18" s="1058"/>
      <c r="DX18" s="1058"/>
      <c r="EF18" s="1058"/>
      <c r="EN18" s="1058"/>
      <c r="EV18" s="1058"/>
      <c r="FD18" s="1058"/>
      <c r="FL18" s="1058"/>
      <c r="FT18" s="1058"/>
      <c r="GB18" s="1058"/>
    </row>
    <row r="19" spans="1:190">
      <c r="A19" s="1036"/>
      <c r="B19" s="1033"/>
      <c r="C19" s="1033"/>
      <c r="D19" s="1033"/>
      <c r="E19" s="1033"/>
      <c r="F19" s="1037"/>
      <c r="G19" s="1033"/>
      <c r="CR19" s="1058"/>
      <c r="CZ19" s="1058"/>
      <c r="DH19" s="1058"/>
      <c r="DP19" s="1058"/>
      <c r="DX19" s="1058"/>
      <c r="EF19" s="1058"/>
      <c r="EN19" s="1058"/>
      <c r="EV19" s="1058"/>
      <c r="FD19" s="1058"/>
      <c r="FL19" s="1058"/>
      <c r="FT19" s="1058"/>
      <c r="GB19" s="1058"/>
    </row>
    <row r="20" spans="1:190">
      <c r="A20" s="890" t="s">
        <v>445</v>
      </c>
      <c r="B20" s="893"/>
      <c r="C20" s="893"/>
      <c r="D20" s="893"/>
      <c r="E20" s="893"/>
      <c r="F20" s="1033"/>
      <c r="G20" s="1032"/>
      <c r="AL20" s="1058"/>
      <c r="AT20" s="1058"/>
      <c r="BB20" s="1058"/>
      <c r="BJ20" s="1058"/>
      <c r="BR20" s="1058"/>
      <c r="BZ20" s="1058"/>
      <c r="CH20" s="1058"/>
      <c r="CP20" s="1058"/>
      <c r="CX20" s="1058"/>
      <c r="DF20" s="1058"/>
      <c r="DN20" s="1058"/>
      <c r="DV20" s="1058"/>
    </row>
    <row r="21" spans="1:190">
      <c r="A21" s="890"/>
      <c r="B21" s="893"/>
      <c r="C21" s="893" t="s">
        <v>608</v>
      </c>
      <c r="D21" s="898">
        <f>B101</f>
        <v>-4090231.9629676146</v>
      </c>
      <c r="E21" s="893"/>
      <c r="F21" s="1033"/>
      <c r="G21" s="1032"/>
      <c r="CR21" s="1058"/>
      <c r="CV21" s="1062"/>
      <c r="CZ21" s="1058"/>
      <c r="DD21" s="1062"/>
      <c r="DH21" s="1058"/>
      <c r="DL21" s="1062"/>
      <c r="DP21" s="1058"/>
      <c r="DT21" s="1062"/>
      <c r="DX21" s="1058"/>
      <c r="EB21" s="1062"/>
      <c r="EF21" s="1058"/>
      <c r="EJ21" s="1062"/>
      <c r="EN21" s="1058"/>
      <c r="ER21" s="1062"/>
      <c r="EV21" s="1058"/>
      <c r="EZ21" s="1062"/>
      <c r="FD21" s="1058"/>
      <c r="FH21" s="1062"/>
      <c r="FL21" s="1058"/>
      <c r="FP21" s="1062"/>
      <c r="FT21" s="1058"/>
      <c r="FX21" s="1062"/>
      <c r="GB21" s="1058"/>
      <c r="GF21" s="1062"/>
    </row>
    <row r="22" spans="1:190">
      <c r="A22" s="890"/>
      <c r="B22" s="893"/>
      <c r="C22" s="893"/>
      <c r="D22" s="893"/>
      <c r="E22" s="893"/>
      <c r="F22" s="909"/>
      <c r="G22" s="1032"/>
      <c r="CR22" s="1058"/>
      <c r="CV22" s="1062"/>
      <c r="CZ22" s="1058"/>
      <c r="DD22" s="1062"/>
      <c r="DH22" s="1058"/>
      <c r="DL22" s="1062"/>
      <c r="DP22" s="1058"/>
      <c r="DT22" s="1062"/>
      <c r="DX22" s="1058"/>
      <c r="EB22" s="1062"/>
      <c r="EF22" s="1058"/>
      <c r="EJ22" s="1062"/>
      <c r="EN22" s="1058"/>
      <c r="ER22" s="1062"/>
      <c r="EV22" s="1058"/>
      <c r="EZ22" s="1062"/>
      <c r="FD22" s="1058"/>
      <c r="FH22" s="1062"/>
      <c r="FL22" s="1058"/>
      <c r="FP22" s="1062"/>
      <c r="FT22" s="1058"/>
      <c r="FX22" s="1062"/>
      <c r="GB22" s="1058"/>
      <c r="GF22" s="1062"/>
    </row>
    <row r="23" spans="1:190">
      <c r="A23" s="913" t="s">
        <v>444</v>
      </c>
      <c r="B23" s="915"/>
      <c r="C23" s="909"/>
      <c r="D23" s="909"/>
      <c r="E23" s="909"/>
      <c r="F23" s="909"/>
      <c r="G23" s="1032"/>
    </row>
    <row r="24" spans="1:190">
      <c r="A24" s="913" t="s">
        <v>575</v>
      </c>
      <c r="B24" s="915"/>
      <c r="C24" s="909"/>
      <c r="D24" s="909"/>
      <c r="E24" s="909"/>
      <c r="F24" s="909"/>
      <c r="G24" s="1032"/>
    </row>
    <row r="25" spans="1:190" ht="15" customHeight="1">
      <c r="A25" s="1058"/>
      <c r="B25" s="1064"/>
    </row>
    <row r="26" spans="1:190">
      <c r="A26" s="897" t="s">
        <v>68</v>
      </c>
      <c r="B26" s="891" t="s">
        <v>182</v>
      </c>
      <c r="C26" s="891" t="s">
        <v>46</v>
      </c>
      <c r="D26" s="891" t="s">
        <v>69</v>
      </c>
      <c r="E26" s="891" t="s">
        <v>67</v>
      </c>
      <c r="F26" s="891" t="s">
        <v>340</v>
      </c>
      <c r="G26" s="1065" t="s">
        <v>70</v>
      </c>
    </row>
    <row r="27" spans="1:190">
      <c r="A27" s="894" t="s">
        <v>235</v>
      </c>
      <c r="B27" s="889" t="s">
        <v>181</v>
      </c>
      <c r="C27" s="889" t="s">
        <v>248</v>
      </c>
      <c r="D27" s="889" t="s">
        <v>249</v>
      </c>
      <c r="E27" s="889"/>
      <c r="F27" s="889"/>
      <c r="G27" s="890"/>
    </row>
    <row r="28" spans="1:190">
      <c r="A28" s="890"/>
      <c r="B28" s="889"/>
      <c r="C28" s="889" t="s">
        <v>612</v>
      </c>
      <c r="D28" s="889" t="s">
        <v>234</v>
      </c>
      <c r="E28" s="889" t="s">
        <v>245</v>
      </c>
      <c r="F28" s="889" t="s">
        <v>247</v>
      </c>
      <c r="G28" s="890"/>
    </row>
    <row r="29" spans="1:190">
      <c r="A29" s="890"/>
      <c r="B29" s="889"/>
      <c r="C29" s="889" t="s">
        <v>692</v>
      </c>
      <c r="D29" s="889" t="s">
        <v>246</v>
      </c>
      <c r="E29" s="889" t="s">
        <v>246</v>
      </c>
      <c r="F29" s="889" t="s">
        <v>246</v>
      </c>
      <c r="G29" s="888" t="s">
        <v>617</v>
      </c>
    </row>
    <row r="30" spans="1:190" ht="45">
      <c r="A30" s="899" t="s">
        <v>500</v>
      </c>
      <c r="B30" s="900">
        <f>SUM(C30:F30)</f>
        <v>8228112.4145775046</v>
      </c>
      <c r="C30" s="900">
        <v>8228112.4145775046</v>
      </c>
      <c r="D30" s="900">
        <v>0</v>
      </c>
      <c r="E30" s="900">
        <v>0</v>
      </c>
      <c r="F30" s="900">
        <v>0</v>
      </c>
      <c r="G30" s="901" t="s">
        <v>693</v>
      </c>
    </row>
    <row r="31" spans="1:190" ht="30">
      <c r="A31" s="899" t="s">
        <v>629</v>
      </c>
      <c r="B31" s="900">
        <f t="shared" ref="B31:B43" si="0">SUM(C31:F31)</f>
        <v>1354594.8549669436</v>
      </c>
      <c r="C31" s="900">
        <v>1354594.8549669436</v>
      </c>
      <c r="D31" s="900">
        <v>0</v>
      </c>
      <c r="E31" s="900">
        <v>0</v>
      </c>
      <c r="F31" s="900">
        <v>0</v>
      </c>
      <c r="G31" s="901" t="s">
        <v>694</v>
      </c>
    </row>
    <row r="32" spans="1:190" ht="30">
      <c r="A32" s="899" t="s">
        <v>613</v>
      </c>
      <c r="B32" s="900">
        <f t="shared" si="0"/>
        <v>1098177.874702788</v>
      </c>
      <c r="C32" s="900">
        <v>153744.90245839034</v>
      </c>
      <c r="D32" s="900">
        <v>0</v>
      </c>
      <c r="E32" s="900">
        <v>944432.97224439762</v>
      </c>
      <c r="F32" s="900">
        <v>0</v>
      </c>
      <c r="G32" s="901" t="s">
        <v>778</v>
      </c>
    </row>
    <row r="33" spans="1:192" ht="60">
      <c r="A33" s="899" t="s">
        <v>504</v>
      </c>
      <c r="B33" s="900">
        <f t="shared" si="0"/>
        <v>1698120.23</v>
      </c>
      <c r="C33" s="900">
        <v>237736.83220000003</v>
      </c>
      <c r="D33" s="900">
        <v>0</v>
      </c>
      <c r="E33" s="900">
        <v>1460383.3977999999</v>
      </c>
      <c r="F33" s="900">
        <v>0</v>
      </c>
      <c r="G33" s="901" t="s">
        <v>779</v>
      </c>
    </row>
    <row r="34" spans="1:192" ht="30">
      <c r="A34" s="899" t="s">
        <v>501</v>
      </c>
      <c r="B34" s="900">
        <f t="shared" si="0"/>
        <v>1354432.1587852554</v>
      </c>
      <c r="C34" s="900">
        <v>1354432.1587852554</v>
      </c>
      <c r="D34" s="900">
        <v>0</v>
      </c>
      <c r="E34" s="900">
        <v>0</v>
      </c>
      <c r="F34" s="900">
        <v>0</v>
      </c>
      <c r="G34" s="901" t="s">
        <v>695</v>
      </c>
    </row>
    <row r="35" spans="1:192" ht="165">
      <c r="A35" s="899" t="s">
        <v>746</v>
      </c>
      <c r="B35" s="900">
        <f t="shared" si="0"/>
        <v>6099285.1847783178</v>
      </c>
      <c r="C35" s="900">
        <v>6099285.1847783178</v>
      </c>
      <c r="D35" s="900">
        <v>0</v>
      </c>
      <c r="E35" s="900">
        <v>0</v>
      </c>
      <c r="F35" s="900">
        <v>0</v>
      </c>
      <c r="G35" s="901" t="s">
        <v>747</v>
      </c>
    </row>
    <row r="36" spans="1:192" ht="45">
      <c r="A36" s="899" t="s">
        <v>530</v>
      </c>
      <c r="B36" s="900">
        <f t="shared" si="0"/>
        <v>7544898.8459268454</v>
      </c>
      <c r="C36" s="900">
        <v>1056285.8384297586</v>
      </c>
      <c r="D36" s="900">
        <v>0</v>
      </c>
      <c r="E36" s="900">
        <v>0</v>
      </c>
      <c r="F36" s="900">
        <v>6488613.0074970871</v>
      </c>
      <c r="G36" s="901" t="s">
        <v>780</v>
      </c>
    </row>
    <row r="37" spans="1:192" s="1066" customFormat="1" ht="21" customHeight="1">
      <c r="A37" s="899" t="s">
        <v>748</v>
      </c>
      <c r="B37" s="900">
        <f t="shared" si="0"/>
        <v>1228031.6115368162</v>
      </c>
      <c r="C37" s="900">
        <v>499422.93063074874</v>
      </c>
      <c r="D37" s="900">
        <v>0</v>
      </c>
      <c r="E37" s="900">
        <v>6296.1562308556358</v>
      </c>
      <c r="F37" s="900">
        <v>722312.52467521199</v>
      </c>
      <c r="G37" s="901" t="s">
        <v>781</v>
      </c>
    </row>
    <row r="38" spans="1:192" ht="19.5" customHeight="1">
      <c r="A38" s="899" t="s">
        <v>749</v>
      </c>
      <c r="B38" s="900">
        <f t="shared" si="0"/>
        <v>7657146.0998708103</v>
      </c>
      <c r="C38" s="900">
        <v>1072000.4539819136</v>
      </c>
      <c r="D38" s="900">
        <v>0</v>
      </c>
      <c r="E38" s="900">
        <v>0</v>
      </c>
      <c r="F38" s="900">
        <v>6585145.6458888967</v>
      </c>
      <c r="G38" s="901" t="s">
        <v>782</v>
      </c>
    </row>
    <row r="39" spans="1:192" ht="30">
      <c r="A39" s="899" t="s">
        <v>750</v>
      </c>
      <c r="B39" s="900">
        <f t="shared" si="0"/>
        <v>4311999.7434194991</v>
      </c>
      <c r="C39" s="900">
        <v>0</v>
      </c>
      <c r="D39" s="900">
        <v>4311999.7434194991</v>
      </c>
      <c r="E39" s="900">
        <v>0</v>
      </c>
      <c r="F39" s="900">
        <v>0</v>
      </c>
      <c r="G39" s="901" t="s">
        <v>719</v>
      </c>
    </row>
    <row r="40" spans="1:192">
      <c r="A40" s="899" t="s">
        <v>751</v>
      </c>
      <c r="B40" s="900">
        <f t="shared" si="0"/>
        <v>5382024.8551392425</v>
      </c>
      <c r="C40" s="900">
        <v>5382024.8551392425</v>
      </c>
      <c r="D40" s="900">
        <v>0</v>
      </c>
      <c r="E40" s="900">
        <v>0</v>
      </c>
      <c r="F40" s="900">
        <v>0</v>
      </c>
      <c r="G40" s="901" t="s">
        <v>33</v>
      </c>
    </row>
    <row r="41" spans="1:192">
      <c r="A41" s="899" t="s">
        <v>752</v>
      </c>
      <c r="B41" s="900">
        <f t="shared" si="0"/>
        <v>4958288.6778839026</v>
      </c>
      <c r="C41" s="900">
        <v>4958288.6778839026</v>
      </c>
      <c r="D41" s="900">
        <v>0</v>
      </c>
      <c r="E41" s="900">
        <v>0</v>
      </c>
      <c r="F41" s="900">
        <v>0</v>
      </c>
      <c r="G41" s="901" t="s">
        <v>853</v>
      </c>
    </row>
    <row r="42" spans="1:192" ht="60">
      <c r="A42" s="899" t="s">
        <v>753</v>
      </c>
      <c r="B42" s="900">
        <f t="shared" si="0"/>
        <v>821761.28864836134</v>
      </c>
      <c r="C42" s="900">
        <v>115046.58041077059</v>
      </c>
      <c r="D42" s="900">
        <v>0</v>
      </c>
      <c r="E42" s="900">
        <v>706714.70823759073</v>
      </c>
      <c r="F42" s="900">
        <v>0</v>
      </c>
      <c r="G42" s="901" t="s">
        <v>783</v>
      </c>
    </row>
    <row r="43" spans="1:192" ht="45">
      <c r="A43" s="899" t="s">
        <v>697</v>
      </c>
      <c r="B43" s="900">
        <f t="shared" si="0"/>
        <v>122297744.02502385</v>
      </c>
      <c r="C43" s="900">
        <v>17121684.163503341</v>
      </c>
      <c r="D43" s="900">
        <v>0</v>
      </c>
      <c r="E43" s="900">
        <v>105176059.86152051</v>
      </c>
      <c r="F43" s="900">
        <v>0</v>
      </c>
      <c r="G43" s="901" t="s">
        <v>784</v>
      </c>
    </row>
    <row r="44" spans="1:192" ht="21" customHeight="1">
      <c r="A44" s="919" t="s">
        <v>254</v>
      </c>
      <c r="B44" s="917">
        <f>SUM(C44:F44)</f>
        <v>174034617.86526012</v>
      </c>
      <c r="C44" s="917">
        <f>SUM(C30:C43)</f>
        <v>47632659.847746089</v>
      </c>
      <c r="D44" s="917">
        <f>SUM(D30:D43)</f>
        <v>4311999.7434194991</v>
      </c>
      <c r="E44" s="917">
        <f>SUM(E30:E43)</f>
        <v>108293887.09603336</v>
      </c>
      <c r="F44" s="917">
        <f>SUM(F30:F43)</f>
        <v>13796071.178061195</v>
      </c>
      <c r="G44" s="920"/>
    </row>
    <row r="45" spans="1:192" ht="21" customHeight="1">
      <c r="A45" s="919" t="s">
        <v>515</v>
      </c>
      <c r="B45" s="917">
        <f>SUM(C45:F45)</f>
        <v>2519881.5186483613</v>
      </c>
      <c r="C45" s="900">
        <f>C33+C42</f>
        <v>352783.41261077061</v>
      </c>
      <c r="D45" s="900">
        <f>D33+D42</f>
        <v>0</v>
      </c>
      <c r="E45" s="900">
        <f>E33+E42</f>
        <v>2167098.1060375907</v>
      </c>
      <c r="F45" s="900">
        <f>F33+F42</f>
        <v>0</v>
      </c>
      <c r="G45" s="901"/>
    </row>
    <row r="46" spans="1:192" ht="21" customHeight="1">
      <c r="A46" s="919" t="s">
        <v>516</v>
      </c>
      <c r="B46" s="917">
        <f>SUM(C46:F46)</f>
        <v>7544898.8459268454</v>
      </c>
      <c r="C46" s="900">
        <f>C36</f>
        <v>1056285.8384297586</v>
      </c>
      <c r="D46" s="900">
        <f>D36</f>
        <v>0</v>
      </c>
      <c r="E46" s="900">
        <f>E36</f>
        <v>0</v>
      </c>
      <c r="F46" s="900">
        <f>F36</f>
        <v>6488613.0074970871</v>
      </c>
      <c r="G46" s="901"/>
    </row>
    <row r="47" spans="1:192" ht="21" customHeight="1">
      <c r="A47" s="919" t="s">
        <v>181</v>
      </c>
      <c r="B47" s="917">
        <f>SUM(C47:F47)</f>
        <v>163969837.50068495</v>
      </c>
      <c r="C47" s="917">
        <f>C44-C45-C46</f>
        <v>46223590.596705563</v>
      </c>
      <c r="D47" s="917">
        <f>D44-D45-D46</f>
        <v>4311999.7434194991</v>
      </c>
      <c r="E47" s="917">
        <f>E44-E45-E46</f>
        <v>106126788.98999578</v>
      </c>
      <c r="F47" s="917">
        <f>F44-F45-F46</f>
        <v>7307458.1705641076</v>
      </c>
      <c r="G47" s="918"/>
    </row>
    <row r="48" spans="1:192" s="1067" customFormat="1" ht="21" customHeight="1">
      <c r="A48" s="923"/>
      <c r="B48" s="917"/>
      <c r="C48" s="917"/>
      <c r="D48" s="917"/>
      <c r="E48" s="917"/>
      <c r="F48" s="917"/>
      <c r="G48" s="924"/>
      <c r="H48" s="1055"/>
      <c r="I48" s="1055"/>
      <c r="J48" s="1055"/>
      <c r="K48" s="1055"/>
      <c r="L48" s="1055"/>
      <c r="M48" s="1055"/>
      <c r="N48" s="1055"/>
      <c r="O48" s="1055"/>
      <c r="P48" s="1055"/>
      <c r="Q48" s="1055"/>
      <c r="R48" s="1055"/>
      <c r="S48" s="1055"/>
      <c r="T48" s="1055"/>
      <c r="U48" s="1055"/>
      <c r="V48" s="1055"/>
      <c r="W48" s="1055"/>
      <c r="X48" s="1055"/>
      <c r="Y48" s="1055"/>
      <c r="Z48" s="1055"/>
      <c r="AA48" s="1055"/>
      <c r="AB48" s="1055"/>
      <c r="AC48" s="1055"/>
      <c r="AD48" s="1055"/>
      <c r="AE48" s="1055"/>
      <c r="AF48" s="1055"/>
      <c r="AG48" s="1055"/>
      <c r="AH48" s="1055"/>
      <c r="AI48" s="1055"/>
      <c r="AJ48" s="1055"/>
      <c r="AK48" s="1055"/>
      <c r="AL48" s="1055"/>
      <c r="AM48" s="1055"/>
      <c r="AN48" s="1055"/>
      <c r="AO48" s="1055"/>
      <c r="AP48" s="1055"/>
      <c r="AQ48" s="1055"/>
      <c r="AR48" s="1055"/>
      <c r="AS48" s="1055"/>
      <c r="AT48" s="1055"/>
      <c r="AU48" s="1055"/>
      <c r="AV48" s="1055"/>
      <c r="AW48" s="1055"/>
      <c r="AX48" s="1055"/>
      <c r="AY48" s="1055"/>
      <c r="AZ48" s="1055"/>
      <c r="BA48" s="1055"/>
      <c r="BB48" s="1055"/>
      <c r="BC48" s="1055"/>
      <c r="BD48" s="1055"/>
      <c r="BE48" s="1055"/>
      <c r="BF48" s="1055"/>
      <c r="BG48" s="1055"/>
      <c r="BH48" s="1055"/>
      <c r="BI48" s="1055"/>
      <c r="BJ48" s="1055"/>
      <c r="BK48" s="1055"/>
      <c r="BL48" s="1055"/>
      <c r="BM48" s="1055"/>
      <c r="BN48" s="1055"/>
      <c r="BO48" s="1055"/>
      <c r="BP48" s="1055"/>
      <c r="BQ48" s="1055"/>
      <c r="BR48" s="1055"/>
      <c r="BS48" s="1055"/>
      <c r="BT48" s="1055"/>
      <c r="BU48" s="1055"/>
      <c r="BV48" s="1055"/>
      <c r="BW48" s="1055"/>
      <c r="BX48" s="1055"/>
      <c r="BY48" s="1055"/>
      <c r="BZ48" s="1055"/>
      <c r="CA48" s="1055"/>
      <c r="CB48" s="1055"/>
      <c r="CC48" s="1055"/>
      <c r="CD48" s="1055"/>
      <c r="CE48" s="1055"/>
      <c r="CF48" s="1055"/>
      <c r="CG48" s="1055"/>
      <c r="CH48" s="1055"/>
      <c r="CI48" s="1055"/>
      <c r="CJ48" s="1055"/>
      <c r="CK48" s="1055"/>
      <c r="CL48" s="1055"/>
      <c r="CM48" s="1055"/>
      <c r="CN48" s="1055"/>
      <c r="CO48" s="1055"/>
      <c r="CP48" s="1055"/>
      <c r="CQ48" s="1055"/>
      <c r="CR48" s="1055"/>
      <c r="CS48" s="1055"/>
      <c r="CT48" s="1055"/>
      <c r="CU48" s="1055"/>
      <c r="CV48" s="1055"/>
      <c r="CW48" s="1055"/>
      <c r="CX48" s="1055"/>
      <c r="CY48" s="1055"/>
      <c r="CZ48" s="1055"/>
      <c r="DA48" s="1055"/>
      <c r="DB48" s="1055"/>
      <c r="DC48" s="1055"/>
      <c r="DD48" s="1055"/>
      <c r="DE48" s="1055"/>
      <c r="DF48" s="1055"/>
      <c r="DG48" s="1055"/>
      <c r="DH48" s="1055"/>
      <c r="DI48" s="1055"/>
      <c r="DJ48" s="1055"/>
      <c r="DK48" s="1055"/>
      <c r="DL48" s="1055"/>
      <c r="DM48" s="1055"/>
      <c r="DN48" s="1055"/>
      <c r="DO48" s="1055"/>
      <c r="DP48" s="1055"/>
      <c r="DQ48" s="1055"/>
      <c r="DR48" s="1055"/>
      <c r="DS48" s="1055"/>
      <c r="DT48" s="1055"/>
      <c r="DU48" s="1055"/>
      <c r="DV48" s="1055"/>
      <c r="DW48" s="1055"/>
      <c r="DX48" s="1055"/>
      <c r="DY48" s="1055"/>
      <c r="DZ48" s="1055"/>
      <c r="EA48" s="1055"/>
      <c r="EB48" s="1055"/>
      <c r="EC48" s="1055"/>
      <c r="ED48" s="1055"/>
      <c r="EE48" s="1055"/>
      <c r="EF48" s="1055"/>
      <c r="EG48" s="1055"/>
      <c r="EH48" s="1055"/>
      <c r="EI48" s="1055"/>
      <c r="EJ48" s="1055"/>
      <c r="EK48" s="1055"/>
      <c r="EL48" s="1055"/>
      <c r="EM48" s="1055"/>
      <c r="EN48" s="1055"/>
      <c r="EO48" s="1055"/>
      <c r="EP48" s="1055"/>
      <c r="EQ48" s="1055"/>
      <c r="ER48" s="1055"/>
      <c r="ES48" s="1055"/>
      <c r="ET48" s="1055"/>
      <c r="EU48" s="1055"/>
      <c r="EV48" s="1055"/>
      <c r="EW48" s="1055"/>
      <c r="EX48" s="1055"/>
      <c r="EY48" s="1055"/>
      <c r="EZ48" s="1055"/>
      <c r="FA48" s="1055"/>
      <c r="FB48" s="1055"/>
      <c r="FC48" s="1055"/>
      <c r="FD48" s="1055"/>
      <c r="FE48" s="1055"/>
      <c r="FF48" s="1055"/>
      <c r="FG48" s="1055"/>
      <c r="FH48" s="1055"/>
      <c r="FI48" s="1055"/>
      <c r="FJ48" s="1055"/>
      <c r="FK48" s="1055"/>
      <c r="FL48" s="1055"/>
      <c r="FM48" s="1055"/>
      <c r="FN48" s="1055"/>
      <c r="FO48" s="1055"/>
      <c r="FP48" s="1055"/>
      <c r="FQ48" s="1055"/>
      <c r="FR48" s="1055"/>
      <c r="FS48" s="1055"/>
      <c r="FT48" s="1055"/>
      <c r="FU48" s="1055"/>
      <c r="FV48" s="1055"/>
      <c r="FW48" s="1055"/>
      <c r="FX48" s="1055"/>
      <c r="FY48" s="1055"/>
      <c r="FZ48" s="1055"/>
      <c r="GA48" s="1055"/>
      <c r="GB48" s="1055"/>
      <c r="GC48" s="1055"/>
      <c r="GD48" s="1055"/>
      <c r="GE48" s="1055"/>
      <c r="GF48" s="1055"/>
      <c r="GG48" s="1055"/>
      <c r="GH48" s="1055"/>
      <c r="GI48" s="1055"/>
      <c r="GJ48" s="1055"/>
    </row>
    <row r="49" spans="1:192" s="1067" customFormat="1" ht="21" customHeight="1">
      <c r="A49" s="1056"/>
      <c r="B49" s="1060"/>
      <c r="C49" s="1060"/>
      <c r="D49" s="1060"/>
      <c r="E49" s="1060"/>
      <c r="F49" s="1060"/>
      <c r="G49" s="1068"/>
      <c r="H49" s="1055"/>
      <c r="I49" s="1055"/>
      <c r="J49" s="1055"/>
      <c r="K49" s="1055"/>
      <c r="L49" s="1055"/>
      <c r="M49" s="1055"/>
      <c r="N49" s="1055"/>
      <c r="O49" s="1055"/>
      <c r="P49" s="1055"/>
      <c r="Q49" s="1055"/>
      <c r="R49" s="1055"/>
      <c r="S49" s="1055"/>
      <c r="T49" s="1055"/>
      <c r="U49" s="1055"/>
      <c r="V49" s="1055"/>
      <c r="W49" s="1055"/>
      <c r="X49" s="1055"/>
      <c r="Y49" s="1055"/>
      <c r="Z49" s="1055"/>
      <c r="AA49" s="1055"/>
      <c r="AB49" s="1055"/>
      <c r="AC49" s="1055"/>
      <c r="AD49" s="1055"/>
      <c r="AE49" s="1055"/>
      <c r="AF49" s="1055"/>
      <c r="AG49" s="1055"/>
      <c r="AH49" s="1055"/>
      <c r="AI49" s="1055"/>
      <c r="AJ49" s="1055"/>
      <c r="AK49" s="1055"/>
      <c r="AL49" s="1055"/>
      <c r="AM49" s="1055"/>
      <c r="AN49" s="1055"/>
      <c r="AO49" s="1055"/>
      <c r="AP49" s="1055"/>
      <c r="AQ49" s="1055"/>
      <c r="AR49" s="1055"/>
      <c r="AS49" s="1055"/>
      <c r="AT49" s="1055"/>
      <c r="AU49" s="1055"/>
      <c r="AV49" s="1055"/>
      <c r="AW49" s="1055"/>
      <c r="AX49" s="1055"/>
      <c r="AY49" s="1055"/>
      <c r="AZ49" s="1055"/>
      <c r="BA49" s="1055"/>
      <c r="BB49" s="1055"/>
      <c r="BC49" s="1055"/>
      <c r="BD49" s="1055"/>
      <c r="BE49" s="1055"/>
      <c r="BF49" s="1055"/>
      <c r="BG49" s="1055"/>
      <c r="BH49" s="1055"/>
      <c r="BI49" s="1055"/>
      <c r="BJ49" s="1055"/>
      <c r="BK49" s="1055"/>
      <c r="BL49" s="1055"/>
      <c r="BM49" s="1055"/>
      <c r="BN49" s="1055"/>
      <c r="BO49" s="1055"/>
      <c r="BP49" s="1055"/>
      <c r="BQ49" s="1055"/>
      <c r="BR49" s="1055"/>
      <c r="BS49" s="1055"/>
      <c r="BT49" s="1055"/>
      <c r="BU49" s="1055"/>
      <c r="BV49" s="1055"/>
      <c r="BW49" s="1055"/>
      <c r="BX49" s="1055"/>
      <c r="BY49" s="1055"/>
      <c r="BZ49" s="1055"/>
      <c r="CA49" s="1055"/>
      <c r="CB49" s="1055"/>
      <c r="CC49" s="1055"/>
      <c r="CD49" s="1055"/>
      <c r="CE49" s="1055"/>
      <c r="CF49" s="1055"/>
      <c r="CG49" s="1055"/>
      <c r="CH49" s="1055"/>
      <c r="CI49" s="1055"/>
      <c r="CJ49" s="1055"/>
      <c r="CK49" s="1055"/>
      <c r="CL49" s="1055"/>
      <c r="CM49" s="1055"/>
      <c r="CN49" s="1055"/>
      <c r="CO49" s="1055"/>
      <c r="CP49" s="1055"/>
      <c r="CQ49" s="1055"/>
      <c r="CR49" s="1055"/>
      <c r="CS49" s="1055"/>
      <c r="CT49" s="1055"/>
      <c r="CU49" s="1055"/>
      <c r="CV49" s="1055"/>
      <c r="CW49" s="1055"/>
      <c r="CX49" s="1055"/>
      <c r="CY49" s="1055"/>
      <c r="CZ49" s="1055"/>
      <c r="DA49" s="1055"/>
      <c r="DB49" s="1055"/>
      <c r="DC49" s="1055"/>
      <c r="DD49" s="1055"/>
      <c r="DE49" s="1055"/>
      <c r="DF49" s="1055"/>
      <c r="DG49" s="1055"/>
      <c r="DH49" s="1055"/>
      <c r="DI49" s="1055"/>
      <c r="DJ49" s="1055"/>
      <c r="DK49" s="1055"/>
      <c r="DL49" s="1055"/>
      <c r="DM49" s="1055"/>
      <c r="DN49" s="1055"/>
      <c r="DO49" s="1055"/>
      <c r="DP49" s="1055"/>
      <c r="DQ49" s="1055"/>
      <c r="DR49" s="1055"/>
      <c r="DS49" s="1055"/>
      <c r="DT49" s="1055"/>
      <c r="DU49" s="1055"/>
      <c r="DV49" s="1055"/>
      <c r="DW49" s="1055"/>
      <c r="DX49" s="1055"/>
      <c r="DY49" s="1055"/>
      <c r="DZ49" s="1055"/>
      <c r="EA49" s="1055"/>
      <c r="EB49" s="1055"/>
      <c r="EC49" s="1055"/>
      <c r="ED49" s="1055"/>
      <c r="EE49" s="1055"/>
      <c r="EF49" s="1055"/>
      <c r="EG49" s="1055"/>
      <c r="EH49" s="1055"/>
      <c r="EI49" s="1055"/>
      <c r="EJ49" s="1055"/>
      <c r="EK49" s="1055"/>
      <c r="EL49" s="1055"/>
      <c r="EM49" s="1055"/>
      <c r="EN49" s="1055"/>
      <c r="EO49" s="1055"/>
      <c r="EP49" s="1055"/>
      <c r="EQ49" s="1055"/>
      <c r="ER49" s="1055"/>
      <c r="ES49" s="1055"/>
      <c r="ET49" s="1055"/>
      <c r="EU49" s="1055"/>
      <c r="EV49" s="1055"/>
      <c r="EW49" s="1055"/>
      <c r="EX49" s="1055"/>
      <c r="EY49" s="1055"/>
      <c r="EZ49" s="1055"/>
      <c r="FA49" s="1055"/>
      <c r="FB49" s="1055"/>
      <c r="FC49" s="1055"/>
      <c r="FD49" s="1055"/>
      <c r="FE49" s="1055"/>
      <c r="FF49" s="1055"/>
      <c r="FG49" s="1055"/>
      <c r="FH49" s="1055"/>
      <c r="FI49" s="1055"/>
      <c r="FJ49" s="1055"/>
      <c r="FK49" s="1055"/>
      <c r="FL49" s="1055"/>
      <c r="FM49" s="1055"/>
      <c r="FN49" s="1055"/>
      <c r="FO49" s="1055"/>
      <c r="FP49" s="1055"/>
      <c r="FQ49" s="1055"/>
      <c r="FR49" s="1055"/>
      <c r="FS49" s="1055"/>
      <c r="FT49" s="1055"/>
      <c r="FU49" s="1055"/>
      <c r="FV49" s="1055"/>
      <c r="FW49" s="1055"/>
      <c r="FX49" s="1055"/>
      <c r="FY49" s="1055"/>
      <c r="FZ49" s="1055"/>
      <c r="GA49" s="1055"/>
      <c r="GB49" s="1055"/>
      <c r="GC49" s="1055"/>
      <c r="GD49" s="1055"/>
      <c r="GE49" s="1055"/>
      <c r="GF49" s="1055"/>
      <c r="GG49" s="1055"/>
      <c r="GH49" s="1055"/>
      <c r="GI49" s="1055"/>
      <c r="GJ49" s="1055"/>
    </row>
    <row r="50" spans="1:192" s="1067" customFormat="1">
      <c r="A50" s="925" t="s">
        <v>250</v>
      </c>
      <c r="B50" s="926"/>
      <c r="C50" s="927"/>
      <c r="D50" s="927"/>
      <c r="E50" s="927"/>
      <c r="F50" s="928"/>
      <c r="G50" s="929"/>
      <c r="H50" s="1055"/>
      <c r="I50" s="1055"/>
      <c r="J50" s="1055"/>
      <c r="K50" s="1055"/>
      <c r="L50" s="1055"/>
      <c r="M50" s="1055"/>
      <c r="N50" s="1055"/>
      <c r="O50" s="1055"/>
      <c r="P50" s="1055"/>
      <c r="Q50" s="1055"/>
      <c r="R50" s="1055"/>
      <c r="S50" s="1055"/>
      <c r="T50" s="1055"/>
      <c r="U50" s="1055"/>
      <c r="V50" s="1055"/>
      <c r="W50" s="1055"/>
      <c r="X50" s="1055"/>
      <c r="Y50" s="1055"/>
      <c r="Z50" s="1055"/>
      <c r="AA50" s="1055"/>
      <c r="AB50" s="1055"/>
      <c r="AC50" s="1055"/>
      <c r="AD50" s="1055"/>
      <c r="AE50" s="1055"/>
      <c r="AF50" s="1055"/>
      <c r="AG50" s="1055"/>
      <c r="AH50" s="1055"/>
      <c r="AI50" s="1055"/>
      <c r="AJ50" s="1055"/>
      <c r="AK50" s="1055"/>
      <c r="AL50" s="1055"/>
      <c r="AM50" s="1055"/>
      <c r="AN50" s="1055"/>
      <c r="AO50" s="1055"/>
      <c r="AP50" s="1055"/>
      <c r="AQ50" s="1055"/>
      <c r="AR50" s="1055"/>
      <c r="AS50" s="1055"/>
      <c r="AT50" s="1055"/>
      <c r="AU50" s="1055"/>
      <c r="AV50" s="1055"/>
      <c r="AW50" s="1055"/>
      <c r="AX50" s="1055"/>
      <c r="AY50" s="1055"/>
      <c r="AZ50" s="1055"/>
      <c r="BA50" s="1055"/>
      <c r="BB50" s="1055"/>
      <c r="BC50" s="1055"/>
      <c r="BD50" s="1055"/>
      <c r="BE50" s="1055"/>
      <c r="BF50" s="1055"/>
      <c r="BG50" s="1055"/>
      <c r="BH50" s="1055"/>
      <c r="BI50" s="1055"/>
      <c r="BJ50" s="1055"/>
      <c r="BK50" s="1055"/>
      <c r="BL50" s="1055"/>
      <c r="BM50" s="1055"/>
      <c r="BN50" s="1055"/>
      <c r="BO50" s="1055"/>
      <c r="BP50" s="1055"/>
      <c r="BQ50" s="1055"/>
      <c r="BR50" s="1055"/>
      <c r="BS50" s="1055"/>
      <c r="BT50" s="1055"/>
      <c r="BU50" s="1055"/>
      <c r="BV50" s="1055"/>
      <c r="BW50" s="1055"/>
      <c r="BX50" s="1055"/>
      <c r="BY50" s="1055"/>
      <c r="BZ50" s="1055"/>
      <c r="CA50" s="1055"/>
      <c r="CB50" s="1055"/>
      <c r="CC50" s="1055"/>
      <c r="CD50" s="1055"/>
      <c r="CE50" s="1055"/>
      <c r="CF50" s="1055"/>
      <c r="CG50" s="1055"/>
      <c r="CH50" s="1055"/>
      <c r="CI50" s="1055"/>
      <c r="CJ50" s="1055"/>
      <c r="CK50" s="1055"/>
      <c r="CL50" s="1055"/>
      <c r="CM50" s="1055"/>
      <c r="CN50" s="1055"/>
      <c r="CO50" s="1055"/>
      <c r="CP50" s="1055"/>
      <c r="CQ50" s="1055"/>
      <c r="CR50" s="1055"/>
      <c r="CS50" s="1055"/>
      <c r="CT50" s="1055"/>
      <c r="CU50" s="1055"/>
      <c r="CV50" s="1055"/>
      <c r="CW50" s="1055"/>
      <c r="CX50" s="1055"/>
      <c r="CY50" s="1055"/>
      <c r="CZ50" s="1055"/>
      <c r="DA50" s="1055"/>
      <c r="DB50" s="1055"/>
      <c r="DC50" s="1055"/>
      <c r="DD50" s="1055"/>
      <c r="DE50" s="1055"/>
      <c r="DF50" s="1055"/>
      <c r="DG50" s="1055"/>
      <c r="DH50" s="1055"/>
      <c r="DI50" s="1055"/>
      <c r="DJ50" s="1055"/>
      <c r="DK50" s="1055"/>
      <c r="DL50" s="1055"/>
      <c r="DM50" s="1055"/>
      <c r="DN50" s="1055"/>
      <c r="DO50" s="1055"/>
      <c r="DP50" s="1055"/>
      <c r="DQ50" s="1055"/>
      <c r="DR50" s="1055"/>
      <c r="DS50" s="1055"/>
      <c r="DT50" s="1055"/>
      <c r="DU50" s="1055"/>
      <c r="DV50" s="1055"/>
      <c r="DW50" s="1055"/>
      <c r="DX50" s="1055"/>
      <c r="DY50" s="1055"/>
      <c r="DZ50" s="1055"/>
      <c r="EA50" s="1055"/>
      <c r="EB50" s="1055"/>
      <c r="EC50" s="1055"/>
      <c r="ED50" s="1055"/>
      <c r="EE50" s="1055"/>
      <c r="EF50" s="1055"/>
      <c r="EG50" s="1055"/>
      <c r="EH50" s="1055"/>
      <c r="EI50" s="1055"/>
      <c r="EJ50" s="1055"/>
      <c r="EK50" s="1055"/>
      <c r="EL50" s="1055"/>
      <c r="EM50" s="1055"/>
      <c r="EN50" s="1055"/>
      <c r="EO50" s="1055"/>
      <c r="EP50" s="1055"/>
      <c r="EQ50" s="1055"/>
      <c r="ER50" s="1055"/>
      <c r="ES50" s="1055"/>
      <c r="ET50" s="1055"/>
      <c r="EU50" s="1055"/>
      <c r="EV50" s="1055"/>
      <c r="EW50" s="1055"/>
      <c r="EX50" s="1055"/>
      <c r="EY50" s="1055"/>
      <c r="EZ50" s="1055"/>
      <c r="FA50" s="1055"/>
      <c r="FB50" s="1055"/>
      <c r="FC50" s="1055"/>
      <c r="FD50" s="1055"/>
      <c r="FE50" s="1055"/>
      <c r="FF50" s="1055"/>
      <c r="FG50" s="1055"/>
      <c r="FH50" s="1055"/>
      <c r="FI50" s="1055"/>
      <c r="FJ50" s="1055"/>
      <c r="FK50" s="1055"/>
      <c r="FL50" s="1055"/>
      <c r="FM50" s="1055"/>
      <c r="FN50" s="1055"/>
      <c r="FO50" s="1055"/>
      <c r="FP50" s="1055"/>
      <c r="FQ50" s="1055"/>
      <c r="FR50" s="1055"/>
      <c r="FS50" s="1055"/>
      <c r="FT50" s="1055"/>
      <c r="FU50" s="1055"/>
      <c r="FV50" s="1055"/>
      <c r="FW50" s="1055"/>
      <c r="FX50" s="1055"/>
      <c r="FY50" s="1055"/>
      <c r="FZ50" s="1055"/>
      <c r="GA50" s="1055"/>
      <c r="GB50" s="1055"/>
      <c r="GC50" s="1055"/>
      <c r="GD50" s="1055"/>
      <c r="GE50" s="1055"/>
      <c r="GF50" s="1055"/>
      <c r="GG50" s="1055"/>
      <c r="GH50" s="1055"/>
      <c r="GI50" s="1055"/>
      <c r="GJ50" s="1055"/>
    </row>
    <row r="51" spans="1:192" s="1067" customFormat="1" ht="12.75" customHeight="1">
      <c r="A51" s="931" t="s">
        <v>447</v>
      </c>
      <c r="B51" s="912"/>
      <c r="C51" s="912"/>
      <c r="D51" s="912"/>
      <c r="E51" s="912"/>
      <c r="F51" s="912"/>
      <c r="G51" s="932"/>
      <c r="H51" s="1055"/>
      <c r="I51" s="1055"/>
      <c r="J51" s="1055"/>
      <c r="K51" s="1055"/>
      <c r="L51" s="1055"/>
      <c r="M51" s="1055"/>
      <c r="N51" s="1055"/>
      <c r="O51" s="1055"/>
      <c r="P51" s="1055"/>
      <c r="Q51" s="1055"/>
      <c r="R51" s="1055"/>
      <c r="S51" s="1055"/>
      <c r="T51" s="1055"/>
      <c r="U51" s="1055"/>
      <c r="V51" s="1055"/>
      <c r="W51" s="1055"/>
      <c r="X51" s="1055"/>
      <c r="Y51" s="1055"/>
      <c r="Z51" s="1055"/>
      <c r="AA51" s="1055"/>
      <c r="AB51" s="1055"/>
      <c r="AC51" s="1055"/>
      <c r="AD51" s="1055"/>
      <c r="AE51" s="1055"/>
      <c r="AF51" s="1055"/>
      <c r="AG51" s="1055"/>
      <c r="AH51" s="1055"/>
      <c r="AI51" s="1055"/>
      <c r="AJ51" s="1055"/>
      <c r="AK51" s="1055"/>
      <c r="AL51" s="1055"/>
      <c r="AM51" s="1055"/>
      <c r="AN51" s="1055"/>
      <c r="AO51" s="1055"/>
      <c r="AP51" s="1055"/>
      <c r="AQ51" s="1055"/>
      <c r="AR51" s="1055"/>
      <c r="AS51" s="1055"/>
      <c r="AT51" s="1055"/>
      <c r="AU51" s="1055"/>
      <c r="AV51" s="1055"/>
      <c r="AW51" s="1055"/>
      <c r="AX51" s="1055"/>
      <c r="AY51" s="1055"/>
      <c r="AZ51" s="1055"/>
      <c r="BA51" s="1055"/>
      <c r="BB51" s="1055"/>
      <c r="BC51" s="1055"/>
      <c r="BD51" s="1055"/>
      <c r="BE51" s="1055"/>
      <c r="BF51" s="1055"/>
      <c r="BG51" s="1055"/>
      <c r="BH51" s="1055"/>
      <c r="BI51" s="1055"/>
      <c r="BJ51" s="1055"/>
      <c r="BK51" s="1055"/>
      <c r="BL51" s="1055"/>
      <c r="BM51" s="1055"/>
      <c r="BN51" s="1055"/>
      <c r="BO51" s="1055"/>
      <c r="BP51" s="1055"/>
      <c r="BQ51" s="1055"/>
      <c r="BR51" s="1055"/>
      <c r="BS51" s="1055"/>
      <c r="BT51" s="1055"/>
      <c r="BU51" s="1055"/>
      <c r="BV51" s="1055"/>
      <c r="BW51" s="1055"/>
      <c r="BX51" s="1055"/>
      <c r="BY51" s="1055"/>
      <c r="BZ51" s="1055"/>
      <c r="CA51" s="1055"/>
      <c r="CB51" s="1055"/>
      <c r="CC51" s="1055"/>
      <c r="CD51" s="1055"/>
      <c r="CE51" s="1055"/>
      <c r="CF51" s="1055"/>
      <c r="CG51" s="1055"/>
      <c r="CH51" s="1055"/>
      <c r="CI51" s="1055"/>
      <c r="CJ51" s="1055"/>
      <c r="CK51" s="1055"/>
      <c r="CL51" s="1055"/>
      <c r="CM51" s="1055"/>
      <c r="CN51" s="1055"/>
      <c r="CO51" s="1055"/>
      <c r="CP51" s="1055"/>
      <c r="CQ51" s="1055"/>
      <c r="CR51" s="1055"/>
      <c r="CS51" s="1055"/>
      <c r="CT51" s="1055"/>
      <c r="CU51" s="1055"/>
      <c r="CV51" s="1055"/>
      <c r="CW51" s="1055"/>
      <c r="CX51" s="1055"/>
      <c r="CY51" s="1055"/>
      <c r="CZ51" s="1055"/>
      <c r="DA51" s="1055"/>
      <c r="DB51" s="1055"/>
      <c r="DC51" s="1055"/>
      <c r="DD51" s="1055"/>
      <c r="DE51" s="1055"/>
      <c r="DF51" s="1055"/>
      <c r="DG51" s="1055"/>
      <c r="DH51" s="1055"/>
      <c r="DI51" s="1055"/>
      <c r="DJ51" s="1055"/>
      <c r="DK51" s="1055"/>
      <c r="DL51" s="1055"/>
      <c r="DM51" s="1055"/>
      <c r="DN51" s="1055"/>
      <c r="DO51" s="1055"/>
      <c r="DP51" s="1055"/>
      <c r="DQ51" s="1055"/>
      <c r="DR51" s="1055"/>
      <c r="DS51" s="1055"/>
      <c r="DT51" s="1055"/>
      <c r="DU51" s="1055"/>
      <c r="DV51" s="1055"/>
      <c r="DW51" s="1055"/>
      <c r="DX51" s="1055"/>
      <c r="DY51" s="1055"/>
      <c r="DZ51" s="1055"/>
      <c r="EA51" s="1055"/>
      <c r="EB51" s="1055"/>
      <c r="EC51" s="1055"/>
      <c r="ED51" s="1055"/>
      <c r="EE51" s="1055"/>
      <c r="EF51" s="1055"/>
      <c r="EG51" s="1055"/>
      <c r="EH51" s="1055"/>
      <c r="EI51" s="1055"/>
      <c r="EJ51" s="1055"/>
      <c r="EK51" s="1055"/>
      <c r="EL51" s="1055"/>
      <c r="EM51" s="1055"/>
      <c r="EN51" s="1055"/>
      <c r="EO51" s="1055"/>
      <c r="EP51" s="1055"/>
      <c r="EQ51" s="1055"/>
      <c r="ER51" s="1055"/>
      <c r="ES51" s="1055"/>
      <c r="ET51" s="1055"/>
      <c r="EU51" s="1055"/>
      <c r="EV51" s="1055"/>
      <c r="EW51" s="1055"/>
      <c r="EX51" s="1055"/>
      <c r="EY51" s="1055"/>
      <c r="EZ51" s="1055"/>
      <c r="FA51" s="1055"/>
      <c r="FB51" s="1055"/>
      <c r="FC51" s="1055"/>
      <c r="FD51" s="1055"/>
      <c r="FE51" s="1055"/>
      <c r="FF51" s="1055"/>
      <c r="FG51" s="1055"/>
      <c r="FH51" s="1055"/>
      <c r="FI51" s="1055"/>
      <c r="FJ51" s="1055"/>
      <c r="FK51" s="1055"/>
      <c r="FL51" s="1055"/>
      <c r="FM51" s="1055"/>
      <c r="FN51" s="1055"/>
      <c r="FO51" s="1055"/>
      <c r="FP51" s="1055"/>
      <c r="FQ51" s="1055"/>
      <c r="FR51" s="1055"/>
      <c r="FS51" s="1055"/>
      <c r="FT51" s="1055"/>
      <c r="FU51" s="1055"/>
      <c r="FV51" s="1055"/>
      <c r="FW51" s="1055"/>
      <c r="FX51" s="1055"/>
      <c r="FY51" s="1055"/>
      <c r="FZ51" s="1055"/>
      <c r="GA51" s="1055"/>
      <c r="GB51" s="1055"/>
      <c r="GC51" s="1055"/>
      <c r="GD51" s="1055"/>
      <c r="GE51" s="1055"/>
      <c r="GF51" s="1055"/>
      <c r="GG51" s="1055"/>
      <c r="GH51" s="1055"/>
      <c r="GI51" s="1055"/>
      <c r="GJ51" s="1055"/>
    </row>
    <row r="52" spans="1:192" s="1067" customFormat="1">
      <c r="A52" s="931" t="s">
        <v>448</v>
      </c>
      <c r="B52" s="933"/>
      <c r="C52" s="912"/>
      <c r="D52" s="912"/>
      <c r="E52" s="912"/>
      <c r="F52" s="934"/>
      <c r="G52" s="932"/>
      <c r="H52" s="1055"/>
      <c r="I52" s="1055"/>
      <c r="J52" s="1055"/>
      <c r="K52" s="1055"/>
      <c r="L52" s="1055"/>
      <c r="M52" s="1055"/>
      <c r="N52" s="1055"/>
      <c r="O52" s="1055"/>
      <c r="P52" s="1055"/>
      <c r="Q52" s="1055"/>
      <c r="R52" s="1055"/>
      <c r="S52" s="1055"/>
      <c r="T52" s="1055"/>
      <c r="U52" s="1055"/>
      <c r="V52" s="1055"/>
      <c r="W52" s="1055"/>
      <c r="X52" s="1055"/>
      <c r="Y52" s="1055"/>
      <c r="Z52" s="1055"/>
      <c r="AA52" s="1055"/>
      <c r="AB52" s="1055"/>
      <c r="AC52" s="1055"/>
      <c r="AD52" s="1055"/>
      <c r="AE52" s="1055"/>
      <c r="AF52" s="1055"/>
      <c r="AG52" s="1055"/>
      <c r="AH52" s="1055"/>
      <c r="AI52" s="1055"/>
      <c r="AJ52" s="1055"/>
      <c r="AK52" s="1055"/>
      <c r="AL52" s="1055"/>
      <c r="AM52" s="1055"/>
      <c r="AN52" s="1055"/>
      <c r="AO52" s="1055"/>
      <c r="AP52" s="1055"/>
      <c r="AQ52" s="1055"/>
      <c r="AR52" s="1055"/>
      <c r="AS52" s="1055"/>
      <c r="AT52" s="1055"/>
      <c r="AU52" s="1055"/>
      <c r="AV52" s="1055"/>
      <c r="AW52" s="1055"/>
      <c r="AX52" s="1055"/>
      <c r="AY52" s="1055"/>
      <c r="AZ52" s="1055"/>
      <c r="BA52" s="1055"/>
      <c r="BB52" s="1055"/>
      <c r="BC52" s="1055"/>
      <c r="BD52" s="1055"/>
      <c r="BE52" s="1055"/>
      <c r="BF52" s="1055"/>
      <c r="BG52" s="1055"/>
      <c r="BH52" s="1055"/>
      <c r="BI52" s="1055"/>
      <c r="BJ52" s="1055"/>
      <c r="BK52" s="1055"/>
      <c r="BL52" s="1055"/>
      <c r="BM52" s="1055"/>
      <c r="BN52" s="1055"/>
      <c r="BO52" s="1055"/>
      <c r="BP52" s="1055"/>
      <c r="BQ52" s="1055"/>
      <c r="BR52" s="1055"/>
      <c r="BS52" s="1055"/>
      <c r="BT52" s="1055"/>
      <c r="BU52" s="1055"/>
      <c r="BV52" s="1055"/>
      <c r="BW52" s="1055"/>
      <c r="BX52" s="1055"/>
      <c r="BY52" s="1055"/>
      <c r="BZ52" s="1055"/>
      <c r="CA52" s="1055"/>
      <c r="CB52" s="1055"/>
      <c r="CC52" s="1055"/>
      <c r="CD52" s="1055"/>
      <c r="CE52" s="1055"/>
      <c r="CF52" s="1055"/>
      <c r="CG52" s="1055"/>
      <c r="CH52" s="1055"/>
      <c r="CI52" s="1055"/>
      <c r="CJ52" s="1055"/>
      <c r="CK52" s="1055"/>
      <c r="CL52" s="1055"/>
      <c r="CM52" s="1055"/>
      <c r="CN52" s="1055"/>
      <c r="CO52" s="1055"/>
      <c r="CP52" s="1055"/>
      <c r="CQ52" s="1055"/>
      <c r="CR52" s="1055"/>
      <c r="CS52" s="1055"/>
      <c r="CT52" s="1055"/>
      <c r="CU52" s="1055"/>
      <c r="CV52" s="1055"/>
      <c r="CW52" s="1055"/>
      <c r="CX52" s="1055"/>
      <c r="CY52" s="1055"/>
      <c r="CZ52" s="1055"/>
      <c r="DA52" s="1055"/>
      <c r="DB52" s="1055"/>
      <c r="DC52" s="1055"/>
      <c r="DD52" s="1055"/>
      <c r="DE52" s="1055"/>
      <c r="DF52" s="1055"/>
      <c r="DG52" s="1055"/>
      <c r="DH52" s="1055"/>
      <c r="DI52" s="1055"/>
      <c r="DJ52" s="1055"/>
      <c r="DK52" s="1055"/>
      <c r="DL52" s="1055"/>
      <c r="DM52" s="1055"/>
      <c r="DN52" s="1055"/>
      <c r="DO52" s="1055"/>
      <c r="DP52" s="1055"/>
      <c r="DQ52" s="1055"/>
      <c r="DR52" s="1055"/>
      <c r="DS52" s="1055"/>
      <c r="DT52" s="1055"/>
      <c r="DU52" s="1055"/>
      <c r="DV52" s="1055"/>
      <c r="DW52" s="1055"/>
      <c r="DX52" s="1055"/>
      <c r="DY52" s="1055"/>
      <c r="DZ52" s="1055"/>
      <c r="EA52" s="1055"/>
      <c r="EB52" s="1055"/>
      <c r="EC52" s="1055"/>
      <c r="ED52" s="1055"/>
      <c r="EE52" s="1055"/>
      <c r="EF52" s="1055"/>
      <c r="EG52" s="1055"/>
      <c r="EH52" s="1055"/>
      <c r="EI52" s="1055"/>
      <c r="EJ52" s="1055"/>
      <c r="EK52" s="1055"/>
      <c r="EL52" s="1055"/>
      <c r="EM52" s="1055"/>
      <c r="EN52" s="1055"/>
      <c r="EO52" s="1055"/>
      <c r="EP52" s="1055"/>
      <c r="EQ52" s="1055"/>
      <c r="ER52" s="1055"/>
      <c r="ES52" s="1055"/>
      <c r="ET52" s="1055"/>
      <c r="EU52" s="1055"/>
      <c r="EV52" s="1055"/>
      <c r="EW52" s="1055"/>
      <c r="EX52" s="1055"/>
      <c r="EY52" s="1055"/>
      <c r="EZ52" s="1055"/>
      <c r="FA52" s="1055"/>
      <c r="FB52" s="1055"/>
      <c r="FC52" s="1055"/>
      <c r="FD52" s="1055"/>
      <c r="FE52" s="1055"/>
      <c r="FF52" s="1055"/>
      <c r="FG52" s="1055"/>
      <c r="FH52" s="1055"/>
      <c r="FI52" s="1055"/>
      <c r="FJ52" s="1055"/>
      <c r="FK52" s="1055"/>
      <c r="FL52" s="1055"/>
      <c r="FM52" s="1055"/>
      <c r="FN52" s="1055"/>
      <c r="FO52" s="1055"/>
      <c r="FP52" s="1055"/>
      <c r="FQ52" s="1055"/>
      <c r="FR52" s="1055"/>
      <c r="FS52" s="1055"/>
      <c r="FT52" s="1055"/>
      <c r="FU52" s="1055"/>
      <c r="FV52" s="1055"/>
      <c r="FW52" s="1055"/>
      <c r="FX52" s="1055"/>
      <c r="FY52" s="1055"/>
      <c r="FZ52" s="1055"/>
      <c r="GA52" s="1055"/>
      <c r="GB52" s="1055"/>
      <c r="GC52" s="1055"/>
      <c r="GD52" s="1055"/>
      <c r="GE52" s="1055"/>
      <c r="GF52" s="1055"/>
      <c r="GG52" s="1055"/>
      <c r="GH52" s="1055"/>
      <c r="GI52" s="1055"/>
      <c r="GJ52" s="1055"/>
    </row>
    <row r="53" spans="1:192" s="1067" customFormat="1">
      <c r="A53" s="931" t="s">
        <v>546</v>
      </c>
      <c r="B53" s="933"/>
      <c r="C53" s="912"/>
      <c r="D53" s="912"/>
      <c r="E53" s="912"/>
      <c r="F53" s="934"/>
      <c r="G53" s="932"/>
      <c r="H53" s="1055"/>
      <c r="I53" s="1055"/>
      <c r="J53" s="1055"/>
      <c r="K53" s="1055"/>
      <c r="L53" s="1055"/>
      <c r="M53" s="1055"/>
      <c r="N53" s="1055"/>
      <c r="O53" s="1055"/>
      <c r="P53" s="1055"/>
      <c r="Q53" s="1055"/>
      <c r="R53" s="1055"/>
      <c r="S53" s="1055"/>
      <c r="T53" s="1055"/>
      <c r="U53" s="1055"/>
      <c r="V53" s="1055"/>
      <c r="W53" s="1055"/>
      <c r="X53" s="1055"/>
      <c r="Y53" s="1055"/>
      <c r="Z53" s="1055"/>
      <c r="AA53" s="1055"/>
      <c r="AB53" s="1055"/>
      <c r="AC53" s="1055"/>
      <c r="AD53" s="1055"/>
      <c r="AE53" s="1055"/>
      <c r="AF53" s="1055"/>
      <c r="AG53" s="1055"/>
      <c r="AH53" s="1055"/>
      <c r="AI53" s="1055"/>
      <c r="AJ53" s="1055"/>
      <c r="AK53" s="1055"/>
      <c r="AL53" s="1055"/>
      <c r="AM53" s="1055"/>
      <c r="AN53" s="1055"/>
      <c r="AO53" s="1055"/>
      <c r="AP53" s="1055"/>
      <c r="AQ53" s="1055"/>
      <c r="AR53" s="1055"/>
      <c r="AS53" s="1055"/>
      <c r="AT53" s="1055"/>
      <c r="AU53" s="1055"/>
      <c r="AV53" s="1055"/>
      <c r="AW53" s="1055"/>
      <c r="AX53" s="1055"/>
      <c r="AY53" s="1055"/>
      <c r="AZ53" s="1055"/>
      <c r="BA53" s="1055"/>
      <c r="BB53" s="1055"/>
      <c r="BC53" s="1055"/>
      <c r="BD53" s="1055"/>
      <c r="BE53" s="1055"/>
      <c r="BF53" s="1055"/>
      <c r="BG53" s="1055"/>
      <c r="BH53" s="1055"/>
      <c r="BI53" s="1055"/>
      <c r="BJ53" s="1055"/>
      <c r="BK53" s="1055"/>
      <c r="BL53" s="1055"/>
      <c r="BM53" s="1055"/>
      <c r="BN53" s="1055"/>
      <c r="BO53" s="1055"/>
      <c r="BP53" s="1055"/>
      <c r="BQ53" s="1055"/>
      <c r="BR53" s="1055"/>
      <c r="BS53" s="1055"/>
      <c r="BT53" s="1055"/>
      <c r="BU53" s="1055"/>
      <c r="BV53" s="1055"/>
      <c r="BW53" s="1055"/>
      <c r="BX53" s="1055"/>
      <c r="BY53" s="1055"/>
      <c r="BZ53" s="1055"/>
      <c r="CA53" s="1055"/>
      <c r="CB53" s="1055"/>
      <c r="CC53" s="1055"/>
      <c r="CD53" s="1055"/>
      <c r="CE53" s="1055"/>
      <c r="CF53" s="1055"/>
      <c r="CG53" s="1055"/>
      <c r="CH53" s="1055"/>
      <c r="CI53" s="1055"/>
      <c r="CJ53" s="1055"/>
      <c r="CK53" s="1055"/>
      <c r="CL53" s="1055"/>
      <c r="CM53" s="1055"/>
      <c r="CN53" s="1055"/>
      <c r="CO53" s="1055"/>
      <c r="CP53" s="1055"/>
      <c r="CQ53" s="1055"/>
      <c r="CR53" s="1055"/>
      <c r="CS53" s="1055"/>
      <c r="CT53" s="1055"/>
      <c r="CU53" s="1055"/>
      <c r="CV53" s="1055"/>
      <c r="CW53" s="1055"/>
      <c r="CX53" s="1055"/>
      <c r="CY53" s="1055"/>
      <c r="CZ53" s="1055"/>
      <c r="DA53" s="1055"/>
      <c r="DB53" s="1055"/>
      <c r="DC53" s="1055"/>
      <c r="DD53" s="1055"/>
      <c r="DE53" s="1055"/>
      <c r="DF53" s="1055"/>
      <c r="DG53" s="1055"/>
      <c r="DH53" s="1055"/>
      <c r="DI53" s="1055"/>
      <c r="DJ53" s="1055"/>
      <c r="DK53" s="1055"/>
      <c r="DL53" s="1055"/>
      <c r="DM53" s="1055"/>
      <c r="DN53" s="1055"/>
      <c r="DO53" s="1055"/>
      <c r="DP53" s="1055"/>
      <c r="DQ53" s="1055"/>
      <c r="DR53" s="1055"/>
      <c r="DS53" s="1055"/>
      <c r="DT53" s="1055"/>
      <c r="DU53" s="1055"/>
      <c r="DV53" s="1055"/>
      <c r="DW53" s="1055"/>
      <c r="DX53" s="1055"/>
      <c r="DY53" s="1055"/>
      <c r="DZ53" s="1055"/>
      <c r="EA53" s="1055"/>
      <c r="EB53" s="1055"/>
      <c r="EC53" s="1055"/>
      <c r="ED53" s="1055"/>
      <c r="EE53" s="1055"/>
      <c r="EF53" s="1055"/>
      <c r="EG53" s="1055"/>
      <c r="EH53" s="1055"/>
      <c r="EI53" s="1055"/>
      <c r="EJ53" s="1055"/>
      <c r="EK53" s="1055"/>
      <c r="EL53" s="1055"/>
      <c r="EM53" s="1055"/>
      <c r="EN53" s="1055"/>
      <c r="EO53" s="1055"/>
      <c r="EP53" s="1055"/>
      <c r="EQ53" s="1055"/>
      <c r="ER53" s="1055"/>
      <c r="ES53" s="1055"/>
      <c r="ET53" s="1055"/>
      <c r="EU53" s="1055"/>
      <c r="EV53" s="1055"/>
      <c r="EW53" s="1055"/>
      <c r="EX53" s="1055"/>
      <c r="EY53" s="1055"/>
      <c r="EZ53" s="1055"/>
      <c r="FA53" s="1055"/>
      <c r="FB53" s="1055"/>
      <c r="FC53" s="1055"/>
      <c r="FD53" s="1055"/>
      <c r="FE53" s="1055"/>
      <c r="FF53" s="1055"/>
      <c r="FG53" s="1055"/>
      <c r="FH53" s="1055"/>
      <c r="FI53" s="1055"/>
      <c r="FJ53" s="1055"/>
      <c r="FK53" s="1055"/>
      <c r="FL53" s="1055"/>
      <c r="FM53" s="1055"/>
      <c r="FN53" s="1055"/>
      <c r="FO53" s="1055"/>
      <c r="FP53" s="1055"/>
      <c r="FQ53" s="1055"/>
      <c r="FR53" s="1055"/>
      <c r="FS53" s="1055"/>
      <c r="FT53" s="1055"/>
      <c r="FU53" s="1055"/>
      <c r="FV53" s="1055"/>
      <c r="FW53" s="1055"/>
      <c r="FX53" s="1055"/>
      <c r="FY53" s="1055"/>
      <c r="FZ53" s="1055"/>
      <c r="GA53" s="1055"/>
      <c r="GB53" s="1055"/>
      <c r="GC53" s="1055"/>
      <c r="GD53" s="1055"/>
      <c r="GE53" s="1055"/>
      <c r="GF53" s="1055"/>
      <c r="GG53" s="1055"/>
      <c r="GH53" s="1055"/>
      <c r="GI53" s="1055"/>
      <c r="GJ53" s="1055"/>
    </row>
    <row r="54" spans="1:192" s="1067" customFormat="1">
      <c r="A54" s="931" t="s">
        <v>547</v>
      </c>
      <c r="B54" s="933"/>
      <c r="C54" s="912"/>
      <c r="D54" s="912"/>
      <c r="E54" s="912"/>
      <c r="F54" s="934"/>
      <c r="G54" s="932"/>
      <c r="H54" s="1055"/>
      <c r="I54" s="1055"/>
      <c r="J54" s="1055"/>
      <c r="K54" s="1055"/>
      <c r="L54" s="1055"/>
      <c r="M54" s="1055"/>
      <c r="N54" s="1055"/>
      <c r="O54" s="1055"/>
      <c r="P54" s="1055"/>
      <c r="Q54" s="1055"/>
      <c r="R54" s="1055"/>
      <c r="S54" s="1055"/>
      <c r="T54" s="1055"/>
      <c r="U54" s="1055"/>
      <c r="V54" s="1055"/>
      <c r="W54" s="1055"/>
      <c r="X54" s="1055"/>
      <c r="Y54" s="1055"/>
      <c r="Z54" s="1055"/>
      <c r="AA54" s="1055"/>
      <c r="AB54" s="1055"/>
      <c r="AC54" s="1055"/>
      <c r="AD54" s="1055"/>
      <c r="AE54" s="1055"/>
      <c r="AF54" s="1055"/>
      <c r="AG54" s="1055"/>
      <c r="AH54" s="1055"/>
      <c r="AI54" s="1055"/>
      <c r="AJ54" s="1055"/>
      <c r="AK54" s="1055"/>
      <c r="AL54" s="1055"/>
      <c r="AM54" s="1055"/>
      <c r="AN54" s="1055"/>
      <c r="AO54" s="1055"/>
      <c r="AP54" s="1055"/>
      <c r="AQ54" s="1055"/>
      <c r="AR54" s="1055"/>
      <c r="AS54" s="1055"/>
      <c r="AT54" s="1055"/>
      <c r="AU54" s="1055"/>
      <c r="AV54" s="1055"/>
      <c r="AW54" s="1055"/>
      <c r="AX54" s="1055"/>
      <c r="AY54" s="1055"/>
      <c r="AZ54" s="1055"/>
      <c r="BA54" s="1055"/>
      <c r="BB54" s="1055"/>
      <c r="BC54" s="1055"/>
      <c r="BD54" s="1055"/>
      <c r="BE54" s="1055"/>
      <c r="BF54" s="1055"/>
      <c r="BG54" s="1055"/>
      <c r="BH54" s="1055"/>
      <c r="BI54" s="1055"/>
      <c r="BJ54" s="1055"/>
      <c r="BK54" s="1055"/>
      <c r="BL54" s="1055"/>
      <c r="BM54" s="1055"/>
      <c r="BN54" s="1055"/>
      <c r="BO54" s="1055"/>
      <c r="BP54" s="1055"/>
      <c r="BQ54" s="1055"/>
      <c r="BR54" s="1055"/>
      <c r="BS54" s="1055"/>
      <c r="BT54" s="1055"/>
      <c r="BU54" s="1055"/>
      <c r="BV54" s="1055"/>
      <c r="BW54" s="1055"/>
      <c r="BX54" s="1055"/>
      <c r="BY54" s="1055"/>
      <c r="BZ54" s="1055"/>
      <c r="CA54" s="1055"/>
      <c r="CB54" s="1055"/>
      <c r="CC54" s="1055"/>
      <c r="CD54" s="1055"/>
      <c r="CE54" s="1055"/>
      <c r="CF54" s="1055"/>
      <c r="CG54" s="1055"/>
      <c r="CH54" s="1055"/>
      <c r="CI54" s="1055"/>
      <c r="CJ54" s="1055"/>
      <c r="CK54" s="1055"/>
      <c r="CL54" s="1055"/>
      <c r="CM54" s="1055"/>
      <c r="CN54" s="1055"/>
      <c r="CO54" s="1055"/>
      <c r="CP54" s="1055"/>
      <c r="CQ54" s="1055"/>
      <c r="CR54" s="1055"/>
      <c r="CS54" s="1055"/>
      <c r="CT54" s="1055"/>
      <c r="CU54" s="1055"/>
      <c r="CV54" s="1055"/>
      <c r="CW54" s="1055"/>
      <c r="CX54" s="1055"/>
      <c r="CY54" s="1055"/>
      <c r="CZ54" s="1055"/>
      <c r="DA54" s="1055"/>
      <c r="DB54" s="1055"/>
      <c r="DC54" s="1055"/>
      <c r="DD54" s="1055"/>
      <c r="DE54" s="1055"/>
      <c r="DF54" s="1055"/>
      <c r="DG54" s="1055"/>
      <c r="DH54" s="1055"/>
      <c r="DI54" s="1055"/>
      <c r="DJ54" s="1055"/>
      <c r="DK54" s="1055"/>
      <c r="DL54" s="1055"/>
      <c r="DM54" s="1055"/>
      <c r="DN54" s="1055"/>
      <c r="DO54" s="1055"/>
      <c r="DP54" s="1055"/>
      <c r="DQ54" s="1055"/>
      <c r="DR54" s="1055"/>
      <c r="DS54" s="1055"/>
      <c r="DT54" s="1055"/>
      <c r="DU54" s="1055"/>
      <c r="DV54" s="1055"/>
      <c r="DW54" s="1055"/>
      <c r="DX54" s="1055"/>
      <c r="DY54" s="1055"/>
      <c r="DZ54" s="1055"/>
      <c r="EA54" s="1055"/>
      <c r="EB54" s="1055"/>
      <c r="EC54" s="1055"/>
      <c r="ED54" s="1055"/>
      <c r="EE54" s="1055"/>
      <c r="EF54" s="1055"/>
      <c r="EG54" s="1055"/>
      <c r="EH54" s="1055"/>
      <c r="EI54" s="1055"/>
      <c r="EJ54" s="1055"/>
      <c r="EK54" s="1055"/>
      <c r="EL54" s="1055"/>
      <c r="EM54" s="1055"/>
      <c r="EN54" s="1055"/>
      <c r="EO54" s="1055"/>
      <c r="EP54" s="1055"/>
      <c r="EQ54" s="1055"/>
      <c r="ER54" s="1055"/>
      <c r="ES54" s="1055"/>
      <c r="ET54" s="1055"/>
      <c r="EU54" s="1055"/>
      <c r="EV54" s="1055"/>
      <c r="EW54" s="1055"/>
      <c r="EX54" s="1055"/>
      <c r="EY54" s="1055"/>
      <c r="EZ54" s="1055"/>
      <c r="FA54" s="1055"/>
      <c r="FB54" s="1055"/>
      <c r="FC54" s="1055"/>
      <c r="FD54" s="1055"/>
      <c r="FE54" s="1055"/>
      <c r="FF54" s="1055"/>
      <c r="FG54" s="1055"/>
      <c r="FH54" s="1055"/>
      <c r="FI54" s="1055"/>
      <c r="FJ54" s="1055"/>
      <c r="FK54" s="1055"/>
      <c r="FL54" s="1055"/>
      <c r="FM54" s="1055"/>
      <c r="FN54" s="1055"/>
      <c r="FO54" s="1055"/>
      <c r="FP54" s="1055"/>
      <c r="FQ54" s="1055"/>
      <c r="FR54" s="1055"/>
      <c r="FS54" s="1055"/>
      <c r="FT54" s="1055"/>
      <c r="FU54" s="1055"/>
      <c r="FV54" s="1055"/>
      <c r="FW54" s="1055"/>
      <c r="FX54" s="1055"/>
      <c r="FY54" s="1055"/>
      <c r="FZ54" s="1055"/>
      <c r="GA54" s="1055"/>
      <c r="GB54" s="1055"/>
      <c r="GC54" s="1055"/>
      <c r="GD54" s="1055"/>
      <c r="GE54" s="1055"/>
      <c r="GF54" s="1055"/>
      <c r="GG54" s="1055"/>
      <c r="GH54" s="1055"/>
      <c r="GI54" s="1055"/>
      <c r="GJ54" s="1055"/>
    </row>
    <row r="55" spans="1:192" s="1067" customFormat="1" ht="15" customHeight="1">
      <c r="A55" s="1182" t="s">
        <v>450</v>
      </c>
      <c r="B55" s="1183"/>
      <c r="C55" s="1183"/>
      <c r="D55" s="1183"/>
      <c r="E55" s="1183"/>
      <c r="F55" s="1183"/>
      <c r="G55" s="1183"/>
      <c r="H55" s="1055"/>
      <c r="I55" s="1055"/>
      <c r="J55" s="1055"/>
      <c r="K55" s="1055"/>
      <c r="L55" s="1055"/>
      <c r="M55" s="1055"/>
      <c r="N55" s="1055"/>
      <c r="O55" s="1055"/>
      <c r="P55" s="1055"/>
      <c r="Q55" s="1055"/>
      <c r="R55" s="1055"/>
      <c r="S55" s="1055"/>
      <c r="T55" s="1055"/>
      <c r="U55" s="1055"/>
      <c r="V55" s="1055"/>
      <c r="W55" s="1055"/>
      <c r="X55" s="1055"/>
      <c r="Y55" s="1055"/>
      <c r="Z55" s="1055"/>
      <c r="AA55" s="1055"/>
      <c r="AB55" s="1055"/>
      <c r="AC55" s="1055"/>
      <c r="AD55" s="1055"/>
      <c r="AE55" s="1055"/>
      <c r="AF55" s="1055"/>
      <c r="AG55" s="1055"/>
      <c r="AH55" s="1055"/>
      <c r="AI55" s="1055"/>
      <c r="AJ55" s="1055"/>
      <c r="AK55" s="1055"/>
      <c r="AL55" s="1055"/>
      <c r="AM55" s="1055"/>
      <c r="AN55" s="1055"/>
      <c r="AO55" s="1055"/>
      <c r="AP55" s="1055"/>
      <c r="AQ55" s="1055"/>
      <c r="AR55" s="1055"/>
      <c r="AS55" s="1055"/>
      <c r="AT55" s="1055"/>
      <c r="AU55" s="1055"/>
      <c r="AV55" s="1055"/>
      <c r="AW55" s="1055"/>
      <c r="AX55" s="1055"/>
      <c r="AY55" s="1055"/>
      <c r="AZ55" s="1055"/>
      <c r="BA55" s="1055"/>
      <c r="BB55" s="1055"/>
      <c r="BC55" s="1055"/>
      <c r="BD55" s="1055"/>
      <c r="BE55" s="1055"/>
      <c r="BF55" s="1055"/>
      <c r="BG55" s="1055"/>
      <c r="BH55" s="1055"/>
      <c r="BI55" s="1055"/>
      <c r="BJ55" s="1055"/>
      <c r="BK55" s="1055"/>
      <c r="BL55" s="1055"/>
      <c r="BM55" s="1055"/>
      <c r="BN55" s="1055"/>
      <c r="BO55" s="1055"/>
      <c r="BP55" s="1055"/>
      <c r="BQ55" s="1055"/>
      <c r="BR55" s="1055"/>
      <c r="BS55" s="1055"/>
      <c r="BT55" s="1055"/>
      <c r="BU55" s="1055"/>
      <c r="BV55" s="1055"/>
      <c r="BW55" s="1055"/>
      <c r="BX55" s="1055"/>
      <c r="BY55" s="1055"/>
      <c r="BZ55" s="1055"/>
      <c r="CA55" s="1055"/>
      <c r="CB55" s="1055"/>
      <c r="CC55" s="1055"/>
      <c r="CD55" s="1055"/>
      <c r="CE55" s="1055"/>
      <c r="CF55" s="1055"/>
      <c r="CG55" s="1055"/>
      <c r="CH55" s="1055"/>
      <c r="CI55" s="1055"/>
      <c r="CJ55" s="1055"/>
      <c r="CK55" s="1055"/>
      <c r="CL55" s="1055"/>
      <c r="CM55" s="1055"/>
      <c r="CN55" s="1055"/>
      <c r="CO55" s="1055"/>
      <c r="CP55" s="1055"/>
      <c r="CQ55" s="1055"/>
      <c r="CR55" s="1055"/>
      <c r="CS55" s="1055"/>
      <c r="CT55" s="1055"/>
      <c r="CU55" s="1055"/>
      <c r="CV55" s="1055"/>
      <c r="CW55" s="1055"/>
      <c r="CX55" s="1055"/>
      <c r="CY55" s="1055"/>
      <c r="CZ55" s="1055"/>
      <c r="DA55" s="1055"/>
      <c r="DB55" s="1055"/>
      <c r="DC55" s="1055"/>
      <c r="DD55" s="1055"/>
      <c r="DE55" s="1055"/>
      <c r="DF55" s="1055"/>
      <c r="DG55" s="1055"/>
      <c r="DH55" s="1055"/>
      <c r="DI55" s="1055"/>
      <c r="DJ55" s="1055"/>
      <c r="DK55" s="1055"/>
      <c r="DL55" s="1055"/>
      <c r="DM55" s="1055"/>
      <c r="DN55" s="1055"/>
      <c r="DO55" s="1055"/>
      <c r="DP55" s="1055"/>
      <c r="DQ55" s="1055"/>
      <c r="DR55" s="1055"/>
      <c r="DS55" s="1055"/>
      <c r="DT55" s="1055"/>
      <c r="DU55" s="1055"/>
      <c r="DV55" s="1055"/>
      <c r="DW55" s="1055"/>
      <c r="DX55" s="1055"/>
      <c r="DY55" s="1055"/>
      <c r="DZ55" s="1055"/>
      <c r="EA55" s="1055"/>
      <c r="EB55" s="1055"/>
      <c r="EC55" s="1055"/>
      <c r="ED55" s="1055"/>
      <c r="EE55" s="1055"/>
      <c r="EF55" s="1055"/>
      <c r="EG55" s="1055"/>
      <c r="EH55" s="1055"/>
      <c r="EI55" s="1055"/>
      <c r="EJ55" s="1055"/>
      <c r="EK55" s="1055"/>
      <c r="EL55" s="1055"/>
      <c r="EM55" s="1055"/>
      <c r="EN55" s="1055"/>
      <c r="EO55" s="1055"/>
      <c r="EP55" s="1055"/>
      <c r="EQ55" s="1055"/>
      <c r="ER55" s="1055"/>
      <c r="ES55" s="1055"/>
      <c r="ET55" s="1055"/>
      <c r="EU55" s="1055"/>
      <c r="EV55" s="1055"/>
      <c r="EW55" s="1055"/>
      <c r="EX55" s="1055"/>
      <c r="EY55" s="1055"/>
      <c r="EZ55" s="1055"/>
      <c r="FA55" s="1055"/>
      <c r="FB55" s="1055"/>
      <c r="FC55" s="1055"/>
      <c r="FD55" s="1055"/>
      <c r="FE55" s="1055"/>
      <c r="FF55" s="1055"/>
      <c r="FG55" s="1055"/>
      <c r="FH55" s="1055"/>
      <c r="FI55" s="1055"/>
      <c r="FJ55" s="1055"/>
      <c r="FK55" s="1055"/>
      <c r="FL55" s="1055"/>
      <c r="FM55" s="1055"/>
      <c r="FN55" s="1055"/>
      <c r="FO55" s="1055"/>
      <c r="FP55" s="1055"/>
      <c r="FQ55" s="1055"/>
      <c r="FR55" s="1055"/>
      <c r="FS55" s="1055"/>
      <c r="FT55" s="1055"/>
      <c r="FU55" s="1055"/>
      <c r="FV55" s="1055"/>
      <c r="FW55" s="1055"/>
      <c r="FX55" s="1055"/>
      <c r="FY55" s="1055"/>
      <c r="FZ55" s="1055"/>
      <c r="GA55" s="1055"/>
      <c r="GB55" s="1055"/>
      <c r="GC55" s="1055"/>
      <c r="GD55" s="1055"/>
      <c r="GE55" s="1055"/>
      <c r="GF55" s="1055"/>
      <c r="GG55" s="1055"/>
      <c r="GH55" s="1055"/>
      <c r="GI55" s="1055"/>
      <c r="GJ55" s="1055"/>
    </row>
    <row r="56" spans="1:192" s="1067" customFormat="1" ht="12.75" customHeight="1">
      <c r="A56" s="1182"/>
      <c r="B56" s="1183"/>
      <c r="C56" s="1183"/>
      <c r="D56" s="1183"/>
      <c r="E56" s="1183"/>
      <c r="F56" s="1183"/>
      <c r="G56" s="1183"/>
      <c r="H56" s="1055"/>
      <c r="I56" s="1055"/>
      <c r="J56" s="1055"/>
      <c r="K56" s="1055"/>
      <c r="L56" s="1055"/>
      <c r="M56" s="1055"/>
      <c r="N56" s="1055"/>
      <c r="O56" s="1055"/>
      <c r="P56" s="1055"/>
      <c r="Q56" s="1055"/>
      <c r="R56" s="1055"/>
      <c r="S56" s="1055"/>
      <c r="T56" s="1055"/>
      <c r="U56" s="1055"/>
      <c r="V56" s="1055"/>
      <c r="W56" s="1055"/>
      <c r="X56" s="1055"/>
      <c r="Y56" s="1055"/>
      <c r="Z56" s="1055"/>
      <c r="AA56" s="1055"/>
      <c r="AB56" s="1055"/>
      <c r="AC56" s="1055"/>
      <c r="AD56" s="1055"/>
      <c r="AE56" s="1055"/>
      <c r="AF56" s="1055"/>
      <c r="AG56" s="1055"/>
      <c r="AH56" s="1055"/>
      <c r="AI56" s="1055"/>
      <c r="AJ56" s="1055"/>
      <c r="AK56" s="1055"/>
      <c r="AL56" s="1055"/>
      <c r="AM56" s="1055"/>
      <c r="AN56" s="1055"/>
      <c r="AO56" s="1055"/>
      <c r="AP56" s="1055"/>
      <c r="AQ56" s="1055"/>
      <c r="AR56" s="1055"/>
      <c r="AS56" s="1055"/>
      <c r="AT56" s="1055"/>
      <c r="AU56" s="1055"/>
      <c r="AV56" s="1055"/>
      <c r="AW56" s="1055"/>
      <c r="AX56" s="1055"/>
      <c r="AY56" s="1055"/>
      <c r="AZ56" s="1055"/>
      <c r="BA56" s="1055"/>
      <c r="BB56" s="1055"/>
      <c r="BC56" s="1055"/>
      <c r="BD56" s="1055"/>
      <c r="BE56" s="1055"/>
      <c r="BF56" s="1055"/>
      <c r="BG56" s="1055"/>
      <c r="BH56" s="1055"/>
      <c r="BI56" s="1055"/>
      <c r="BJ56" s="1055"/>
      <c r="BK56" s="1055"/>
      <c r="BL56" s="1055"/>
      <c r="BM56" s="1055"/>
      <c r="BN56" s="1055"/>
      <c r="BO56" s="1055"/>
      <c r="BP56" s="1055"/>
      <c r="BQ56" s="1055"/>
      <c r="BR56" s="1055"/>
      <c r="BS56" s="1055"/>
      <c r="BT56" s="1055"/>
      <c r="BU56" s="1055"/>
      <c r="BV56" s="1055"/>
      <c r="BW56" s="1055"/>
      <c r="BX56" s="1055"/>
      <c r="BY56" s="1055"/>
      <c r="BZ56" s="1055"/>
      <c r="CA56" s="1055"/>
      <c r="CB56" s="1055"/>
      <c r="CC56" s="1055"/>
      <c r="CD56" s="1055"/>
      <c r="CE56" s="1055"/>
      <c r="CF56" s="1055"/>
      <c r="CG56" s="1055"/>
      <c r="CH56" s="1055"/>
      <c r="CI56" s="1055"/>
      <c r="CJ56" s="1055"/>
      <c r="CK56" s="1055"/>
      <c r="CL56" s="1055"/>
      <c r="CM56" s="1055"/>
      <c r="CN56" s="1055"/>
      <c r="CO56" s="1055"/>
      <c r="CP56" s="1055"/>
      <c r="CQ56" s="1055"/>
      <c r="CR56" s="1055"/>
      <c r="CS56" s="1055"/>
      <c r="CT56" s="1055"/>
      <c r="CU56" s="1055"/>
      <c r="CV56" s="1055"/>
      <c r="CW56" s="1055"/>
      <c r="CX56" s="1055"/>
      <c r="CY56" s="1055"/>
      <c r="CZ56" s="1055"/>
      <c r="DA56" s="1055"/>
      <c r="DB56" s="1055"/>
      <c r="DC56" s="1055"/>
      <c r="DD56" s="1055"/>
      <c r="DE56" s="1055"/>
      <c r="DF56" s="1055"/>
      <c r="DG56" s="1055"/>
      <c r="DH56" s="1055"/>
      <c r="DI56" s="1055"/>
      <c r="DJ56" s="1055"/>
      <c r="DK56" s="1055"/>
      <c r="DL56" s="1055"/>
      <c r="DM56" s="1055"/>
      <c r="DN56" s="1055"/>
      <c r="DO56" s="1055"/>
      <c r="DP56" s="1055"/>
      <c r="DQ56" s="1055"/>
      <c r="DR56" s="1055"/>
      <c r="DS56" s="1055"/>
      <c r="DT56" s="1055"/>
      <c r="DU56" s="1055"/>
      <c r="DV56" s="1055"/>
      <c r="DW56" s="1055"/>
      <c r="DX56" s="1055"/>
      <c r="DY56" s="1055"/>
      <c r="DZ56" s="1055"/>
      <c r="EA56" s="1055"/>
      <c r="EB56" s="1055"/>
      <c r="EC56" s="1055"/>
      <c r="ED56" s="1055"/>
      <c r="EE56" s="1055"/>
      <c r="EF56" s="1055"/>
      <c r="EG56" s="1055"/>
      <c r="EH56" s="1055"/>
      <c r="EI56" s="1055"/>
      <c r="EJ56" s="1055"/>
      <c r="EK56" s="1055"/>
      <c r="EL56" s="1055"/>
      <c r="EM56" s="1055"/>
      <c r="EN56" s="1055"/>
      <c r="EO56" s="1055"/>
      <c r="EP56" s="1055"/>
      <c r="EQ56" s="1055"/>
      <c r="ER56" s="1055"/>
      <c r="ES56" s="1055"/>
      <c r="ET56" s="1055"/>
      <c r="EU56" s="1055"/>
      <c r="EV56" s="1055"/>
      <c r="EW56" s="1055"/>
      <c r="EX56" s="1055"/>
      <c r="EY56" s="1055"/>
      <c r="EZ56" s="1055"/>
      <c r="FA56" s="1055"/>
      <c r="FB56" s="1055"/>
      <c r="FC56" s="1055"/>
      <c r="FD56" s="1055"/>
      <c r="FE56" s="1055"/>
      <c r="FF56" s="1055"/>
      <c r="FG56" s="1055"/>
      <c r="FH56" s="1055"/>
      <c r="FI56" s="1055"/>
      <c r="FJ56" s="1055"/>
      <c r="FK56" s="1055"/>
      <c r="FL56" s="1055"/>
      <c r="FM56" s="1055"/>
      <c r="FN56" s="1055"/>
      <c r="FO56" s="1055"/>
      <c r="FP56" s="1055"/>
      <c r="FQ56" s="1055"/>
      <c r="FR56" s="1055"/>
      <c r="FS56" s="1055"/>
      <c r="FT56" s="1055"/>
      <c r="FU56" s="1055"/>
      <c r="FV56" s="1055"/>
      <c r="FW56" s="1055"/>
      <c r="FX56" s="1055"/>
      <c r="FY56" s="1055"/>
      <c r="FZ56" s="1055"/>
      <c r="GA56" s="1055"/>
      <c r="GB56" s="1055"/>
      <c r="GC56" s="1055"/>
      <c r="GD56" s="1055"/>
      <c r="GE56" s="1055"/>
      <c r="GF56" s="1055"/>
      <c r="GG56" s="1055"/>
      <c r="GH56" s="1055"/>
      <c r="GI56" s="1055"/>
      <c r="GJ56" s="1055"/>
    </row>
    <row r="57" spans="1:192" s="1067" customFormat="1">
      <c r="A57" s="931" t="s">
        <v>525</v>
      </c>
      <c r="B57" s="912"/>
      <c r="C57" s="912"/>
      <c r="D57" s="912"/>
      <c r="E57" s="912"/>
      <c r="F57" s="912"/>
      <c r="G57" s="932"/>
      <c r="H57" s="1055"/>
      <c r="I57" s="1055"/>
      <c r="J57" s="1055"/>
      <c r="K57" s="1055"/>
      <c r="L57" s="1055"/>
      <c r="M57" s="1055"/>
      <c r="N57" s="1055"/>
      <c r="O57" s="1055"/>
      <c r="P57" s="1055"/>
      <c r="Q57" s="1055"/>
      <c r="R57" s="1055"/>
      <c r="S57" s="1055"/>
      <c r="T57" s="1055"/>
      <c r="U57" s="1055"/>
      <c r="V57" s="1055"/>
      <c r="W57" s="1055"/>
      <c r="X57" s="1055"/>
      <c r="Y57" s="1055"/>
      <c r="Z57" s="1055"/>
      <c r="AA57" s="1055"/>
      <c r="AB57" s="1055"/>
      <c r="AC57" s="1055"/>
      <c r="AD57" s="1055"/>
      <c r="AE57" s="1055"/>
      <c r="AF57" s="1055"/>
      <c r="AG57" s="1055"/>
      <c r="AH57" s="1055"/>
      <c r="AI57" s="1055"/>
      <c r="AJ57" s="1055"/>
      <c r="AK57" s="1055"/>
      <c r="AL57" s="1055"/>
      <c r="AM57" s="1055"/>
      <c r="AN57" s="1055"/>
      <c r="AO57" s="1055"/>
      <c r="AP57" s="1055"/>
      <c r="AQ57" s="1055"/>
      <c r="AR57" s="1055"/>
      <c r="AS57" s="1055"/>
      <c r="AT57" s="1055"/>
      <c r="AU57" s="1055"/>
      <c r="AV57" s="1055"/>
      <c r="AW57" s="1055"/>
      <c r="AX57" s="1055"/>
      <c r="AY57" s="1055"/>
      <c r="AZ57" s="1055"/>
      <c r="BA57" s="1055"/>
      <c r="BB57" s="1055"/>
      <c r="BC57" s="1055"/>
      <c r="BD57" s="1055"/>
      <c r="BE57" s="1055"/>
      <c r="BF57" s="1055"/>
      <c r="BG57" s="1055"/>
      <c r="BH57" s="1055"/>
      <c r="BI57" s="1055"/>
      <c r="BJ57" s="1055"/>
      <c r="BK57" s="1055"/>
      <c r="BL57" s="1055"/>
      <c r="BM57" s="1055"/>
      <c r="BN57" s="1055"/>
      <c r="BO57" s="1055"/>
      <c r="BP57" s="1055"/>
      <c r="BQ57" s="1055"/>
      <c r="BR57" s="1055"/>
      <c r="BS57" s="1055"/>
      <c r="BT57" s="1055"/>
      <c r="BU57" s="1055"/>
      <c r="BV57" s="1055"/>
      <c r="BW57" s="1055"/>
      <c r="BX57" s="1055"/>
      <c r="BY57" s="1055"/>
      <c r="BZ57" s="1055"/>
      <c r="CA57" s="1055"/>
      <c r="CB57" s="1055"/>
      <c r="CC57" s="1055"/>
      <c r="CD57" s="1055"/>
      <c r="CE57" s="1055"/>
      <c r="CF57" s="1055"/>
      <c r="CG57" s="1055"/>
      <c r="CH57" s="1055"/>
      <c r="CI57" s="1055"/>
      <c r="CJ57" s="1055"/>
      <c r="CK57" s="1055"/>
      <c r="CL57" s="1055"/>
      <c r="CM57" s="1055"/>
      <c r="CN57" s="1055"/>
      <c r="CO57" s="1055"/>
      <c r="CP57" s="1055"/>
      <c r="CQ57" s="1055"/>
      <c r="CR57" s="1055"/>
      <c r="CS57" s="1055"/>
      <c r="CT57" s="1055"/>
      <c r="CU57" s="1055"/>
      <c r="CV57" s="1055"/>
      <c r="CW57" s="1055"/>
      <c r="CX57" s="1055"/>
      <c r="CY57" s="1055"/>
      <c r="CZ57" s="1055"/>
      <c r="DA57" s="1055"/>
      <c r="DB57" s="1055"/>
      <c r="DC57" s="1055"/>
      <c r="DD57" s="1055"/>
      <c r="DE57" s="1055"/>
      <c r="DF57" s="1055"/>
      <c r="DG57" s="1055"/>
      <c r="DH57" s="1055"/>
      <c r="DI57" s="1055"/>
      <c r="DJ57" s="1055"/>
      <c r="DK57" s="1055"/>
      <c r="DL57" s="1055"/>
      <c r="DM57" s="1055"/>
      <c r="DN57" s="1055"/>
      <c r="DO57" s="1055"/>
      <c r="DP57" s="1055"/>
      <c r="DQ57" s="1055"/>
      <c r="DR57" s="1055"/>
      <c r="DS57" s="1055"/>
      <c r="DT57" s="1055"/>
      <c r="DU57" s="1055"/>
      <c r="DV57" s="1055"/>
      <c r="DW57" s="1055"/>
      <c r="DX57" s="1055"/>
      <c r="DY57" s="1055"/>
      <c r="DZ57" s="1055"/>
      <c r="EA57" s="1055"/>
      <c r="EB57" s="1055"/>
      <c r="EC57" s="1055"/>
      <c r="ED57" s="1055"/>
      <c r="EE57" s="1055"/>
      <c r="EF57" s="1055"/>
      <c r="EG57" s="1055"/>
      <c r="EH57" s="1055"/>
      <c r="EI57" s="1055"/>
      <c r="EJ57" s="1055"/>
      <c r="EK57" s="1055"/>
      <c r="EL57" s="1055"/>
      <c r="EM57" s="1055"/>
      <c r="EN57" s="1055"/>
      <c r="EO57" s="1055"/>
      <c r="EP57" s="1055"/>
      <c r="EQ57" s="1055"/>
      <c r="ER57" s="1055"/>
      <c r="ES57" s="1055"/>
      <c r="ET57" s="1055"/>
      <c r="EU57" s="1055"/>
      <c r="EV57" s="1055"/>
      <c r="EW57" s="1055"/>
      <c r="EX57" s="1055"/>
      <c r="EY57" s="1055"/>
      <c r="EZ57" s="1055"/>
      <c r="FA57" s="1055"/>
      <c r="FB57" s="1055"/>
      <c r="FC57" s="1055"/>
      <c r="FD57" s="1055"/>
      <c r="FE57" s="1055"/>
      <c r="FF57" s="1055"/>
      <c r="FG57" s="1055"/>
      <c r="FH57" s="1055"/>
      <c r="FI57" s="1055"/>
      <c r="FJ57" s="1055"/>
      <c r="FK57" s="1055"/>
      <c r="FL57" s="1055"/>
      <c r="FM57" s="1055"/>
      <c r="FN57" s="1055"/>
      <c r="FO57" s="1055"/>
      <c r="FP57" s="1055"/>
      <c r="FQ57" s="1055"/>
      <c r="FR57" s="1055"/>
      <c r="FS57" s="1055"/>
      <c r="FT57" s="1055"/>
      <c r="FU57" s="1055"/>
      <c r="FV57" s="1055"/>
      <c r="FW57" s="1055"/>
      <c r="FX57" s="1055"/>
      <c r="FY57" s="1055"/>
      <c r="FZ57" s="1055"/>
      <c r="GA57" s="1055"/>
      <c r="GB57" s="1055"/>
      <c r="GC57" s="1055"/>
      <c r="GD57" s="1055"/>
      <c r="GE57" s="1055"/>
      <c r="GF57" s="1055"/>
      <c r="GG57" s="1055"/>
      <c r="GH57" s="1055"/>
      <c r="GI57" s="1055"/>
      <c r="GJ57" s="1055"/>
    </row>
    <row r="58" spans="1:192" s="1067" customFormat="1">
      <c r="A58" s="1069"/>
      <c r="B58" s="1070"/>
      <c r="C58" s="1071"/>
      <c r="D58" s="1071"/>
      <c r="E58" s="1071"/>
      <c r="F58" s="1072"/>
      <c r="G58" s="1073"/>
      <c r="H58" s="1055"/>
      <c r="I58" s="1055"/>
      <c r="J58" s="1055"/>
      <c r="K58" s="1055"/>
      <c r="L58" s="1055"/>
      <c r="M58" s="1055"/>
      <c r="N58" s="1055"/>
      <c r="O58" s="1055"/>
      <c r="P58" s="1055"/>
      <c r="Q58" s="1055"/>
      <c r="R58" s="1055"/>
      <c r="S58" s="1055"/>
      <c r="T58" s="1055"/>
      <c r="U58" s="1055"/>
      <c r="V58" s="1055"/>
      <c r="W58" s="1055"/>
      <c r="X58" s="1055"/>
      <c r="Y58" s="1055"/>
      <c r="Z58" s="1055"/>
      <c r="AA58" s="1055"/>
      <c r="AB58" s="1055"/>
      <c r="AC58" s="1055"/>
      <c r="AD58" s="1055"/>
      <c r="AE58" s="1055"/>
      <c r="AF58" s="1055"/>
      <c r="AG58" s="1055"/>
      <c r="AH58" s="1055"/>
      <c r="AI58" s="1055"/>
      <c r="AJ58" s="1055"/>
      <c r="AK58" s="1055"/>
      <c r="AL58" s="1055"/>
      <c r="AM58" s="1055"/>
      <c r="AN58" s="1055"/>
      <c r="AO58" s="1055"/>
      <c r="AP58" s="1055"/>
      <c r="AQ58" s="1055"/>
      <c r="AR58" s="1055"/>
      <c r="AS58" s="1055"/>
      <c r="AT58" s="1055"/>
      <c r="AU58" s="1055"/>
      <c r="AV58" s="1055"/>
      <c r="AW58" s="1055"/>
      <c r="AX58" s="1055"/>
      <c r="AY58" s="1055"/>
      <c r="AZ58" s="1055"/>
      <c r="BA58" s="1055"/>
      <c r="BB58" s="1055"/>
      <c r="BC58" s="1055"/>
      <c r="BD58" s="1055"/>
      <c r="BE58" s="1055"/>
      <c r="BF58" s="1055"/>
      <c r="BG58" s="1055"/>
      <c r="BH58" s="1055"/>
      <c r="BI58" s="1055"/>
      <c r="BJ58" s="1055"/>
      <c r="BK58" s="1055"/>
      <c r="BL58" s="1055"/>
      <c r="BM58" s="1055"/>
      <c r="BN58" s="1055"/>
      <c r="BO58" s="1055"/>
      <c r="BP58" s="1055"/>
      <c r="BQ58" s="1055"/>
      <c r="BR58" s="1055"/>
      <c r="BS58" s="1055"/>
      <c r="BT58" s="1055"/>
      <c r="BU58" s="1055"/>
      <c r="BV58" s="1055"/>
      <c r="BW58" s="1055"/>
      <c r="BX58" s="1055"/>
      <c r="BY58" s="1055"/>
      <c r="BZ58" s="1055"/>
      <c r="CA58" s="1055"/>
      <c r="CB58" s="1055"/>
      <c r="CC58" s="1055"/>
      <c r="CD58" s="1055"/>
      <c r="CE58" s="1055"/>
      <c r="CF58" s="1055"/>
      <c r="CG58" s="1055"/>
      <c r="CH58" s="1055"/>
      <c r="CI58" s="1055"/>
      <c r="CJ58" s="1055"/>
      <c r="CK58" s="1055"/>
      <c r="CL58" s="1055"/>
      <c r="CM58" s="1055"/>
      <c r="CN58" s="1055"/>
      <c r="CO58" s="1055"/>
      <c r="CP58" s="1055"/>
      <c r="CQ58" s="1055"/>
      <c r="CR58" s="1055"/>
      <c r="CS58" s="1055"/>
      <c r="CT58" s="1055"/>
      <c r="CU58" s="1055"/>
      <c r="CV58" s="1055"/>
      <c r="CW58" s="1055"/>
      <c r="CX58" s="1055"/>
      <c r="CY58" s="1055"/>
      <c r="CZ58" s="1055"/>
      <c r="DA58" s="1055"/>
      <c r="DB58" s="1055"/>
      <c r="DC58" s="1055"/>
      <c r="DD58" s="1055"/>
      <c r="DE58" s="1055"/>
      <c r="DF58" s="1055"/>
      <c r="DG58" s="1055"/>
      <c r="DH58" s="1055"/>
      <c r="DI58" s="1055"/>
      <c r="DJ58" s="1055"/>
      <c r="DK58" s="1055"/>
      <c r="DL58" s="1055"/>
      <c r="DM58" s="1055"/>
      <c r="DN58" s="1055"/>
      <c r="DO58" s="1055"/>
      <c r="DP58" s="1055"/>
      <c r="DQ58" s="1055"/>
      <c r="DR58" s="1055"/>
      <c r="DS58" s="1055"/>
      <c r="DT58" s="1055"/>
      <c r="DU58" s="1055"/>
      <c r="DV58" s="1055"/>
      <c r="DW58" s="1055"/>
      <c r="DX58" s="1055"/>
      <c r="DY58" s="1055"/>
      <c r="DZ58" s="1055"/>
      <c r="EA58" s="1055"/>
      <c r="EB58" s="1055"/>
      <c r="EC58" s="1055"/>
      <c r="ED58" s="1055"/>
      <c r="EE58" s="1055"/>
      <c r="EF58" s="1055"/>
      <c r="EG58" s="1055"/>
      <c r="EH58" s="1055"/>
      <c r="EI58" s="1055"/>
      <c r="EJ58" s="1055"/>
      <c r="EK58" s="1055"/>
      <c r="EL58" s="1055"/>
      <c r="EM58" s="1055"/>
      <c r="EN58" s="1055"/>
      <c r="EO58" s="1055"/>
      <c r="EP58" s="1055"/>
      <c r="EQ58" s="1055"/>
      <c r="ER58" s="1055"/>
      <c r="ES58" s="1055"/>
      <c r="ET58" s="1055"/>
      <c r="EU58" s="1055"/>
      <c r="EV58" s="1055"/>
      <c r="EW58" s="1055"/>
      <c r="EX58" s="1055"/>
      <c r="EY58" s="1055"/>
      <c r="EZ58" s="1055"/>
      <c r="FA58" s="1055"/>
      <c r="FB58" s="1055"/>
      <c r="FC58" s="1055"/>
      <c r="FD58" s="1055"/>
      <c r="FE58" s="1055"/>
      <c r="FF58" s="1055"/>
      <c r="FG58" s="1055"/>
      <c r="FH58" s="1055"/>
      <c r="FI58" s="1055"/>
      <c r="FJ58" s="1055"/>
      <c r="FK58" s="1055"/>
      <c r="FL58" s="1055"/>
      <c r="FM58" s="1055"/>
      <c r="FN58" s="1055"/>
      <c r="FO58" s="1055"/>
      <c r="FP58" s="1055"/>
      <c r="FQ58" s="1055"/>
      <c r="FR58" s="1055"/>
      <c r="FS58" s="1055"/>
      <c r="FT58" s="1055"/>
      <c r="FU58" s="1055"/>
      <c r="FV58" s="1055"/>
      <c r="FW58" s="1055"/>
      <c r="FX58" s="1055"/>
      <c r="FY58" s="1055"/>
      <c r="FZ58" s="1055"/>
      <c r="GA58" s="1055"/>
      <c r="GB58" s="1055"/>
      <c r="GC58" s="1055"/>
      <c r="GD58" s="1055"/>
      <c r="GE58" s="1055"/>
      <c r="GF58" s="1055"/>
      <c r="GG58" s="1055"/>
      <c r="GH58" s="1055"/>
      <c r="GI58" s="1055"/>
      <c r="GJ58" s="1055"/>
    </row>
    <row r="59" spans="1:192" s="1067" customFormat="1">
      <c r="A59" s="935" t="s">
        <v>506</v>
      </c>
      <c r="B59" s="936"/>
      <c r="C59" s="936"/>
      <c r="D59" s="936"/>
      <c r="E59" s="936"/>
      <c r="F59" s="936"/>
      <c r="G59" s="914"/>
      <c r="H59" s="1055"/>
      <c r="I59" s="1055"/>
      <c r="J59" s="1055"/>
      <c r="K59" s="1055"/>
      <c r="L59" s="1055"/>
      <c r="M59" s="1055"/>
      <c r="N59" s="1055"/>
      <c r="O59" s="1055"/>
      <c r="P59" s="1055"/>
      <c r="Q59" s="1055"/>
      <c r="R59" s="1055"/>
      <c r="S59" s="1055"/>
      <c r="T59" s="1055"/>
      <c r="U59" s="1055"/>
      <c r="V59" s="1055"/>
      <c r="W59" s="1055"/>
      <c r="X59" s="1055"/>
      <c r="Y59" s="1055"/>
      <c r="Z59" s="1055"/>
      <c r="AA59" s="1055"/>
      <c r="AB59" s="1055"/>
      <c r="AC59" s="1055"/>
      <c r="AD59" s="1055"/>
      <c r="AE59" s="1055"/>
      <c r="AF59" s="1055"/>
      <c r="AG59" s="1055"/>
      <c r="AH59" s="1055"/>
      <c r="AI59" s="1055"/>
      <c r="AJ59" s="1055"/>
      <c r="AK59" s="1055"/>
      <c r="AL59" s="1055"/>
      <c r="AM59" s="1055"/>
      <c r="AN59" s="1055"/>
      <c r="AO59" s="1055"/>
      <c r="AP59" s="1055"/>
      <c r="AQ59" s="1055"/>
      <c r="AR59" s="1055"/>
      <c r="AS59" s="1055"/>
      <c r="AT59" s="1055"/>
      <c r="AU59" s="1055"/>
      <c r="AV59" s="1055"/>
      <c r="AW59" s="1055"/>
      <c r="AX59" s="1055"/>
      <c r="AY59" s="1055"/>
      <c r="AZ59" s="1055"/>
      <c r="BA59" s="1055"/>
      <c r="BB59" s="1055"/>
      <c r="BC59" s="1055"/>
      <c r="BD59" s="1055"/>
      <c r="BE59" s="1055"/>
      <c r="BF59" s="1055"/>
      <c r="BG59" s="1055"/>
      <c r="BH59" s="1055"/>
      <c r="BI59" s="1055"/>
      <c r="BJ59" s="1055"/>
      <c r="BK59" s="1055"/>
      <c r="BL59" s="1055"/>
      <c r="BM59" s="1055"/>
      <c r="BN59" s="1055"/>
      <c r="BO59" s="1055"/>
      <c r="BP59" s="1055"/>
      <c r="BQ59" s="1055"/>
      <c r="BR59" s="1055"/>
      <c r="BS59" s="1055"/>
      <c r="BT59" s="1055"/>
      <c r="BU59" s="1055"/>
      <c r="BV59" s="1055"/>
      <c r="BW59" s="1055"/>
      <c r="BX59" s="1055"/>
      <c r="BY59" s="1055"/>
      <c r="BZ59" s="1055"/>
      <c r="CA59" s="1055"/>
      <c r="CB59" s="1055"/>
      <c r="CC59" s="1055"/>
      <c r="CD59" s="1055"/>
      <c r="CE59" s="1055"/>
      <c r="CF59" s="1055"/>
      <c r="CG59" s="1055"/>
      <c r="CH59" s="1055"/>
      <c r="CI59" s="1055"/>
      <c r="CJ59" s="1055"/>
      <c r="CK59" s="1055"/>
      <c r="CL59" s="1055"/>
      <c r="CM59" s="1055"/>
      <c r="CN59" s="1055"/>
      <c r="CO59" s="1055"/>
      <c r="CP59" s="1055"/>
      <c r="CQ59" s="1055"/>
      <c r="CR59" s="1055"/>
      <c r="CS59" s="1055"/>
      <c r="CT59" s="1055"/>
      <c r="CU59" s="1055"/>
      <c r="CV59" s="1055"/>
      <c r="CW59" s="1055"/>
      <c r="CX59" s="1055"/>
      <c r="CY59" s="1055"/>
      <c r="CZ59" s="1055"/>
      <c r="DA59" s="1055"/>
      <c r="DB59" s="1055"/>
      <c r="DC59" s="1055"/>
      <c r="DD59" s="1055"/>
      <c r="DE59" s="1055"/>
      <c r="DF59" s="1055"/>
      <c r="DG59" s="1055"/>
      <c r="DH59" s="1055"/>
      <c r="DI59" s="1055"/>
      <c r="DJ59" s="1055"/>
      <c r="DK59" s="1055"/>
      <c r="DL59" s="1055"/>
      <c r="DM59" s="1055"/>
      <c r="DN59" s="1055"/>
      <c r="DO59" s="1055"/>
      <c r="DP59" s="1055"/>
      <c r="DQ59" s="1055"/>
      <c r="DR59" s="1055"/>
      <c r="DS59" s="1055"/>
      <c r="DT59" s="1055"/>
      <c r="DU59" s="1055"/>
      <c r="DV59" s="1055"/>
      <c r="DW59" s="1055"/>
      <c r="DX59" s="1055"/>
      <c r="DY59" s="1055"/>
      <c r="DZ59" s="1055"/>
      <c r="EA59" s="1055"/>
      <c r="EB59" s="1055"/>
      <c r="EC59" s="1055"/>
      <c r="ED59" s="1055"/>
      <c r="EE59" s="1055"/>
      <c r="EF59" s="1055"/>
      <c r="EG59" s="1055"/>
      <c r="EH59" s="1055"/>
      <c r="EI59" s="1055"/>
      <c r="EJ59" s="1055"/>
      <c r="EK59" s="1055"/>
      <c r="EL59" s="1055"/>
      <c r="EM59" s="1055"/>
      <c r="EN59" s="1055"/>
      <c r="EO59" s="1055"/>
      <c r="EP59" s="1055"/>
      <c r="EQ59" s="1055"/>
      <c r="ER59" s="1055"/>
      <c r="ES59" s="1055"/>
      <c r="ET59" s="1055"/>
      <c r="EU59" s="1055"/>
      <c r="EV59" s="1055"/>
      <c r="EW59" s="1055"/>
      <c r="EX59" s="1055"/>
      <c r="EY59" s="1055"/>
      <c r="EZ59" s="1055"/>
      <c r="FA59" s="1055"/>
      <c r="FB59" s="1055"/>
      <c r="FC59" s="1055"/>
      <c r="FD59" s="1055"/>
      <c r="FE59" s="1055"/>
      <c r="FF59" s="1055"/>
      <c r="FG59" s="1055"/>
      <c r="FH59" s="1055"/>
      <c r="FI59" s="1055"/>
      <c r="FJ59" s="1055"/>
      <c r="FK59" s="1055"/>
      <c r="FL59" s="1055"/>
      <c r="FM59" s="1055"/>
      <c r="FN59" s="1055"/>
      <c r="FO59" s="1055"/>
      <c r="FP59" s="1055"/>
      <c r="FQ59" s="1055"/>
      <c r="FR59" s="1055"/>
      <c r="FS59" s="1055"/>
      <c r="FT59" s="1055"/>
      <c r="FU59" s="1055"/>
      <c r="FV59" s="1055"/>
      <c r="FW59" s="1055"/>
      <c r="FX59" s="1055"/>
      <c r="FY59" s="1055"/>
      <c r="FZ59" s="1055"/>
      <c r="GA59" s="1055"/>
      <c r="GB59" s="1055"/>
      <c r="GC59" s="1055"/>
      <c r="GD59" s="1055"/>
      <c r="GE59" s="1055"/>
      <c r="GF59" s="1055"/>
      <c r="GG59" s="1055"/>
      <c r="GH59" s="1055"/>
      <c r="GI59" s="1055"/>
      <c r="GJ59" s="1055"/>
    </row>
    <row r="60" spans="1:192" s="1067" customFormat="1">
      <c r="A60" s="937" t="s">
        <v>576</v>
      </c>
      <c r="B60" s="938"/>
      <c r="C60" s="939"/>
      <c r="D60" s="939"/>
      <c r="E60" s="939"/>
      <c r="F60" s="939"/>
      <c r="G60" s="940"/>
      <c r="H60" s="1055"/>
      <c r="I60" s="1055"/>
      <c r="J60" s="1055"/>
      <c r="K60" s="1055"/>
      <c r="L60" s="1055"/>
      <c r="M60" s="1055"/>
      <c r="N60" s="1055"/>
      <c r="O60" s="1055"/>
      <c r="P60" s="1055"/>
      <c r="Q60" s="1055"/>
      <c r="R60" s="1055"/>
      <c r="S60" s="1055"/>
      <c r="T60" s="1055"/>
      <c r="U60" s="1055"/>
      <c r="V60" s="1055"/>
      <c r="W60" s="1055"/>
      <c r="X60" s="1055"/>
      <c r="Y60" s="1055"/>
      <c r="Z60" s="1055"/>
      <c r="AA60" s="1055"/>
      <c r="AB60" s="1055"/>
      <c r="AC60" s="1055"/>
      <c r="AD60" s="1055"/>
      <c r="AE60" s="1055"/>
      <c r="AF60" s="1055"/>
      <c r="AG60" s="1055"/>
      <c r="AH60" s="1055"/>
      <c r="AI60" s="1055"/>
      <c r="AJ60" s="1055"/>
      <c r="AK60" s="1055"/>
      <c r="AL60" s="1055"/>
      <c r="AM60" s="1055"/>
      <c r="AN60" s="1055"/>
      <c r="AO60" s="1055"/>
      <c r="AP60" s="1055"/>
      <c r="AQ60" s="1055"/>
      <c r="AR60" s="1055"/>
      <c r="AS60" s="1055"/>
      <c r="AT60" s="1055"/>
      <c r="AU60" s="1055"/>
      <c r="AV60" s="1055"/>
      <c r="AW60" s="1055"/>
      <c r="AX60" s="1055"/>
      <c r="AY60" s="1055"/>
      <c r="AZ60" s="1055"/>
      <c r="BA60" s="1055"/>
      <c r="BB60" s="1055"/>
      <c r="BC60" s="1055"/>
      <c r="BD60" s="1055"/>
      <c r="BE60" s="1055"/>
      <c r="BF60" s="1055"/>
      <c r="BG60" s="1055"/>
      <c r="BH60" s="1055"/>
      <c r="BI60" s="1055"/>
      <c r="BJ60" s="1055"/>
      <c r="BK60" s="1055"/>
      <c r="BL60" s="1055"/>
      <c r="BM60" s="1055"/>
      <c r="BN60" s="1055"/>
      <c r="BO60" s="1055"/>
      <c r="BP60" s="1055"/>
      <c r="BQ60" s="1055"/>
      <c r="BR60" s="1055"/>
      <c r="BS60" s="1055"/>
      <c r="BT60" s="1055"/>
      <c r="BU60" s="1055"/>
      <c r="BV60" s="1055"/>
      <c r="BW60" s="1055"/>
      <c r="BX60" s="1055"/>
      <c r="BY60" s="1055"/>
      <c r="BZ60" s="1055"/>
      <c r="CA60" s="1055"/>
      <c r="CB60" s="1055"/>
      <c r="CC60" s="1055"/>
      <c r="CD60" s="1055"/>
      <c r="CE60" s="1055"/>
      <c r="CF60" s="1055"/>
      <c r="CG60" s="1055"/>
      <c r="CH60" s="1055"/>
      <c r="CI60" s="1055"/>
      <c r="CJ60" s="1055"/>
      <c r="CK60" s="1055"/>
      <c r="CL60" s="1055"/>
      <c r="CM60" s="1055"/>
      <c r="CN60" s="1055"/>
      <c r="CO60" s="1055"/>
      <c r="CP60" s="1055"/>
      <c r="CQ60" s="1055"/>
      <c r="CR60" s="1055"/>
      <c r="CS60" s="1055"/>
      <c r="CT60" s="1055"/>
      <c r="CU60" s="1055"/>
      <c r="CV60" s="1055"/>
      <c r="CW60" s="1055"/>
      <c r="CX60" s="1055"/>
      <c r="CY60" s="1055"/>
      <c r="CZ60" s="1055"/>
      <c r="DA60" s="1055"/>
      <c r="DB60" s="1055"/>
      <c r="DC60" s="1055"/>
      <c r="DD60" s="1055"/>
      <c r="DE60" s="1055"/>
      <c r="DF60" s="1055"/>
      <c r="DG60" s="1055"/>
      <c r="DH60" s="1055"/>
      <c r="DI60" s="1055"/>
      <c r="DJ60" s="1055"/>
      <c r="DK60" s="1055"/>
      <c r="DL60" s="1055"/>
      <c r="DM60" s="1055"/>
      <c r="DN60" s="1055"/>
      <c r="DO60" s="1055"/>
      <c r="DP60" s="1055"/>
      <c r="DQ60" s="1055"/>
      <c r="DR60" s="1055"/>
      <c r="DS60" s="1055"/>
      <c r="DT60" s="1055"/>
      <c r="DU60" s="1055"/>
      <c r="DV60" s="1055"/>
      <c r="DW60" s="1055"/>
      <c r="DX60" s="1055"/>
      <c r="DY60" s="1055"/>
      <c r="DZ60" s="1055"/>
      <c r="EA60" s="1055"/>
      <c r="EB60" s="1055"/>
      <c r="EC60" s="1055"/>
      <c r="ED60" s="1055"/>
      <c r="EE60" s="1055"/>
      <c r="EF60" s="1055"/>
      <c r="EG60" s="1055"/>
      <c r="EH60" s="1055"/>
      <c r="EI60" s="1055"/>
      <c r="EJ60" s="1055"/>
      <c r="EK60" s="1055"/>
      <c r="EL60" s="1055"/>
      <c r="EM60" s="1055"/>
      <c r="EN60" s="1055"/>
      <c r="EO60" s="1055"/>
      <c r="EP60" s="1055"/>
      <c r="EQ60" s="1055"/>
      <c r="ER60" s="1055"/>
      <c r="ES60" s="1055"/>
      <c r="ET60" s="1055"/>
      <c r="EU60" s="1055"/>
      <c r="EV60" s="1055"/>
      <c r="EW60" s="1055"/>
      <c r="EX60" s="1055"/>
      <c r="EY60" s="1055"/>
      <c r="EZ60" s="1055"/>
      <c r="FA60" s="1055"/>
      <c r="FB60" s="1055"/>
      <c r="FC60" s="1055"/>
      <c r="FD60" s="1055"/>
      <c r="FE60" s="1055"/>
      <c r="FF60" s="1055"/>
      <c r="FG60" s="1055"/>
      <c r="FH60" s="1055"/>
      <c r="FI60" s="1055"/>
      <c r="FJ60" s="1055"/>
      <c r="FK60" s="1055"/>
      <c r="FL60" s="1055"/>
      <c r="FM60" s="1055"/>
      <c r="FN60" s="1055"/>
      <c r="FO60" s="1055"/>
      <c r="FP60" s="1055"/>
      <c r="FQ60" s="1055"/>
      <c r="FR60" s="1055"/>
      <c r="FS60" s="1055"/>
      <c r="FT60" s="1055"/>
      <c r="FU60" s="1055"/>
      <c r="FV60" s="1055"/>
      <c r="FW60" s="1055"/>
      <c r="FX60" s="1055"/>
      <c r="FY60" s="1055"/>
      <c r="FZ60" s="1055"/>
      <c r="GA60" s="1055"/>
      <c r="GB60" s="1055"/>
      <c r="GC60" s="1055"/>
      <c r="GD60" s="1055"/>
      <c r="GE60" s="1055"/>
      <c r="GF60" s="1055"/>
      <c r="GG60" s="1055"/>
      <c r="GH60" s="1055"/>
      <c r="GI60" s="1055"/>
      <c r="GJ60" s="1055"/>
    </row>
    <row r="61" spans="1:192" s="1067" customFormat="1">
      <c r="A61" s="941"/>
      <c r="B61" s="938"/>
      <c r="C61" s="939"/>
      <c r="D61" s="939"/>
      <c r="E61" s="939"/>
      <c r="F61" s="939"/>
      <c r="G61" s="940"/>
      <c r="H61" s="1055"/>
      <c r="I61" s="1055"/>
      <c r="J61" s="1055"/>
      <c r="K61" s="1055"/>
      <c r="L61" s="1055"/>
      <c r="M61" s="1055"/>
      <c r="N61" s="1055"/>
      <c r="O61" s="1055"/>
      <c r="P61" s="1055"/>
      <c r="Q61" s="1055"/>
      <c r="R61" s="1055"/>
      <c r="S61" s="1055"/>
      <c r="T61" s="1055"/>
      <c r="U61" s="1055"/>
      <c r="V61" s="1055"/>
      <c r="W61" s="1055"/>
      <c r="X61" s="1055"/>
      <c r="Y61" s="1055"/>
      <c r="Z61" s="1055"/>
      <c r="AA61" s="1055"/>
      <c r="AB61" s="1055"/>
      <c r="AC61" s="1055"/>
      <c r="AD61" s="1055"/>
      <c r="AE61" s="1055"/>
      <c r="AF61" s="1055"/>
      <c r="AG61" s="1055"/>
      <c r="AH61" s="1055"/>
      <c r="AI61" s="1055"/>
      <c r="AJ61" s="1055"/>
      <c r="AK61" s="1055"/>
      <c r="AL61" s="1055"/>
      <c r="AM61" s="1055"/>
      <c r="AN61" s="1055"/>
      <c r="AO61" s="1055"/>
      <c r="AP61" s="1055"/>
      <c r="AQ61" s="1055"/>
      <c r="AR61" s="1055"/>
      <c r="AS61" s="1055"/>
      <c r="AT61" s="1055"/>
      <c r="AU61" s="1055"/>
      <c r="AV61" s="1055"/>
      <c r="AW61" s="1055"/>
      <c r="AX61" s="1055"/>
      <c r="AY61" s="1055"/>
      <c r="AZ61" s="1055"/>
      <c r="BA61" s="1055"/>
      <c r="BB61" s="1055"/>
      <c r="BC61" s="1055"/>
      <c r="BD61" s="1055"/>
      <c r="BE61" s="1055"/>
      <c r="BF61" s="1055"/>
      <c r="BG61" s="1055"/>
      <c r="BH61" s="1055"/>
      <c r="BI61" s="1055"/>
      <c r="BJ61" s="1055"/>
      <c r="BK61" s="1055"/>
      <c r="BL61" s="1055"/>
      <c r="BM61" s="1055"/>
      <c r="BN61" s="1055"/>
      <c r="BO61" s="1055"/>
      <c r="BP61" s="1055"/>
      <c r="BQ61" s="1055"/>
      <c r="BR61" s="1055"/>
      <c r="BS61" s="1055"/>
      <c r="BT61" s="1055"/>
      <c r="BU61" s="1055"/>
      <c r="BV61" s="1055"/>
      <c r="BW61" s="1055"/>
      <c r="BX61" s="1055"/>
      <c r="BY61" s="1055"/>
      <c r="BZ61" s="1055"/>
      <c r="CA61" s="1055"/>
      <c r="CB61" s="1055"/>
      <c r="CC61" s="1055"/>
      <c r="CD61" s="1055"/>
      <c r="CE61" s="1055"/>
      <c r="CF61" s="1055"/>
      <c r="CG61" s="1055"/>
      <c r="CH61" s="1055"/>
      <c r="CI61" s="1055"/>
      <c r="CJ61" s="1055"/>
      <c r="CK61" s="1055"/>
      <c r="CL61" s="1055"/>
      <c r="CM61" s="1055"/>
      <c r="CN61" s="1055"/>
      <c r="CO61" s="1055"/>
      <c r="CP61" s="1055"/>
      <c r="CQ61" s="1055"/>
      <c r="CR61" s="1055"/>
      <c r="CS61" s="1055"/>
      <c r="CT61" s="1055"/>
      <c r="CU61" s="1055"/>
      <c r="CV61" s="1055"/>
      <c r="CW61" s="1055"/>
      <c r="CX61" s="1055"/>
      <c r="CY61" s="1055"/>
      <c r="CZ61" s="1055"/>
      <c r="DA61" s="1055"/>
      <c r="DB61" s="1055"/>
      <c r="DC61" s="1055"/>
      <c r="DD61" s="1055"/>
      <c r="DE61" s="1055"/>
      <c r="DF61" s="1055"/>
      <c r="DG61" s="1055"/>
      <c r="DH61" s="1055"/>
      <c r="DI61" s="1055"/>
      <c r="DJ61" s="1055"/>
      <c r="DK61" s="1055"/>
      <c r="DL61" s="1055"/>
      <c r="DM61" s="1055"/>
      <c r="DN61" s="1055"/>
      <c r="DO61" s="1055"/>
      <c r="DP61" s="1055"/>
      <c r="DQ61" s="1055"/>
      <c r="DR61" s="1055"/>
      <c r="DS61" s="1055"/>
      <c r="DT61" s="1055"/>
      <c r="DU61" s="1055"/>
      <c r="DV61" s="1055"/>
      <c r="DW61" s="1055"/>
      <c r="DX61" s="1055"/>
      <c r="DY61" s="1055"/>
      <c r="DZ61" s="1055"/>
      <c r="EA61" s="1055"/>
      <c r="EB61" s="1055"/>
      <c r="EC61" s="1055"/>
      <c r="ED61" s="1055"/>
      <c r="EE61" s="1055"/>
      <c r="EF61" s="1055"/>
      <c r="EG61" s="1055"/>
      <c r="EH61" s="1055"/>
      <c r="EI61" s="1055"/>
      <c r="EJ61" s="1055"/>
      <c r="EK61" s="1055"/>
      <c r="EL61" s="1055"/>
      <c r="EM61" s="1055"/>
      <c r="EN61" s="1055"/>
      <c r="EO61" s="1055"/>
      <c r="EP61" s="1055"/>
      <c r="EQ61" s="1055"/>
      <c r="ER61" s="1055"/>
      <c r="ES61" s="1055"/>
      <c r="ET61" s="1055"/>
      <c r="EU61" s="1055"/>
      <c r="EV61" s="1055"/>
      <c r="EW61" s="1055"/>
      <c r="EX61" s="1055"/>
      <c r="EY61" s="1055"/>
      <c r="EZ61" s="1055"/>
      <c r="FA61" s="1055"/>
      <c r="FB61" s="1055"/>
      <c r="FC61" s="1055"/>
      <c r="FD61" s="1055"/>
      <c r="FE61" s="1055"/>
      <c r="FF61" s="1055"/>
      <c r="FG61" s="1055"/>
      <c r="FH61" s="1055"/>
      <c r="FI61" s="1055"/>
      <c r="FJ61" s="1055"/>
      <c r="FK61" s="1055"/>
      <c r="FL61" s="1055"/>
      <c r="FM61" s="1055"/>
      <c r="FN61" s="1055"/>
      <c r="FO61" s="1055"/>
      <c r="FP61" s="1055"/>
      <c r="FQ61" s="1055"/>
      <c r="FR61" s="1055"/>
      <c r="FS61" s="1055"/>
      <c r="FT61" s="1055"/>
      <c r="FU61" s="1055"/>
      <c r="FV61" s="1055"/>
      <c r="FW61" s="1055"/>
      <c r="FX61" s="1055"/>
      <c r="FY61" s="1055"/>
      <c r="FZ61" s="1055"/>
      <c r="GA61" s="1055"/>
      <c r="GB61" s="1055"/>
      <c r="GC61" s="1055"/>
      <c r="GD61" s="1055"/>
      <c r="GE61" s="1055"/>
      <c r="GF61" s="1055"/>
      <c r="GG61" s="1055"/>
      <c r="GH61" s="1055"/>
      <c r="GI61" s="1055"/>
      <c r="GJ61" s="1055"/>
    </row>
    <row r="62" spans="1:192">
      <c r="A62" s="922"/>
      <c r="B62" s="912"/>
      <c r="C62" s="912"/>
      <c r="D62" s="912"/>
      <c r="E62" s="912"/>
      <c r="F62" s="912"/>
      <c r="G62" s="914"/>
    </row>
    <row r="63" spans="1:192">
      <c r="A63" s="941" t="s">
        <v>68</v>
      </c>
      <c r="B63" s="911" t="s">
        <v>182</v>
      </c>
      <c r="C63" s="938" t="s">
        <v>46</v>
      </c>
      <c r="D63" s="938" t="s">
        <v>69</v>
      </c>
      <c r="E63" s="938" t="s">
        <v>67</v>
      </c>
      <c r="F63" s="938" t="s">
        <v>340</v>
      </c>
      <c r="G63" s="938" t="s">
        <v>70</v>
      </c>
    </row>
    <row r="64" spans="1:192">
      <c r="A64" s="943" t="s">
        <v>236</v>
      </c>
      <c r="B64" s="916" t="s">
        <v>181</v>
      </c>
      <c r="C64" s="916" t="s">
        <v>248</v>
      </c>
      <c r="D64" s="936" t="s">
        <v>249</v>
      </c>
      <c r="E64" s="936"/>
      <c r="F64" s="936"/>
      <c r="G64" s="944"/>
    </row>
    <row r="65" spans="1:192">
      <c r="A65" s="923"/>
      <c r="B65" s="916"/>
      <c r="C65" s="916" t="s">
        <v>612</v>
      </c>
      <c r="D65" s="936" t="s">
        <v>234</v>
      </c>
      <c r="E65" s="936" t="s">
        <v>245</v>
      </c>
      <c r="F65" s="936" t="s">
        <v>247</v>
      </c>
      <c r="G65" s="936" t="s">
        <v>617</v>
      </c>
    </row>
    <row r="66" spans="1:192">
      <c r="A66" s="922"/>
      <c r="B66" s="939"/>
      <c r="C66" s="916" t="s">
        <v>692</v>
      </c>
      <c r="D66" s="912"/>
      <c r="E66" s="912"/>
      <c r="F66" s="912"/>
      <c r="G66" s="910"/>
    </row>
    <row r="67" spans="1:192">
      <c r="A67" s="902" t="s">
        <v>754</v>
      </c>
      <c r="B67" s="900">
        <f>SUM(C67:F67)</f>
        <v>-900322917.70355105</v>
      </c>
      <c r="C67" s="900">
        <v>-95359790.827335417</v>
      </c>
      <c r="D67" s="900">
        <v>0</v>
      </c>
      <c r="E67" s="900">
        <v>-804963126.8762157</v>
      </c>
      <c r="F67" s="900">
        <v>0</v>
      </c>
      <c r="G67" s="901" t="s">
        <v>785</v>
      </c>
    </row>
    <row r="68" spans="1:192" ht="75">
      <c r="A68" s="902" t="s">
        <v>786</v>
      </c>
      <c r="B68" s="900">
        <f t="shared" ref="B68:B76" si="1">SUM(C68:F68)</f>
        <v>37050972.741660662</v>
      </c>
      <c r="C68" s="900">
        <v>37050972.741660662</v>
      </c>
      <c r="D68" s="900">
        <v>0</v>
      </c>
      <c r="E68" s="900">
        <v>0</v>
      </c>
      <c r="F68" s="900">
        <v>0</v>
      </c>
      <c r="G68" s="901" t="s">
        <v>854</v>
      </c>
    </row>
    <row r="69" spans="1:192" ht="60">
      <c r="A69" s="902" t="s">
        <v>787</v>
      </c>
      <c r="B69" s="900">
        <f t="shared" si="1"/>
        <v>-12985796.5631114</v>
      </c>
      <c r="C69" s="900">
        <f>-12985788.5631114-8</f>
        <v>-12985796.5631114</v>
      </c>
      <c r="D69" s="900">
        <v>0</v>
      </c>
      <c r="E69" s="900">
        <v>0</v>
      </c>
      <c r="F69" s="900">
        <v>0</v>
      </c>
      <c r="G69" s="901" t="s">
        <v>855</v>
      </c>
    </row>
    <row r="70" spans="1:192" ht="60">
      <c r="A70" s="902" t="s">
        <v>788</v>
      </c>
      <c r="B70" s="900">
        <f t="shared" si="1"/>
        <v>-12327853.96751106</v>
      </c>
      <c r="C70" s="900">
        <v>-11276335.488483379</v>
      </c>
      <c r="D70" s="900">
        <v>0</v>
      </c>
      <c r="E70" s="900">
        <v>-1051518.4790276806</v>
      </c>
      <c r="F70" s="900">
        <v>0</v>
      </c>
      <c r="G70" s="901" t="s">
        <v>779</v>
      </c>
    </row>
    <row r="71" spans="1:192" ht="30">
      <c r="A71" s="902" t="s">
        <v>789</v>
      </c>
      <c r="B71" s="900">
        <f t="shared" si="1"/>
        <v>-3351175.5416867957</v>
      </c>
      <c r="C71" s="900">
        <v>0</v>
      </c>
      <c r="D71" s="900">
        <v>-3351175.5416867957</v>
      </c>
      <c r="E71" s="900">
        <v>0</v>
      </c>
      <c r="F71" s="900">
        <v>0</v>
      </c>
      <c r="G71" s="901" t="s">
        <v>856</v>
      </c>
    </row>
    <row r="72" spans="1:192" ht="60">
      <c r="A72" s="902" t="s">
        <v>790</v>
      </c>
      <c r="B72" s="900">
        <f t="shared" si="1"/>
        <v>-7189567.9325042767</v>
      </c>
      <c r="C72" s="900">
        <v>0</v>
      </c>
      <c r="D72" s="900">
        <v>-7189567.9325042767</v>
      </c>
      <c r="E72" s="900">
        <v>0</v>
      </c>
      <c r="F72" s="900">
        <v>0</v>
      </c>
      <c r="G72" s="901" t="s">
        <v>779</v>
      </c>
    </row>
    <row r="73" spans="1:192">
      <c r="A73" s="945" t="s">
        <v>288</v>
      </c>
      <c r="B73" s="917">
        <f t="shared" si="1"/>
        <v>-899126338.96670389</v>
      </c>
      <c r="C73" s="917">
        <f>SUM(C67:C72)</f>
        <v>-82570950.137269542</v>
      </c>
      <c r="D73" s="917">
        <f t="shared" ref="D73:F73" si="2">SUM(D67:D72)</f>
        <v>-10540743.474191073</v>
      </c>
      <c r="E73" s="917">
        <f t="shared" si="2"/>
        <v>-806014645.35524333</v>
      </c>
      <c r="F73" s="917">
        <f t="shared" si="2"/>
        <v>0</v>
      </c>
      <c r="G73" s="914"/>
    </row>
    <row r="74" spans="1:192">
      <c r="A74" s="945" t="s">
        <v>515</v>
      </c>
      <c r="B74" s="917">
        <f t="shared" si="1"/>
        <v>-22868597.441702135</v>
      </c>
      <c r="C74" s="900">
        <f>C70+C71+C72</f>
        <v>-11276335.488483379</v>
      </c>
      <c r="D74" s="900">
        <f>D70+D71+D72</f>
        <v>-10540743.474191073</v>
      </c>
      <c r="E74" s="900">
        <f>E70+E71+E72</f>
        <v>-1051518.4790276806</v>
      </c>
      <c r="F74" s="900">
        <v>0</v>
      </c>
      <c r="G74" s="901"/>
    </row>
    <row r="75" spans="1:192">
      <c r="A75" s="945" t="s">
        <v>516</v>
      </c>
      <c r="B75" s="917">
        <f t="shared" si="1"/>
        <v>0</v>
      </c>
      <c r="C75" s="900"/>
      <c r="D75" s="900"/>
      <c r="E75" s="900"/>
      <c r="F75" s="900"/>
      <c r="G75" s="901"/>
    </row>
    <row r="76" spans="1:192">
      <c r="A76" s="945" t="s">
        <v>181</v>
      </c>
      <c r="B76" s="917">
        <f t="shared" si="1"/>
        <v>-876257741.52500188</v>
      </c>
      <c r="C76" s="917">
        <f>C73-C74-C75</f>
        <v>-71294614.648786157</v>
      </c>
      <c r="D76" s="917">
        <f t="shared" ref="D76:F76" si="3">D73-D74-D75</f>
        <v>0</v>
      </c>
      <c r="E76" s="917">
        <f t="shared" si="3"/>
        <v>-804963126.8762157</v>
      </c>
      <c r="F76" s="917">
        <f t="shared" si="3"/>
        <v>0</v>
      </c>
      <c r="G76" s="921"/>
    </row>
    <row r="77" spans="1:192" s="1032" customFormat="1">
      <c r="A77" s="1074"/>
      <c r="B77" s="1075"/>
      <c r="C77" s="1076"/>
      <c r="D77" s="1076"/>
      <c r="E77" s="912"/>
      <c r="F77" s="934"/>
      <c r="G77" s="930"/>
    </row>
    <row r="78" spans="1:192" s="1067" customFormat="1">
      <c r="A78" s="1043" t="s">
        <v>252</v>
      </c>
      <c r="B78" s="1044"/>
      <c r="C78" s="1040"/>
      <c r="D78" s="1040"/>
      <c r="E78" s="1077"/>
      <c r="F78" s="1078"/>
      <c r="G78" s="1079"/>
      <c r="H78" s="1055"/>
      <c r="I78" s="1055"/>
      <c r="J78" s="1055"/>
      <c r="K78" s="1055"/>
      <c r="L78" s="1055"/>
      <c r="M78" s="1055"/>
      <c r="N78" s="1055"/>
      <c r="O78" s="1055"/>
      <c r="P78" s="1055"/>
      <c r="Q78" s="1055"/>
      <c r="R78" s="1055"/>
      <c r="S78" s="1055"/>
      <c r="T78" s="1055"/>
      <c r="U78" s="1055"/>
      <c r="V78" s="1055"/>
      <c r="W78" s="1055"/>
      <c r="X78" s="1055"/>
      <c r="Y78" s="1055"/>
      <c r="Z78" s="1055"/>
      <c r="AA78" s="1055"/>
      <c r="AB78" s="1055"/>
      <c r="AC78" s="1055"/>
      <c r="AD78" s="1055"/>
      <c r="AE78" s="1055"/>
      <c r="AF78" s="1055"/>
      <c r="AG78" s="1055"/>
      <c r="AH78" s="1055"/>
      <c r="AI78" s="1055"/>
      <c r="AJ78" s="1055"/>
      <c r="AK78" s="1055"/>
      <c r="AL78" s="1055"/>
      <c r="AM78" s="1055"/>
      <c r="AN78" s="1055"/>
      <c r="AO78" s="1055"/>
      <c r="AP78" s="1055"/>
      <c r="AQ78" s="1055"/>
      <c r="AR78" s="1055"/>
      <c r="AS78" s="1055"/>
      <c r="AT78" s="1055"/>
      <c r="AU78" s="1055"/>
      <c r="AV78" s="1055"/>
      <c r="AW78" s="1055"/>
      <c r="AX78" s="1055"/>
      <c r="AY78" s="1055"/>
      <c r="AZ78" s="1055"/>
      <c r="BA78" s="1055"/>
      <c r="BB78" s="1055"/>
      <c r="BC78" s="1055"/>
      <c r="BD78" s="1055"/>
      <c r="BE78" s="1055"/>
      <c r="BF78" s="1055"/>
      <c r="BG78" s="1055"/>
      <c r="BH78" s="1055"/>
      <c r="BI78" s="1055"/>
      <c r="BJ78" s="1055"/>
      <c r="BK78" s="1055"/>
      <c r="BL78" s="1055"/>
      <c r="BM78" s="1055"/>
      <c r="BN78" s="1055"/>
      <c r="BO78" s="1055"/>
      <c r="BP78" s="1055"/>
      <c r="BQ78" s="1055"/>
      <c r="BR78" s="1055"/>
      <c r="BS78" s="1055"/>
      <c r="BT78" s="1055"/>
      <c r="BU78" s="1055"/>
      <c r="BV78" s="1055"/>
      <c r="BW78" s="1055"/>
      <c r="BX78" s="1055"/>
      <c r="BY78" s="1055"/>
      <c r="BZ78" s="1055"/>
      <c r="CA78" s="1055"/>
      <c r="CB78" s="1055"/>
      <c r="CC78" s="1055"/>
      <c r="CD78" s="1055"/>
      <c r="CE78" s="1055"/>
      <c r="CF78" s="1055"/>
      <c r="CG78" s="1055"/>
      <c r="CH78" s="1055"/>
      <c r="CI78" s="1055"/>
      <c r="CJ78" s="1055"/>
      <c r="CK78" s="1055"/>
      <c r="CL78" s="1055"/>
      <c r="CM78" s="1055"/>
      <c r="CN78" s="1055"/>
      <c r="CO78" s="1055"/>
      <c r="CP78" s="1055"/>
      <c r="CQ78" s="1055"/>
      <c r="CR78" s="1055"/>
      <c r="CS78" s="1055"/>
      <c r="CT78" s="1055"/>
      <c r="CU78" s="1055"/>
      <c r="CV78" s="1055"/>
      <c r="CW78" s="1055"/>
      <c r="CX78" s="1055"/>
      <c r="CY78" s="1055"/>
      <c r="CZ78" s="1055"/>
      <c r="DA78" s="1055"/>
      <c r="DB78" s="1055"/>
      <c r="DC78" s="1055"/>
      <c r="DD78" s="1055"/>
      <c r="DE78" s="1055"/>
      <c r="DF78" s="1055"/>
      <c r="DG78" s="1055"/>
      <c r="DH78" s="1055"/>
      <c r="DI78" s="1055"/>
      <c r="DJ78" s="1055"/>
      <c r="DK78" s="1055"/>
      <c r="DL78" s="1055"/>
      <c r="DM78" s="1055"/>
      <c r="DN78" s="1055"/>
      <c r="DO78" s="1055"/>
      <c r="DP78" s="1055"/>
      <c r="DQ78" s="1055"/>
      <c r="DR78" s="1055"/>
      <c r="DS78" s="1055"/>
      <c r="DT78" s="1055"/>
      <c r="DU78" s="1055"/>
      <c r="DV78" s="1055"/>
      <c r="DW78" s="1055"/>
      <c r="DX78" s="1055"/>
      <c r="DY78" s="1055"/>
      <c r="DZ78" s="1055"/>
      <c r="EA78" s="1055"/>
      <c r="EB78" s="1055"/>
      <c r="EC78" s="1055"/>
      <c r="ED78" s="1055"/>
      <c r="EE78" s="1055"/>
      <c r="EF78" s="1055"/>
      <c r="EG78" s="1055"/>
      <c r="EH78" s="1055"/>
      <c r="EI78" s="1055"/>
      <c r="EJ78" s="1055"/>
      <c r="EK78" s="1055"/>
      <c r="EL78" s="1055"/>
      <c r="EM78" s="1055"/>
      <c r="EN78" s="1055"/>
      <c r="EO78" s="1055"/>
      <c r="EP78" s="1055"/>
      <c r="EQ78" s="1055"/>
      <c r="ER78" s="1055"/>
      <c r="ES78" s="1055"/>
      <c r="ET78" s="1055"/>
      <c r="EU78" s="1055"/>
      <c r="EV78" s="1055"/>
      <c r="EW78" s="1055"/>
      <c r="EX78" s="1055"/>
      <c r="EY78" s="1055"/>
      <c r="EZ78" s="1055"/>
      <c r="FA78" s="1055"/>
      <c r="FB78" s="1055"/>
      <c r="FC78" s="1055"/>
      <c r="FD78" s="1055"/>
      <c r="FE78" s="1055"/>
      <c r="FF78" s="1055"/>
      <c r="FG78" s="1055"/>
      <c r="FH78" s="1055"/>
      <c r="FI78" s="1055"/>
      <c r="FJ78" s="1055"/>
      <c r="FK78" s="1055"/>
      <c r="FL78" s="1055"/>
      <c r="FM78" s="1055"/>
      <c r="FN78" s="1055"/>
      <c r="FO78" s="1055"/>
      <c r="FP78" s="1055"/>
      <c r="FQ78" s="1055"/>
      <c r="FR78" s="1055"/>
      <c r="FS78" s="1055"/>
      <c r="FT78" s="1055"/>
      <c r="FU78" s="1055"/>
      <c r="FV78" s="1055"/>
      <c r="FW78" s="1055"/>
      <c r="FX78" s="1055"/>
      <c r="FY78" s="1055"/>
      <c r="FZ78" s="1055"/>
      <c r="GA78" s="1055"/>
      <c r="GB78" s="1055"/>
      <c r="GC78" s="1055"/>
      <c r="GD78" s="1055"/>
      <c r="GE78" s="1055"/>
      <c r="GF78" s="1055"/>
      <c r="GG78" s="1055"/>
      <c r="GH78" s="1055"/>
      <c r="GI78" s="1055"/>
      <c r="GJ78" s="1055"/>
    </row>
    <row r="79" spans="1:192" s="1067" customFormat="1" ht="12.75" customHeight="1">
      <c r="A79" s="946" t="s">
        <v>447</v>
      </c>
      <c r="B79" s="947"/>
      <c r="C79" s="939"/>
      <c r="D79" s="939"/>
      <c r="E79" s="1080"/>
      <c r="F79" s="1080"/>
      <c r="G79" s="1081"/>
      <c r="H79" s="1055"/>
      <c r="I79" s="1055"/>
      <c r="J79" s="1055"/>
      <c r="K79" s="1055"/>
      <c r="L79" s="1055"/>
      <c r="M79" s="1055"/>
      <c r="N79" s="1055"/>
      <c r="O79" s="1055"/>
      <c r="P79" s="1055"/>
      <c r="Q79" s="1055"/>
      <c r="R79" s="1055"/>
      <c r="S79" s="1055"/>
      <c r="T79" s="1055"/>
      <c r="U79" s="1055"/>
      <c r="V79" s="1055"/>
      <c r="W79" s="1055"/>
      <c r="X79" s="1055"/>
      <c r="Y79" s="1055"/>
      <c r="Z79" s="1055"/>
      <c r="AA79" s="1055"/>
      <c r="AB79" s="1055"/>
      <c r="AC79" s="1055"/>
      <c r="AD79" s="1055"/>
      <c r="AE79" s="1055"/>
      <c r="AF79" s="1055"/>
      <c r="AG79" s="1055"/>
      <c r="AH79" s="1055"/>
      <c r="AI79" s="1055"/>
      <c r="AJ79" s="1055"/>
      <c r="AK79" s="1055"/>
      <c r="AL79" s="1055"/>
      <c r="AM79" s="1055"/>
      <c r="AN79" s="1055"/>
      <c r="AO79" s="1055"/>
      <c r="AP79" s="1055"/>
      <c r="AQ79" s="1055"/>
      <c r="AR79" s="1055"/>
      <c r="AS79" s="1055"/>
      <c r="AT79" s="1055"/>
      <c r="AU79" s="1055"/>
      <c r="AV79" s="1055"/>
      <c r="AW79" s="1055"/>
      <c r="AX79" s="1055"/>
      <c r="AY79" s="1055"/>
      <c r="AZ79" s="1055"/>
      <c r="BA79" s="1055"/>
      <c r="BB79" s="1055"/>
      <c r="BC79" s="1055"/>
      <c r="BD79" s="1055"/>
      <c r="BE79" s="1055"/>
      <c r="BF79" s="1055"/>
      <c r="BG79" s="1055"/>
      <c r="BH79" s="1055"/>
      <c r="BI79" s="1055"/>
      <c r="BJ79" s="1055"/>
      <c r="BK79" s="1055"/>
      <c r="BL79" s="1055"/>
      <c r="BM79" s="1055"/>
      <c r="BN79" s="1055"/>
      <c r="BO79" s="1055"/>
      <c r="BP79" s="1055"/>
      <c r="BQ79" s="1055"/>
      <c r="BR79" s="1055"/>
      <c r="BS79" s="1055"/>
      <c r="BT79" s="1055"/>
      <c r="BU79" s="1055"/>
      <c r="BV79" s="1055"/>
      <c r="BW79" s="1055"/>
      <c r="BX79" s="1055"/>
      <c r="BY79" s="1055"/>
      <c r="BZ79" s="1055"/>
      <c r="CA79" s="1055"/>
      <c r="CB79" s="1055"/>
      <c r="CC79" s="1055"/>
      <c r="CD79" s="1055"/>
      <c r="CE79" s="1055"/>
      <c r="CF79" s="1055"/>
      <c r="CG79" s="1055"/>
      <c r="CH79" s="1055"/>
      <c r="CI79" s="1055"/>
      <c r="CJ79" s="1055"/>
      <c r="CK79" s="1055"/>
      <c r="CL79" s="1055"/>
      <c r="CM79" s="1055"/>
      <c r="CN79" s="1055"/>
      <c r="CO79" s="1055"/>
      <c r="CP79" s="1055"/>
      <c r="CQ79" s="1055"/>
      <c r="CR79" s="1055"/>
      <c r="CS79" s="1055"/>
      <c r="CT79" s="1055"/>
      <c r="CU79" s="1055"/>
      <c r="CV79" s="1055"/>
      <c r="CW79" s="1055"/>
      <c r="CX79" s="1055"/>
      <c r="CY79" s="1055"/>
      <c r="CZ79" s="1055"/>
      <c r="DA79" s="1055"/>
      <c r="DB79" s="1055"/>
      <c r="DC79" s="1055"/>
      <c r="DD79" s="1055"/>
      <c r="DE79" s="1055"/>
      <c r="DF79" s="1055"/>
      <c r="DG79" s="1055"/>
      <c r="DH79" s="1055"/>
      <c r="DI79" s="1055"/>
      <c r="DJ79" s="1055"/>
      <c r="DK79" s="1055"/>
      <c r="DL79" s="1055"/>
      <c r="DM79" s="1055"/>
      <c r="DN79" s="1055"/>
      <c r="DO79" s="1055"/>
      <c r="DP79" s="1055"/>
      <c r="DQ79" s="1055"/>
      <c r="DR79" s="1055"/>
      <c r="DS79" s="1055"/>
      <c r="DT79" s="1055"/>
      <c r="DU79" s="1055"/>
      <c r="DV79" s="1055"/>
      <c r="DW79" s="1055"/>
      <c r="DX79" s="1055"/>
      <c r="DY79" s="1055"/>
      <c r="DZ79" s="1055"/>
      <c r="EA79" s="1055"/>
      <c r="EB79" s="1055"/>
      <c r="EC79" s="1055"/>
      <c r="ED79" s="1055"/>
      <c r="EE79" s="1055"/>
      <c r="EF79" s="1055"/>
      <c r="EG79" s="1055"/>
      <c r="EH79" s="1055"/>
      <c r="EI79" s="1055"/>
      <c r="EJ79" s="1055"/>
      <c r="EK79" s="1055"/>
      <c r="EL79" s="1055"/>
      <c r="EM79" s="1055"/>
      <c r="EN79" s="1055"/>
      <c r="EO79" s="1055"/>
      <c r="EP79" s="1055"/>
      <c r="EQ79" s="1055"/>
      <c r="ER79" s="1055"/>
      <c r="ES79" s="1055"/>
      <c r="ET79" s="1055"/>
      <c r="EU79" s="1055"/>
      <c r="EV79" s="1055"/>
      <c r="EW79" s="1055"/>
      <c r="EX79" s="1055"/>
      <c r="EY79" s="1055"/>
      <c r="EZ79" s="1055"/>
      <c r="FA79" s="1055"/>
      <c r="FB79" s="1055"/>
      <c r="FC79" s="1055"/>
      <c r="FD79" s="1055"/>
      <c r="FE79" s="1055"/>
      <c r="FF79" s="1055"/>
      <c r="FG79" s="1055"/>
      <c r="FH79" s="1055"/>
      <c r="FI79" s="1055"/>
      <c r="FJ79" s="1055"/>
      <c r="FK79" s="1055"/>
      <c r="FL79" s="1055"/>
      <c r="FM79" s="1055"/>
      <c r="FN79" s="1055"/>
      <c r="FO79" s="1055"/>
      <c r="FP79" s="1055"/>
      <c r="FQ79" s="1055"/>
      <c r="FR79" s="1055"/>
      <c r="FS79" s="1055"/>
      <c r="FT79" s="1055"/>
      <c r="FU79" s="1055"/>
      <c r="FV79" s="1055"/>
      <c r="FW79" s="1055"/>
      <c r="FX79" s="1055"/>
      <c r="FY79" s="1055"/>
      <c r="FZ79" s="1055"/>
      <c r="GA79" s="1055"/>
      <c r="GB79" s="1055"/>
      <c r="GC79" s="1055"/>
      <c r="GD79" s="1055"/>
      <c r="GE79" s="1055"/>
      <c r="GF79" s="1055"/>
      <c r="GG79" s="1055"/>
      <c r="GH79" s="1055"/>
      <c r="GI79" s="1055"/>
      <c r="GJ79" s="1055"/>
    </row>
    <row r="80" spans="1:192" s="1067" customFormat="1">
      <c r="A80" s="948" t="s">
        <v>448</v>
      </c>
      <c r="B80" s="933"/>
      <c r="C80" s="912"/>
      <c r="D80" s="912"/>
      <c r="E80" s="1060"/>
      <c r="F80" s="1082"/>
      <c r="G80" s="1083"/>
      <c r="H80" s="1055"/>
      <c r="I80" s="1055"/>
      <c r="J80" s="1055"/>
      <c r="K80" s="1055"/>
      <c r="L80" s="1055"/>
      <c r="M80" s="1055"/>
      <c r="N80" s="1055"/>
      <c r="O80" s="1055"/>
      <c r="P80" s="1055"/>
      <c r="Q80" s="1055"/>
      <c r="R80" s="1055"/>
      <c r="S80" s="1055"/>
      <c r="T80" s="1055"/>
      <c r="U80" s="1055"/>
      <c r="V80" s="1055"/>
      <c r="W80" s="1055"/>
      <c r="X80" s="1055"/>
      <c r="Y80" s="1055"/>
      <c r="Z80" s="1055"/>
      <c r="AA80" s="1055"/>
      <c r="AB80" s="1055"/>
      <c r="AC80" s="1055"/>
      <c r="AD80" s="1055"/>
      <c r="AE80" s="1055"/>
      <c r="AF80" s="1055"/>
      <c r="AG80" s="1055"/>
      <c r="AH80" s="1055"/>
      <c r="AI80" s="1055"/>
      <c r="AJ80" s="1055"/>
      <c r="AK80" s="1055"/>
      <c r="AL80" s="1055"/>
      <c r="AM80" s="1055"/>
      <c r="AN80" s="1055"/>
      <c r="AO80" s="1055"/>
      <c r="AP80" s="1055"/>
      <c r="AQ80" s="1055"/>
      <c r="AR80" s="1055"/>
      <c r="AS80" s="1055"/>
      <c r="AT80" s="1055"/>
      <c r="AU80" s="1055"/>
      <c r="AV80" s="1055"/>
      <c r="AW80" s="1055"/>
      <c r="AX80" s="1055"/>
      <c r="AY80" s="1055"/>
      <c r="AZ80" s="1055"/>
      <c r="BA80" s="1055"/>
      <c r="BB80" s="1055"/>
      <c r="BC80" s="1055"/>
      <c r="BD80" s="1055"/>
      <c r="BE80" s="1055"/>
      <c r="BF80" s="1055"/>
      <c r="BG80" s="1055"/>
      <c r="BH80" s="1055"/>
      <c r="BI80" s="1055"/>
      <c r="BJ80" s="1055"/>
      <c r="BK80" s="1055"/>
      <c r="BL80" s="1055"/>
      <c r="BM80" s="1055"/>
      <c r="BN80" s="1055"/>
      <c r="BO80" s="1055"/>
      <c r="BP80" s="1055"/>
      <c r="BQ80" s="1055"/>
      <c r="BR80" s="1055"/>
      <c r="BS80" s="1055"/>
      <c r="BT80" s="1055"/>
      <c r="BU80" s="1055"/>
      <c r="BV80" s="1055"/>
      <c r="BW80" s="1055"/>
      <c r="BX80" s="1055"/>
      <c r="BY80" s="1055"/>
      <c r="BZ80" s="1055"/>
      <c r="CA80" s="1055"/>
      <c r="CB80" s="1055"/>
      <c r="CC80" s="1055"/>
      <c r="CD80" s="1055"/>
      <c r="CE80" s="1055"/>
      <c r="CF80" s="1055"/>
      <c r="CG80" s="1055"/>
      <c r="CH80" s="1055"/>
      <c r="CI80" s="1055"/>
      <c r="CJ80" s="1055"/>
      <c r="CK80" s="1055"/>
      <c r="CL80" s="1055"/>
      <c r="CM80" s="1055"/>
      <c r="CN80" s="1055"/>
      <c r="CO80" s="1055"/>
      <c r="CP80" s="1055"/>
      <c r="CQ80" s="1055"/>
      <c r="CR80" s="1055"/>
      <c r="CS80" s="1055"/>
      <c r="CT80" s="1055"/>
      <c r="CU80" s="1055"/>
      <c r="CV80" s="1055"/>
      <c r="CW80" s="1055"/>
      <c r="CX80" s="1055"/>
      <c r="CY80" s="1055"/>
      <c r="CZ80" s="1055"/>
      <c r="DA80" s="1055"/>
      <c r="DB80" s="1055"/>
      <c r="DC80" s="1055"/>
      <c r="DD80" s="1055"/>
      <c r="DE80" s="1055"/>
      <c r="DF80" s="1055"/>
      <c r="DG80" s="1055"/>
      <c r="DH80" s="1055"/>
      <c r="DI80" s="1055"/>
      <c r="DJ80" s="1055"/>
      <c r="DK80" s="1055"/>
      <c r="DL80" s="1055"/>
      <c r="DM80" s="1055"/>
      <c r="DN80" s="1055"/>
      <c r="DO80" s="1055"/>
      <c r="DP80" s="1055"/>
      <c r="DQ80" s="1055"/>
      <c r="DR80" s="1055"/>
      <c r="DS80" s="1055"/>
      <c r="DT80" s="1055"/>
      <c r="DU80" s="1055"/>
      <c r="DV80" s="1055"/>
      <c r="DW80" s="1055"/>
      <c r="DX80" s="1055"/>
      <c r="DY80" s="1055"/>
      <c r="DZ80" s="1055"/>
      <c r="EA80" s="1055"/>
      <c r="EB80" s="1055"/>
      <c r="EC80" s="1055"/>
      <c r="ED80" s="1055"/>
      <c r="EE80" s="1055"/>
      <c r="EF80" s="1055"/>
      <c r="EG80" s="1055"/>
      <c r="EH80" s="1055"/>
      <c r="EI80" s="1055"/>
      <c r="EJ80" s="1055"/>
      <c r="EK80" s="1055"/>
      <c r="EL80" s="1055"/>
      <c r="EM80" s="1055"/>
      <c r="EN80" s="1055"/>
      <c r="EO80" s="1055"/>
      <c r="EP80" s="1055"/>
      <c r="EQ80" s="1055"/>
      <c r="ER80" s="1055"/>
      <c r="ES80" s="1055"/>
      <c r="ET80" s="1055"/>
      <c r="EU80" s="1055"/>
      <c r="EV80" s="1055"/>
      <c r="EW80" s="1055"/>
      <c r="EX80" s="1055"/>
      <c r="EY80" s="1055"/>
      <c r="EZ80" s="1055"/>
      <c r="FA80" s="1055"/>
      <c r="FB80" s="1055"/>
      <c r="FC80" s="1055"/>
      <c r="FD80" s="1055"/>
      <c r="FE80" s="1055"/>
      <c r="FF80" s="1055"/>
      <c r="FG80" s="1055"/>
      <c r="FH80" s="1055"/>
      <c r="FI80" s="1055"/>
      <c r="FJ80" s="1055"/>
      <c r="FK80" s="1055"/>
      <c r="FL80" s="1055"/>
      <c r="FM80" s="1055"/>
      <c r="FN80" s="1055"/>
      <c r="FO80" s="1055"/>
      <c r="FP80" s="1055"/>
      <c r="FQ80" s="1055"/>
      <c r="FR80" s="1055"/>
      <c r="FS80" s="1055"/>
      <c r="FT80" s="1055"/>
      <c r="FU80" s="1055"/>
      <c r="FV80" s="1055"/>
      <c r="FW80" s="1055"/>
      <c r="FX80" s="1055"/>
      <c r="FY80" s="1055"/>
      <c r="FZ80" s="1055"/>
      <c r="GA80" s="1055"/>
      <c r="GB80" s="1055"/>
      <c r="GC80" s="1055"/>
      <c r="GD80" s="1055"/>
      <c r="GE80" s="1055"/>
      <c r="GF80" s="1055"/>
      <c r="GG80" s="1055"/>
      <c r="GH80" s="1055"/>
      <c r="GI80" s="1055"/>
      <c r="GJ80" s="1055"/>
    </row>
    <row r="81" spans="1:192" s="1067" customFormat="1">
      <c r="A81" s="931" t="s">
        <v>546</v>
      </c>
      <c r="B81" s="933"/>
      <c r="C81" s="912"/>
      <c r="D81" s="912"/>
      <c r="E81" s="1060"/>
      <c r="F81" s="1082"/>
      <c r="G81" s="1083"/>
      <c r="H81" s="1055"/>
      <c r="I81" s="1055"/>
      <c r="J81" s="1055"/>
      <c r="K81" s="1055"/>
      <c r="L81" s="1055"/>
      <c r="M81" s="1055"/>
      <c r="N81" s="1055"/>
      <c r="O81" s="1055"/>
      <c r="P81" s="1055"/>
      <c r="Q81" s="1055"/>
      <c r="R81" s="1055"/>
      <c r="S81" s="1055"/>
      <c r="T81" s="1055"/>
      <c r="U81" s="1055"/>
      <c r="V81" s="1055"/>
      <c r="W81" s="1055"/>
      <c r="X81" s="1055"/>
      <c r="Y81" s="1055"/>
      <c r="Z81" s="1055"/>
      <c r="AA81" s="1055"/>
      <c r="AB81" s="1055"/>
      <c r="AC81" s="1055"/>
      <c r="AD81" s="1055"/>
      <c r="AE81" s="1055"/>
      <c r="AF81" s="1055"/>
      <c r="AG81" s="1055"/>
      <c r="AH81" s="1055"/>
      <c r="AI81" s="1055"/>
      <c r="AJ81" s="1055"/>
      <c r="AK81" s="1055"/>
      <c r="AL81" s="1055"/>
      <c r="AM81" s="1055"/>
      <c r="AN81" s="1055"/>
      <c r="AO81" s="1055"/>
      <c r="AP81" s="1055"/>
      <c r="AQ81" s="1055"/>
      <c r="AR81" s="1055"/>
      <c r="AS81" s="1055"/>
      <c r="AT81" s="1055"/>
      <c r="AU81" s="1055"/>
      <c r="AV81" s="1055"/>
      <c r="AW81" s="1055"/>
      <c r="AX81" s="1055"/>
      <c r="AY81" s="1055"/>
      <c r="AZ81" s="1055"/>
      <c r="BA81" s="1055"/>
      <c r="BB81" s="1055"/>
      <c r="BC81" s="1055"/>
      <c r="BD81" s="1055"/>
      <c r="BE81" s="1055"/>
      <c r="BF81" s="1055"/>
      <c r="BG81" s="1055"/>
      <c r="BH81" s="1055"/>
      <c r="BI81" s="1055"/>
      <c r="BJ81" s="1055"/>
      <c r="BK81" s="1055"/>
      <c r="BL81" s="1055"/>
      <c r="BM81" s="1055"/>
      <c r="BN81" s="1055"/>
      <c r="BO81" s="1055"/>
      <c r="BP81" s="1055"/>
      <c r="BQ81" s="1055"/>
      <c r="BR81" s="1055"/>
      <c r="BS81" s="1055"/>
      <c r="BT81" s="1055"/>
      <c r="BU81" s="1055"/>
      <c r="BV81" s="1055"/>
      <c r="BW81" s="1055"/>
      <c r="BX81" s="1055"/>
      <c r="BY81" s="1055"/>
      <c r="BZ81" s="1055"/>
      <c r="CA81" s="1055"/>
      <c r="CB81" s="1055"/>
      <c r="CC81" s="1055"/>
      <c r="CD81" s="1055"/>
      <c r="CE81" s="1055"/>
      <c r="CF81" s="1055"/>
      <c r="CG81" s="1055"/>
      <c r="CH81" s="1055"/>
      <c r="CI81" s="1055"/>
      <c r="CJ81" s="1055"/>
      <c r="CK81" s="1055"/>
      <c r="CL81" s="1055"/>
      <c r="CM81" s="1055"/>
      <c r="CN81" s="1055"/>
      <c r="CO81" s="1055"/>
      <c r="CP81" s="1055"/>
      <c r="CQ81" s="1055"/>
      <c r="CR81" s="1055"/>
      <c r="CS81" s="1055"/>
      <c r="CT81" s="1055"/>
      <c r="CU81" s="1055"/>
      <c r="CV81" s="1055"/>
      <c r="CW81" s="1055"/>
      <c r="CX81" s="1055"/>
      <c r="CY81" s="1055"/>
      <c r="CZ81" s="1055"/>
      <c r="DA81" s="1055"/>
      <c r="DB81" s="1055"/>
      <c r="DC81" s="1055"/>
      <c r="DD81" s="1055"/>
      <c r="DE81" s="1055"/>
      <c r="DF81" s="1055"/>
      <c r="DG81" s="1055"/>
      <c r="DH81" s="1055"/>
      <c r="DI81" s="1055"/>
      <c r="DJ81" s="1055"/>
      <c r="DK81" s="1055"/>
      <c r="DL81" s="1055"/>
      <c r="DM81" s="1055"/>
      <c r="DN81" s="1055"/>
      <c r="DO81" s="1055"/>
      <c r="DP81" s="1055"/>
      <c r="DQ81" s="1055"/>
      <c r="DR81" s="1055"/>
      <c r="DS81" s="1055"/>
      <c r="DT81" s="1055"/>
      <c r="DU81" s="1055"/>
      <c r="DV81" s="1055"/>
      <c r="DW81" s="1055"/>
      <c r="DX81" s="1055"/>
      <c r="DY81" s="1055"/>
      <c r="DZ81" s="1055"/>
      <c r="EA81" s="1055"/>
      <c r="EB81" s="1055"/>
      <c r="EC81" s="1055"/>
      <c r="ED81" s="1055"/>
      <c r="EE81" s="1055"/>
      <c r="EF81" s="1055"/>
      <c r="EG81" s="1055"/>
      <c r="EH81" s="1055"/>
      <c r="EI81" s="1055"/>
      <c r="EJ81" s="1055"/>
      <c r="EK81" s="1055"/>
      <c r="EL81" s="1055"/>
      <c r="EM81" s="1055"/>
      <c r="EN81" s="1055"/>
      <c r="EO81" s="1055"/>
      <c r="EP81" s="1055"/>
      <c r="EQ81" s="1055"/>
      <c r="ER81" s="1055"/>
      <c r="ES81" s="1055"/>
      <c r="ET81" s="1055"/>
      <c r="EU81" s="1055"/>
      <c r="EV81" s="1055"/>
      <c r="EW81" s="1055"/>
      <c r="EX81" s="1055"/>
      <c r="EY81" s="1055"/>
      <c r="EZ81" s="1055"/>
      <c r="FA81" s="1055"/>
      <c r="FB81" s="1055"/>
      <c r="FC81" s="1055"/>
      <c r="FD81" s="1055"/>
      <c r="FE81" s="1055"/>
      <c r="FF81" s="1055"/>
      <c r="FG81" s="1055"/>
      <c r="FH81" s="1055"/>
      <c r="FI81" s="1055"/>
      <c r="FJ81" s="1055"/>
      <c r="FK81" s="1055"/>
      <c r="FL81" s="1055"/>
      <c r="FM81" s="1055"/>
      <c r="FN81" s="1055"/>
      <c r="FO81" s="1055"/>
      <c r="FP81" s="1055"/>
      <c r="FQ81" s="1055"/>
      <c r="FR81" s="1055"/>
      <c r="FS81" s="1055"/>
      <c r="FT81" s="1055"/>
      <c r="FU81" s="1055"/>
      <c r="FV81" s="1055"/>
      <c r="FW81" s="1055"/>
      <c r="FX81" s="1055"/>
      <c r="FY81" s="1055"/>
      <c r="FZ81" s="1055"/>
      <c r="GA81" s="1055"/>
      <c r="GB81" s="1055"/>
      <c r="GC81" s="1055"/>
      <c r="GD81" s="1055"/>
      <c r="GE81" s="1055"/>
      <c r="GF81" s="1055"/>
      <c r="GG81" s="1055"/>
      <c r="GH81" s="1055"/>
      <c r="GI81" s="1055"/>
      <c r="GJ81" s="1055"/>
    </row>
    <row r="82" spans="1:192" s="1067" customFormat="1">
      <c r="A82" s="948" t="s">
        <v>547</v>
      </c>
      <c r="B82" s="933"/>
      <c r="C82" s="912"/>
      <c r="D82" s="912"/>
      <c r="E82" s="1060"/>
      <c r="F82" s="1082"/>
      <c r="G82" s="1083"/>
      <c r="H82" s="1055"/>
      <c r="I82" s="1055"/>
      <c r="J82" s="1055"/>
      <c r="K82" s="1055"/>
      <c r="L82" s="1055"/>
      <c r="M82" s="1055"/>
      <c r="N82" s="1055"/>
      <c r="O82" s="1055"/>
      <c r="P82" s="1055"/>
      <c r="Q82" s="1055"/>
      <c r="R82" s="1055"/>
      <c r="S82" s="1055"/>
      <c r="T82" s="1055"/>
      <c r="U82" s="1055"/>
      <c r="V82" s="1055"/>
      <c r="W82" s="1055"/>
      <c r="X82" s="1055"/>
      <c r="Y82" s="1055"/>
      <c r="Z82" s="1055"/>
      <c r="AA82" s="1055"/>
      <c r="AB82" s="1055"/>
      <c r="AC82" s="1055"/>
      <c r="AD82" s="1055"/>
      <c r="AE82" s="1055"/>
      <c r="AF82" s="1055"/>
      <c r="AG82" s="1055"/>
      <c r="AH82" s="1055"/>
      <c r="AI82" s="1055"/>
      <c r="AJ82" s="1055"/>
      <c r="AK82" s="1055"/>
      <c r="AL82" s="1055"/>
      <c r="AM82" s="1055"/>
      <c r="AN82" s="1055"/>
      <c r="AO82" s="1055"/>
      <c r="AP82" s="1055"/>
      <c r="AQ82" s="1055"/>
      <c r="AR82" s="1055"/>
      <c r="AS82" s="1055"/>
      <c r="AT82" s="1055"/>
      <c r="AU82" s="1055"/>
      <c r="AV82" s="1055"/>
      <c r="AW82" s="1055"/>
      <c r="AX82" s="1055"/>
      <c r="AY82" s="1055"/>
      <c r="AZ82" s="1055"/>
      <c r="BA82" s="1055"/>
      <c r="BB82" s="1055"/>
      <c r="BC82" s="1055"/>
      <c r="BD82" s="1055"/>
      <c r="BE82" s="1055"/>
      <c r="BF82" s="1055"/>
      <c r="BG82" s="1055"/>
      <c r="BH82" s="1055"/>
      <c r="BI82" s="1055"/>
      <c r="BJ82" s="1055"/>
      <c r="BK82" s="1055"/>
      <c r="BL82" s="1055"/>
      <c r="BM82" s="1055"/>
      <c r="BN82" s="1055"/>
      <c r="BO82" s="1055"/>
      <c r="BP82" s="1055"/>
      <c r="BQ82" s="1055"/>
      <c r="BR82" s="1055"/>
      <c r="BS82" s="1055"/>
      <c r="BT82" s="1055"/>
      <c r="BU82" s="1055"/>
      <c r="BV82" s="1055"/>
      <c r="BW82" s="1055"/>
      <c r="BX82" s="1055"/>
      <c r="BY82" s="1055"/>
      <c r="BZ82" s="1055"/>
      <c r="CA82" s="1055"/>
      <c r="CB82" s="1055"/>
      <c r="CC82" s="1055"/>
      <c r="CD82" s="1055"/>
      <c r="CE82" s="1055"/>
      <c r="CF82" s="1055"/>
      <c r="CG82" s="1055"/>
      <c r="CH82" s="1055"/>
      <c r="CI82" s="1055"/>
      <c r="CJ82" s="1055"/>
      <c r="CK82" s="1055"/>
      <c r="CL82" s="1055"/>
      <c r="CM82" s="1055"/>
      <c r="CN82" s="1055"/>
      <c r="CO82" s="1055"/>
      <c r="CP82" s="1055"/>
      <c r="CQ82" s="1055"/>
      <c r="CR82" s="1055"/>
      <c r="CS82" s="1055"/>
      <c r="CT82" s="1055"/>
      <c r="CU82" s="1055"/>
      <c r="CV82" s="1055"/>
      <c r="CW82" s="1055"/>
      <c r="CX82" s="1055"/>
      <c r="CY82" s="1055"/>
      <c r="CZ82" s="1055"/>
      <c r="DA82" s="1055"/>
      <c r="DB82" s="1055"/>
      <c r="DC82" s="1055"/>
      <c r="DD82" s="1055"/>
      <c r="DE82" s="1055"/>
      <c r="DF82" s="1055"/>
      <c r="DG82" s="1055"/>
      <c r="DH82" s="1055"/>
      <c r="DI82" s="1055"/>
      <c r="DJ82" s="1055"/>
      <c r="DK82" s="1055"/>
      <c r="DL82" s="1055"/>
      <c r="DM82" s="1055"/>
      <c r="DN82" s="1055"/>
      <c r="DO82" s="1055"/>
      <c r="DP82" s="1055"/>
      <c r="DQ82" s="1055"/>
      <c r="DR82" s="1055"/>
      <c r="DS82" s="1055"/>
      <c r="DT82" s="1055"/>
      <c r="DU82" s="1055"/>
      <c r="DV82" s="1055"/>
      <c r="DW82" s="1055"/>
      <c r="DX82" s="1055"/>
      <c r="DY82" s="1055"/>
      <c r="DZ82" s="1055"/>
      <c r="EA82" s="1055"/>
      <c r="EB82" s="1055"/>
      <c r="EC82" s="1055"/>
      <c r="ED82" s="1055"/>
      <c r="EE82" s="1055"/>
      <c r="EF82" s="1055"/>
      <c r="EG82" s="1055"/>
      <c r="EH82" s="1055"/>
      <c r="EI82" s="1055"/>
      <c r="EJ82" s="1055"/>
      <c r="EK82" s="1055"/>
      <c r="EL82" s="1055"/>
      <c r="EM82" s="1055"/>
      <c r="EN82" s="1055"/>
      <c r="EO82" s="1055"/>
      <c r="EP82" s="1055"/>
      <c r="EQ82" s="1055"/>
      <c r="ER82" s="1055"/>
      <c r="ES82" s="1055"/>
      <c r="ET82" s="1055"/>
      <c r="EU82" s="1055"/>
      <c r="EV82" s="1055"/>
      <c r="EW82" s="1055"/>
      <c r="EX82" s="1055"/>
      <c r="EY82" s="1055"/>
      <c r="EZ82" s="1055"/>
      <c r="FA82" s="1055"/>
      <c r="FB82" s="1055"/>
      <c r="FC82" s="1055"/>
      <c r="FD82" s="1055"/>
      <c r="FE82" s="1055"/>
      <c r="FF82" s="1055"/>
      <c r="FG82" s="1055"/>
      <c r="FH82" s="1055"/>
      <c r="FI82" s="1055"/>
      <c r="FJ82" s="1055"/>
      <c r="FK82" s="1055"/>
      <c r="FL82" s="1055"/>
      <c r="FM82" s="1055"/>
      <c r="FN82" s="1055"/>
      <c r="FO82" s="1055"/>
      <c r="FP82" s="1055"/>
      <c r="FQ82" s="1055"/>
      <c r="FR82" s="1055"/>
      <c r="FS82" s="1055"/>
      <c r="FT82" s="1055"/>
      <c r="FU82" s="1055"/>
      <c r="FV82" s="1055"/>
      <c r="FW82" s="1055"/>
      <c r="FX82" s="1055"/>
      <c r="FY82" s="1055"/>
      <c r="FZ82" s="1055"/>
      <c r="GA82" s="1055"/>
      <c r="GB82" s="1055"/>
      <c r="GC82" s="1055"/>
      <c r="GD82" s="1055"/>
      <c r="GE82" s="1055"/>
      <c r="GF82" s="1055"/>
      <c r="GG82" s="1055"/>
      <c r="GH82" s="1055"/>
      <c r="GI82" s="1055"/>
      <c r="GJ82" s="1055"/>
    </row>
    <row r="83" spans="1:192" s="1067" customFormat="1" ht="12.75" customHeight="1">
      <c r="A83" s="949" t="s">
        <v>450</v>
      </c>
      <c r="B83" s="950"/>
      <c r="C83" s="951"/>
      <c r="D83" s="951"/>
      <c r="E83" s="1084"/>
      <c r="F83" s="1084"/>
      <c r="G83" s="1085"/>
      <c r="H83" s="1055"/>
      <c r="I83" s="1055"/>
      <c r="J83" s="1055"/>
      <c r="K83" s="1055"/>
      <c r="L83" s="1055"/>
      <c r="M83" s="1055"/>
      <c r="N83" s="1055"/>
      <c r="O83" s="1055"/>
      <c r="P83" s="1055"/>
      <c r="Q83" s="1055"/>
      <c r="R83" s="1055"/>
      <c r="S83" s="1055"/>
      <c r="T83" s="1055"/>
      <c r="U83" s="1055"/>
      <c r="V83" s="1055"/>
      <c r="W83" s="1055"/>
      <c r="X83" s="1055"/>
      <c r="Y83" s="1055"/>
      <c r="Z83" s="1055"/>
      <c r="AA83" s="1055"/>
      <c r="AB83" s="1055"/>
      <c r="AC83" s="1055"/>
      <c r="AD83" s="1055"/>
      <c r="AE83" s="1055"/>
      <c r="AF83" s="1055"/>
      <c r="AG83" s="1055"/>
      <c r="AH83" s="1055"/>
      <c r="AI83" s="1055"/>
      <c r="AJ83" s="1055"/>
      <c r="AK83" s="1055"/>
      <c r="AL83" s="1055"/>
      <c r="AM83" s="1055"/>
      <c r="AN83" s="1055"/>
      <c r="AO83" s="1055"/>
      <c r="AP83" s="1055"/>
      <c r="AQ83" s="1055"/>
      <c r="AR83" s="1055"/>
      <c r="AS83" s="1055"/>
      <c r="AT83" s="1055"/>
      <c r="AU83" s="1055"/>
      <c r="AV83" s="1055"/>
      <c r="AW83" s="1055"/>
      <c r="AX83" s="1055"/>
      <c r="AY83" s="1055"/>
      <c r="AZ83" s="1055"/>
      <c r="BA83" s="1055"/>
      <c r="BB83" s="1055"/>
      <c r="BC83" s="1055"/>
      <c r="BD83" s="1055"/>
      <c r="BE83" s="1055"/>
      <c r="BF83" s="1055"/>
      <c r="BG83" s="1055"/>
      <c r="BH83" s="1055"/>
      <c r="BI83" s="1055"/>
      <c r="BJ83" s="1055"/>
      <c r="BK83" s="1055"/>
      <c r="BL83" s="1055"/>
      <c r="BM83" s="1055"/>
      <c r="BN83" s="1055"/>
      <c r="BO83" s="1055"/>
      <c r="BP83" s="1055"/>
      <c r="BQ83" s="1055"/>
      <c r="BR83" s="1055"/>
      <c r="BS83" s="1055"/>
      <c r="BT83" s="1055"/>
      <c r="BU83" s="1055"/>
      <c r="BV83" s="1055"/>
      <c r="BW83" s="1055"/>
      <c r="BX83" s="1055"/>
      <c r="BY83" s="1055"/>
      <c r="BZ83" s="1055"/>
      <c r="CA83" s="1055"/>
      <c r="CB83" s="1055"/>
      <c r="CC83" s="1055"/>
      <c r="CD83" s="1055"/>
      <c r="CE83" s="1055"/>
      <c r="CF83" s="1055"/>
      <c r="CG83" s="1055"/>
      <c r="CH83" s="1055"/>
      <c r="CI83" s="1055"/>
      <c r="CJ83" s="1055"/>
      <c r="CK83" s="1055"/>
      <c r="CL83" s="1055"/>
      <c r="CM83" s="1055"/>
      <c r="CN83" s="1055"/>
      <c r="CO83" s="1055"/>
      <c r="CP83" s="1055"/>
      <c r="CQ83" s="1055"/>
      <c r="CR83" s="1055"/>
      <c r="CS83" s="1055"/>
      <c r="CT83" s="1055"/>
      <c r="CU83" s="1055"/>
      <c r="CV83" s="1055"/>
      <c r="CW83" s="1055"/>
      <c r="CX83" s="1055"/>
      <c r="CY83" s="1055"/>
      <c r="CZ83" s="1055"/>
      <c r="DA83" s="1055"/>
      <c r="DB83" s="1055"/>
      <c r="DC83" s="1055"/>
      <c r="DD83" s="1055"/>
      <c r="DE83" s="1055"/>
      <c r="DF83" s="1055"/>
      <c r="DG83" s="1055"/>
      <c r="DH83" s="1055"/>
      <c r="DI83" s="1055"/>
      <c r="DJ83" s="1055"/>
      <c r="DK83" s="1055"/>
      <c r="DL83" s="1055"/>
      <c r="DM83" s="1055"/>
      <c r="DN83" s="1055"/>
      <c r="DO83" s="1055"/>
      <c r="DP83" s="1055"/>
      <c r="DQ83" s="1055"/>
      <c r="DR83" s="1055"/>
      <c r="DS83" s="1055"/>
      <c r="DT83" s="1055"/>
      <c r="DU83" s="1055"/>
      <c r="DV83" s="1055"/>
      <c r="DW83" s="1055"/>
      <c r="DX83" s="1055"/>
      <c r="DY83" s="1055"/>
      <c r="DZ83" s="1055"/>
      <c r="EA83" s="1055"/>
      <c r="EB83" s="1055"/>
      <c r="EC83" s="1055"/>
      <c r="ED83" s="1055"/>
      <c r="EE83" s="1055"/>
      <c r="EF83" s="1055"/>
      <c r="EG83" s="1055"/>
      <c r="EH83" s="1055"/>
      <c r="EI83" s="1055"/>
      <c r="EJ83" s="1055"/>
      <c r="EK83" s="1055"/>
      <c r="EL83" s="1055"/>
      <c r="EM83" s="1055"/>
      <c r="EN83" s="1055"/>
      <c r="EO83" s="1055"/>
      <c r="EP83" s="1055"/>
      <c r="EQ83" s="1055"/>
      <c r="ER83" s="1055"/>
      <c r="ES83" s="1055"/>
      <c r="ET83" s="1055"/>
      <c r="EU83" s="1055"/>
      <c r="EV83" s="1055"/>
      <c r="EW83" s="1055"/>
      <c r="EX83" s="1055"/>
      <c r="EY83" s="1055"/>
      <c r="EZ83" s="1055"/>
      <c r="FA83" s="1055"/>
      <c r="FB83" s="1055"/>
      <c r="FC83" s="1055"/>
      <c r="FD83" s="1055"/>
      <c r="FE83" s="1055"/>
      <c r="FF83" s="1055"/>
      <c r="FG83" s="1055"/>
      <c r="FH83" s="1055"/>
      <c r="FI83" s="1055"/>
      <c r="FJ83" s="1055"/>
      <c r="FK83" s="1055"/>
      <c r="FL83" s="1055"/>
      <c r="FM83" s="1055"/>
      <c r="FN83" s="1055"/>
      <c r="FO83" s="1055"/>
      <c r="FP83" s="1055"/>
      <c r="FQ83" s="1055"/>
      <c r="FR83" s="1055"/>
      <c r="FS83" s="1055"/>
      <c r="FT83" s="1055"/>
      <c r="FU83" s="1055"/>
      <c r="FV83" s="1055"/>
      <c r="FW83" s="1055"/>
      <c r="FX83" s="1055"/>
      <c r="FY83" s="1055"/>
      <c r="FZ83" s="1055"/>
      <c r="GA83" s="1055"/>
      <c r="GB83" s="1055"/>
      <c r="GC83" s="1055"/>
      <c r="GD83" s="1055"/>
      <c r="GE83" s="1055"/>
      <c r="GF83" s="1055"/>
      <c r="GG83" s="1055"/>
      <c r="GH83" s="1055"/>
      <c r="GI83" s="1055"/>
      <c r="GJ83" s="1055"/>
    </row>
    <row r="84" spans="1:192" s="1067" customFormat="1">
      <c r="A84" s="948" t="s">
        <v>525</v>
      </c>
      <c r="B84" s="951"/>
      <c r="C84" s="951"/>
      <c r="D84" s="951"/>
      <c r="E84" s="1084"/>
      <c r="F84" s="1084"/>
      <c r="G84" s="1085"/>
      <c r="H84" s="1055"/>
      <c r="I84" s="1055"/>
      <c r="J84" s="1055"/>
      <c r="K84" s="1055"/>
      <c r="L84" s="1055"/>
      <c r="M84" s="1055"/>
      <c r="N84" s="1055"/>
      <c r="O84" s="1055"/>
      <c r="P84" s="1055"/>
      <c r="Q84" s="1055"/>
      <c r="R84" s="1055"/>
      <c r="S84" s="1055"/>
      <c r="T84" s="1055"/>
      <c r="U84" s="1055"/>
      <c r="V84" s="1055"/>
      <c r="W84" s="1055"/>
      <c r="X84" s="1055"/>
      <c r="Y84" s="1055"/>
      <c r="Z84" s="1055"/>
      <c r="AA84" s="1055"/>
      <c r="AB84" s="1055"/>
      <c r="AC84" s="1055"/>
      <c r="AD84" s="1055"/>
      <c r="AE84" s="1055"/>
      <c r="AF84" s="1055"/>
      <c r="AG84" s="1055"/>
      <c r="AH84" s="1055"/>
      <c r="AI84" s="1055"/>
      <c r="AJ84" s="1055"/>
      <c r="AK84" s="1055"/>
      <c r="AL84" s="1055"/>
      <c r="AM84" s="1055"/>
      <c r="AN84" s="1055"/>
      <c r="AO84" s="1055"/>
      <c r="AP84" s="1055"/>
      <c r="AQ84" s="1055"/>
      <c r="AR84" s="1055"/>
      <c r="AS84" s="1055"/>
      <c r="AT84" s="1055"/>
      <c r="AU84" s="1055"/>
      <c r="AV84" s="1055"/>
      <c r="AW84" s="1055"/>
      <c r="AX84" s="1055"/>
      <c r="AY84" s="1055"/>
      <c r="AZ84" s="1055"/>
      <c r="BA84" s="1055"/>
      <c r="BB84" s="1055"/>
      <c r="BC84" s="1055"/>
      <c r="BD84" s="1055"/>
      <c r="BE84" s="1055"/>
      <c r="BF84" s="1055"/>
      <c r="BG84" s="1055"/>
      <c r="BH84" s="1055"/>
      <c r="BI84" s="1055"/>
      <c r="BJ84" s="1055"/>
      <c r="BK84" s="1055"/>
      <c r="BL84" s="1055"/>
      <c r="BM84" s="1055"/>
      <c r="BN84" s="1055"/>
      <c r="BO84" s="1055"/>
      <c r="BP84" s="1055"/>
      <c r="BQ84" s="1055"/>
      <c r="BR84" s="1055"/>
      <c r="BS84" s="1055"/>
      <c r="BT84" s="1055"/>
      <c r="BU84" s="1055"/>
      <c r="BV84" s="1055"/>
      <c r="BW84" s="1055"/>
      <c r="BX84" s="1055"/>
      <c r="BY84" s="1055"/>
      <c r="BZ84" s="1055"/>
      <c r="CA84" s="1055"/>
      <c r="CB84" s="1055"/>
      <c r="CC84" s="1055"/>
      <c r="CD84" s="1055"/>
      <c r="CE84" s="1055"/>
      <c r="CF84" s="1055"/>
      <c r="CG84" s="1055"/>
      <c r="CH84" s="1055"/>
      <c r="CI84" s="1055"/>
      <c r="CJ84" s="1055"/>
      <c r="CK84" s="1055"/>
      <c r="CL84" s="1055"/>
      <c r="CM84" s="1055"/>
      <c r="CN84" s="1055"/>
      <c r="CO84" s="1055"/>
      <c r="CP84" s="1055"/>
      <c r="CQ84" s="1055"/>
      <c r="CR84" s="1055"/>
      <c r="CS84" s="1055"/>
      <c r="CT84" s="1055"/>
      <c r="CU84" s="1055"/>
      <c r="CV84" s="1055"/>
      <c r="CW84" s="1055"/>
      <c r="CX84" s="1055"/>
      <c r="CY84" s="1055"/>
      <c r="CZ84" s="1055"/>
      <c r="DA84" s="1055"/>
      <c r="DB84" s="1055"/>
      <c r="DC84" s="1055"/>
      <c r="DD84" s="1055"/>
      <c r="DE84" s="1055"/>
      <c r="DF84" s="1055"/>
      <c r="DG84" s="1055"/>
      <c r="DH84" s="1055"/>
      <c r="DI84" s="1055"/>
      <c r="DJ84" s="1055"/>
      <c r="DK84" s="1055"/>
      <c r="DL84" s="1055"/>
      <c r="DM84" s="1055"/>
      <c r="DN84" s="1055"/>
      <c r="DO84" s="1055"/>
      <c r="DP84" s="1055"/>
      <c r="DQ84" s="1055"/>
      <c r="DR84" s="1055"/>
      <c r="DS84" s="1055"/>
      <c r="DT84" s="1055"/>
      <c r="DU84" s="1055"/>
      <c r="DV84" s="1055"/>
      <c r="DW84" s="1055"/>
      <c r="DX84" s="1055"/>
      <c r="DY84" s="1055"/>
      <c r="DZ84" s="1055"/>
      <c r="EA84" s="1055"/>
      <c r="EB84" s="1055"/>
      <c r="EC84" s="1055"/>
      <c r="ED84" s="1055"/>
      <c r="EE84" s="1055"/>
      <c r="EF84" s="1055"/>
      <c r="EG84" s="1055"/>
      <c r="EH84" s="1055"/>
      <c r="EI84" s="1055"/>
      <c r="EJ84" s="1055"/>
      <c r="EK84" s="1055"/>
      <c r="EL84" s="1055"/>
      <c r="EM84" s="1055"/>
      <c r="EN84" s="1055"/>
      <c r="EO84" s="1055"/>
      <c r="EP84" s="1055"/>
      <c r="EQ84" s="1055"/>
      <c r="ER84" s="1055"/>
      <c r="ES84" s="1055"/>
      <c r="ET84" s="1055"/>
      <c r="EU84" s="1055"/>
      <c r="EV84" s="1055"/>
      <c r="EW84" s="1055"/>
      <c r="EX84" s="1055"/>
      <c r="EY84" s="1055"/>
      <c r="EZ84" s="1055"/>
      <c r="FA84" s="1055"/>
      <c r="FB84" s="1055"/>
      <c r="FC84" s="1055"/>
      <c r="FD84" s="1055"/>
      <c r="FE84" s="1055"/>
      <c r="FF84" s="1055"/>
      <c r="FG84" s="1055"/>
      <c r="FH84" s="1055"/>
      <c r="FI84" s="1055"/>
      <c r="FJ84" s="1055"/>
      <c r="FK84" s="1055"/>
      <c r="FL84" s="1055"/>
      <c r="FM84" s="1055"/>
      <c r="FN84" s="1055"/>
      <c r="FO84" s="1055"/>
      <c r="FP84" s="1055"/>
      <c r="FQ84" s="1055"/>
      <c r="FR84" s="1055"/>
      <c r="FS84" s="1055"/>
      <c r="FT84" s="1055"/>
      <c r="FU84" s="1055"/>
      <c r="FV84" s="1055"/>
      <c r="FW84" s="1055"/>
      <c r="FX84" s="1055"/>
      <c r="FY84" s="1055"/>
      <c r="FZ84" s="1055"/>
      <c r="GA84" s="1055"/>
      <c r="GB84" s="1055"/>
      <c r="GC84" s="1055"/>
      <c r="GD84" s="1055"/>
      <c r="GE84" s="1055"/>
      <c r="GF84" s="1055"/>
      <c r="GG84" s="1055"/>
      <c r="GH84" s="1055"/>
      <c r="GI84" s="1055"/>
      <c r="GJ84" s="1055"/>
    </row>
    <row r="85" spans="1:192" s="1067" customFormat="1">
      <c r="A85" s="1069"/>
      <c r="B85" s="1070"/>
      <c r="C85" s="1071"/>
      <c r="D85" s="1071"/>
      <c r="E85" s="1071"/>
      <c r="F85" s="1072"/>
      <c r="G85" s="1073"/>
      <c r="H85" s="1055"/>
      <c r="I85" s="1055"/>
      <c r="J85" s="1055"/>
      <c r="K85" s="1055"/>
      <c r="L85" s="1055"/>
      <c r="M85" s="1055"/>
      <c r="N85" s="1055"/>
      <c r="O85" s="1055"/>
      <c r="P85" s="1055"/>
      <c r="Q85" s="1055"/>
      <c r="R85" s="1055"/>
      <c r="S85" s="1055"/>
      <c r="T85" s="1055"/>
      <c r="U85" s="1055"/>
      <c r="V85" s="1055"/>
      <c r="W85" s="1055"/>
      <c r="X85" s="1055"/>
      <c r="Y85" s="1055"/>
      <c r="Z85" s="1055"/>
      <c r="AA85" s="1055"/>
      <c r="AB85" s="1055"/>
      <c r="AC85" s="1055"/>
      <c r="AD85" s="1055"/>
      <c r="AE85" s="1055"/>
      <c r="AF85" s="1055"/>
      <c r="AG85" s="1055"/>
      <c r="AH85" s="1055"/>
      <c r="AI85" s="1055"/>
      <c r="AJ85" s="1055"/>
      <c r="AK85" s="1055"/>
      <c r="AL85" s="1055"/>
      <c r="AM85" s="1055"/>
      <c r="AN85" s="1055"/>
      <c r="AO85" s="1055"/>
      <c r="AP85" s="1055"/>
      <c r="AQ85" s="1055"/>
      <c r="AR85" s="1055"/>
      <c r="AS85" s="1055"/>
      <c r="AT85" s="1055"/>
      <c r="AU85" s="1055"/>
      <c r="AV85" s="1055"/>
      <c r="AW85" s="1055"/>
      <c r="AX85" s="1055"/>
      <c r="AY85" s="1055"/>
      <c r="AZ85" s="1055"/>
      <c r="BA85" s="1055"/>
      <c r="BB85" s="1055"/>
      <c r="BC85" s="1055"/>
      <c r="BD85" s="1055"/>
      <c r="BE85" s="1055"/>
      <c r="BF85" s="1055"/>
      <c r="BG85" s="1055"/>
      <c r="BH85" s="1055"/>
      <c r="BI85" s="1055"/>
      <c r="BJ85" s="1055"/>
      <c r="BK85" s="1055"/>
      <c r="BL85" s="1055"/>
      <c r="BM85" s="1055"/>
      <c r="BN85" s="1055"/>
      <c r="BO85" s="1055"/>
      <c r="BP85" s="1055"/>
      <c r="BQ85" s="1055"/>
      <c r="BR85" s="1055"/>
      <c r="BS85" s="1055"/>
      <c r="BT85" s="1055"/>
      <c r="BU85" s="1055"/>
      <c r="BV85" s="1055"/>
      <c r="BW85" s="1055"/>
      <c r="BX85" s="1055"/>
      <c r="BY85" s="1055"/>
      <c r="BZ85" s="1055"/>
      <c r="CA85" s="1055"/>
      <c r="CB85" s="1055"/>
      <c r="CC85" s="1055"/>
      <c r="CD85" s="1055"/>
      <c r="CE85" s="1055"/>
      <c r="CF85" s="1055"/>
      <c r="CG85" s="1055"/>
      <c r="CH85" s="1055"/>
      <c r="CI85" s="1055"/>
      <c r="CJ85" s="1055"/>
      <c r="CK85" s="1055"/>
      <c r="CL85" s="1055"/>
      <c r="CM85" s="1055"/>
      <c r="CN85" s="1055"/>
      <c r="CO85" s="1055"/>
      <c r="CP85" s="1055"/>
      <c r="CQ85" s="1055"/>
      <c r="CR85" s="1055"/>
      <c r="CS85" s="1055"/>
      <c r="CT85" s="1055"/>
      <c r="CU85" s="1055"/>
      <c r="CV85" s="1055"/>
      <c r="CW85" s="1055"/>
      <c r="CX85" s="1055"/>
      <c r="CY85" s="1055"/>
      <c r="CZ85" s="1055"/>
      <c r="DA85" s="1055"/>
      <c r="DB85" s="1055"/>
      <c r="DC85" s="1055"/>
      <c r="DD85" s="1055"/>
      <c r="DE85" s="1055"/>
      <c r="DF85" s="1055"/>
      <c r="DG85" s="1055"/>
      <c r="DH85" s="1055"/>
      <c r="DI85" s="1055"/>
      <c r="DJ85" s="1055"/>
      <c r="DK85" s="1055"/>
      <c r="DL85" s="1055"/>
      <c r="DM85" s="1055"/>
      <c r="DN85" s="1055"/>
      <c r="DO85" s="1055"/>
      <c r="DP85" s="1055"/>
      <c r="DQ85" s="1055"/>
      <c r="DR85" s="1055"/>
      <c r="DS85" s="1055"/>
      <c r="DT85" s="1055"/>
      <c r="DU85" s="1055"/>
      <c r="DV85" s="1055"/>
      <c r="DW85" s="1055"/>
      <c r="DX85" s="1055"/>
      <c r="DY85" s="1055"/>
      <c r="DZ85" s="1055"/>
      <c r="EA85" s="1055"/>
      <c r="EB85" s="1055"/>
      <c r="EC85" s="1055"/>
      <c r="ED85" s="1055"/>
      <c r="EE85" s="1055"/>
      <c r="EF85" s="1055"/>
      <c r="EG85" s="1055"/>
      <c r="EH85" s="1055"/>
      <c r="EI85" s="1055"/>
      <c r="EJ85" s="1055"/>
      <c r="EK85" s="1055"/>
      <c r="EL85" s="1055"/>
      <c r="EM85" s="1055"/>
      <c r="EN85" s="1055"/>
      <c r="EO85" s="1055"/>
      <c r="EP85" s="1055"/>
      <c r="EQ85" s="1055"/>
      <c r="ER85" s="1055"/>
      <c r="ES85" s="1055"/>
      <c r="ET85" s="1055"/>
      <c r="EU85" s="1055"/>
      <c r="EV85" s="1055"/>
      <c r="EW85" s="1055"/>
      <c r="EX85" s="1055"/>
      <c r="EY85" s="1055"/>
      <c r="EZ85" s="1055"/>
      <c r="FA85" s="1055"/>
      <c r="FB85" s="1055"/>
      <c r="FC85" s="1055"/>
      <c r="FD85" s="1055"/>
      <c r="FE85" s="1055"/>
      <c r="FF85" s="1055"/>
      <c r="FG85" s="1055"/>
      <c r="FH85" s="1055"/>
      <c r="FI85" s="1055"/>
      <c r="FJ85" s="1055"/>
      <c r="FK85" s="1055"/>
      <c r="FL85" s="1055"/>
      <c r="FM85" s="1055"/>
      <c r="FN85" s="1055"/>
      <c r="FO85" s="1055"/>
      <c r="FP85" s="1055"/>
      <c r="FQ85" s="1055"/>
      <c r="FR85" s="1055"/>
      <c r="FS85" s="1055"/>
      <c r="FT85" s="1055"/>
      <c r="FU85" s="1055"/>
      <c r="FV85" s="1055"/>
      <c r="FW85" s="1055"/>
      <c r="FX85" s="1055"/>
      <c r="FY85" s="1055"/>
      <c r="FZ85" s="1055"/>
      <c r="GA85" s="1055"/>
      <c r="GB85" s="1055"/>
      <c r="GC85" s="1055"/>
      <c r="GD85" s="1055"/>
      <c r="GE85" s="1055"/>
      <c r="GF85" s="1055"/>
      <c r="GG85" s="1055"/>
      <c r="GH85" s="1055"/>
      <c r="GI85" s="1055"/>
      <c r="GJ85" s="1055"/>
    </row>
    <row r="86" spans="1:192" s="1067" customFormat="1">
      <c r="A86" s="1086"/>
      <c r="B86" s="1087"/>
      <c r="C86" s="1060"/>
      <c r="D86" s="1060"/>
      <c r="E86" s="1060"/>
      <c r="F86" s="1082"/>
      <c r="G86" s="1088"/>
      <c r="H86" s="1055"/>
      <c r="I86" s="1055"/>
      <c r="J86" s="1055"/>
      <c r="K86" s="1055"/>
      <c r="L86" s="1055"/>
      <c r="M86" s="1055"/>
      <c r="N86" s="1055"/>
      <c r="O86" s="1055"/>
      <c r="P86" s="1055"/>
      <c r="Q86" s="1055"/>
      <c r="R86" s="1055"/>
      <c r="S86" s="1055"/>
      <c r="T86" s="1055"/>
      <c r="U86" s="1055"/>
      <c r="V86" s="1055"/>
      <c r="W86" s="1055"/>
      <c r="X86" s="1055"/>
      <c r="Y86" s="1055"/>
      <c r="Z86" s="1055"/>
      <c r="AA86" s="1055"/>
      <c r="AB86" s="1055"/>
      <c r="AC86" s="1055"/>
      <c r="AD86" s="1055"/>
      <c r="AE86" s="1055"/>
      <c r="AF86" s="1055"/>
      <c r="AG86" s="1055"/>
      <c r="AH86" s="1055"/>
      <c r="AI86" s="1055"/>
      <c r="AJ86" s="1055"/>
      <c r="AK86" s="1055"/>
      <c r="AL86" s="1055"/>
      <c r="AM86" s="1055"/>
      <c r="AN86" s="1055"/>
      <c r="AO86" s="1055"/>
      <c r="AP86" s="1055"/>
      <c r="AQ86" s="1055"/>
      <c r="AR86" s="1055"/>
      <c r="AS86" s="1055"/>
      <c r="AT86" s="1055"/>
      <c r="AU86" s="1055"/>
      <c r="AV86" s="1055"/>
      <c r="AW86" s="1055"/>
      <c r="AX86" s="1055"/>
      <c r="AY86" s="1055"/>
      <c r="AZ86" s="1055"/>
      <c r="BA86" s="1055"/>
      <c r="BB86" s="1055"/>
      <c r="BC86" s="1055"/>
      <c r="BD86" s="1055"/>
      <c r="BE86" s="1055"/>
      <c r="BF86" s="1055"/>
      <c r="BG86" s="1055"/>
      <c r="BH86" s="1055"/>
      <c r="BI86" s="1055"/>
      <c r="BJ86" s="1055"/>
      <c r="BK86" s="1055"/>
      <c r="BL86" s="1055"/>
      <c r="BM86" s="1055"/>
      <c r="BN86" s="1055"/>
      <c r="BO86" s="1055"/>
      <c r="BP86" s="1055"/>
      <c r="BQ86" s="1055"/>
      <c r="BR86" s="1055"/>
      <c r="BS86" s="1055"/>
      <c r="BT86" s="1055"/>
      <c r="BU86" s="1055"/>
      <c r="BV86" s="1055"/>
      <c r="BW86" s="1055"/>
      <c r="BX86" s="1055"/>
      <c r="BY86" s="1055"/>
      <c r="BZ86" s="1055"/>
      <c r="CA86" s="1055"/>
      <c r="CB86" s="1055"/>
      <c r="CC86" s="1055"/>
      <c r="CD86" s="1055"/>
      <c r="CE86" s="1055"/>
      <c r="CF86" s="1055"/>
      <c r="CG86" s="1055"/>
      <c r="CH86" s="1055"/>
      <c r="CI86" s="1055"/>
      <c r="CJ86" s="1055"/>
      <c r="CK86" s="1055"/>
      <c r="CL86" s="1055"/>
      <c r="CM86" s="1055"/>
      <c r="CN86" s="1055"/>
      <c r="CO86" s="1055"/>
      <c r="CP86" s="1055"/>
      <c r="CQ86" s="1055"/>
      <c r="CR86" s="1055"/>
      <c r="CS86" s="1055"/>
      <c r="CT86" s="1055"/>
      <c r="CU86" s="1055"/>
      <c r="CV86" s="1055"/>
      <c r="CW86" s="1055"/>
      <c r="CX86" s="1055"/>
      <c r="CY86" s="1055"/>
      <c r="CZ86" s="1055"/>
      <c r="DA86" s="1055"/>
      <c r="DB86" s="1055"/>
      <c r="DC86" s="1055"/>
      <c r="DD86" s="1055"/>
      <c r="DE86" s="1055"/>
      <c r="DF86" s="1055"/>
      <c r="DG86" s="1055"/>
      <c r="DH86" s="1055"/>
      <c r="DI86" s="1055"/>
      <c r="DJ86" s="1055"/>
      <c r="DK86" s="1055"/>
      <c r="DL86" s="1055"/>
      <c r="DM86" s="1055"/>
      <c r="DN86" s="1055"/>
      <c r="DO86" s="1055"/>
      <c r="DP86" s="1055"/>
      <c r="DQ86" s="1055"/>
      <c r="DR86" s="1055"/>
      <c r="DS86" s="1055"/>
      <c r="DT86" s="1055"/>
      <c r="DU86" s="1055"/>
      <c r="DV86" s="1055"/>
      <c r="DW86" s="1055"/>
      <c r="DX86" s="1055"/>
      <c r="DY86" s="1055"/>
      <c r="DZ86" s="1055"/>
      <c r="EA86" s="1055"/>
      <c r="EB86" s="1055"/>
      <c r="EC86" s="1055"/>
      <c r="ED86" s="1055"/>
      <c r="EE86" s="1055"/>
      <c r="EF86" s="1055"/>
      <c r="EG86" s="1055"/>
      <c r="EH86" s="1055"/>
      <c r="EI86" s="1055"/>
      <c r="EJ86" s="1055"/>
      <c r="EK86" s="1055"/>
      <c r="EL86" s="1055"/>
      <c r="EM86" s="1055"/>
      <c r="EN86" s="1055"/>
      <c r="EO86" s="1055"/>
      <c r="EP86" s="1055"/>
      <c r="EQ86" s="1055"/>
      <c r="ER86" s="1055"/>
      <c r="ES86" s="1055"/>
      <c r="ET86" s="1055"/>
      <c r="EU86" s="1055"/>
      <c r="EV86" s="1055"/>
      <c r="EW86" s="1055"/>
      <c r="EX86" s="1055"/>
      <c r="EY86" s="1055"/>
      <c r="EZ86" s="1055"/>
      <c r="FA86" s="1055"/>
      <c r="FB86" s="1055"/>
      <c r="FC86" s="1055"/>
      <c r="FD86" s="1055"/>
      <c r="FE86" s="1055"/>
      <c r="FF86" s="1055"/>
      <c r="FG86" s="1055"/>
      <c r="FH86" s="1055"/>
      <c r="FI86" s="1055"/>
      <c r="FJ86" s="1055"/>
      <c r="FK86" s="1055"/>
      <c r="FL86" s="1055"/>
      <c r="FM86" s="1055"/>
      <c r="FN86" s="1055"/>
      <c r="FO86" s="1055"/>
      <c r="FP86" s="1055"/>
      <c r="FQ86" s="1055"/>
      <c r="FR86" s="1055"/>
      <c r="FS86" s="1055"/>
      <c r="FT86" s="1055"/>
      <c r="FU86" s="1055"/>
      <c r="FV86" s="1055"/>
      <c r="FW86" s="1055"/>
      <c r="FX86" s="1055"/>
      <c r="FY86" s="1055"/>
      <c r="FZ86" s="1055"/>
      <c r="GA86" s="1055"/>
      <c r="GB86" s="1055"/>
      <c r="GC86" s="1055"/>
      <c r="GD86" s="1055"/>
      <c r="GE86" s="1055"/>
      <c r="GF86" s="1055"/>
      <c r="GG86" s="1055"/>
      <c r="GH86" s="1055"/>
      <c r="GI86" s="1055"/>
      <c r="GJ86" s="1055"/>
    </row>
    <row r="87" spans="1:192" s="1067" customFormat="1">
      <c r="A87" s="952" t="s">
        <v>506</v>
      </c>
      <c r="B87" s="936"/>
      <c r="C87" s="936"/>
      <c r="D87" s="936"/>
      <c r="E87" s="936"/>
      <c r="F87" s="936"/>
      <c r="G87" s="914"/>
      <c r="H87" s="1055"/>
      <c r="I87" s="1055"/>
      <c r="J87" s="1055"/>
      <c r="K87" s="1055"/>
      <c r="L87" s="1055"/>
      <c r="M87" s="1055"/>
      <c r="N87" s="1055"/>
      <c r="O87" s="1055"/>
      <c r="P87" s="1055"/>
      <c r="Q87" s="1055"/>
      <c r="R87" s="1055"/>
      <c r="S87" s="1055"/>
      <c r="T87" s="1055"/>
      <c r="U87" s="1055"/>
      <c r="V87" s="1055"/>
      <c r="W87" s="1055"/>
      <c r="X87" s="1055"/>
      <c r="Y87" s="1055"/>
      <c r="Z87" s="1055"/>
      <c r="AA87" s="1055"/>
      <c r="AB87" s="1055"/>
      <c r="AC87" s="1055"/>
      <c r="AD87" s="1055"/>
      <c r="AE87" s="1055"/>
      <c r="AF87" s="1055"/>
      <c r="AG87" s="1055"/>
      <c r="AH87" s="1055"/>
      <c r="AI87" s="1055"/>
      <c r="AJ87" s="1055"/>
      <c r="AK87" s="1055"/>
      <c r="AL87" s="1055"/>
      <c r="AM87" s="1055"/>
      <c r="AN87" s="1055"/>
      <c r="AO87" s="1055"/>
      <c r="AP87" s="1055"/>
      <c r="AQ87" s="1055"/>
      <c r="AR87" s="1055"/>
      <c r="AS87" s="1055"/>
      <c r="AT87" s="1055"/>
      <c r="AU87" s="1055"/>
      <c r="AV87" s="1055"/>
      <c r="AW87" s="1055"/>
      <c r="AX87" s="1055"/>
      <c r="AY87" s="1055"/>
      <c r="AZ87" s="1055"/>
      <c r="BA87" s="1055"/>
      <c r="BB87" s="1055"/>
      <c r="BC87" s="1055"/>
      <c r="BD87" s="1055"/>
      <c r="BE87" s="1055"/>
      <c r="BF87" s="1055"/>
      <c r="BG87" s="1055"/>
      <c r="BH87" s="1055"/>
      <c r="BI87" s="1055"/>
      <c r="BJ87" s="1055"/>
      <c r="BK87" s="1055"/>
      <c r="BL87" s="1055"/>
      <c r="BM87" s="1055"/>
      <c r="BN87" s="1055"/>
      <c r="BO87" s="1055"/>
      <c r="BP87" s="1055"/>
      <c r="BQ87" s="1055"/>
      <c r="BR87" s="1055"/>
      <c r="BS87" s="1055"/>
      <c r="BT87" s="1055"/>
      <c r="BU87" s="1055"/>
      <c r="BV87" s="1055"/>
      <c r="BW87" s="1055"/>
      <c r="BX87" s="1055"/>
      <c r="BY87" s="1055"/>
      <c r="BZ87" s="1055"/>
      <c r="CA87" s="1055"/>
      <c r="CB87" s="1055"/>
      <c r="CC87" s="1055"/>
      <c r="CD87" s="1055"/>
      <c r="CE87" s="1055"/>
      <c r="CF87" s="1055"/>
      <c r="CG87" s="1055"/>
      <c r="CH87" s="1055"/>
      <c r="CI87" s="1055"/>
      <c r="CJ87" s="1055"/>
      <c r="CK87" s="1055"/>
      <c r="CL87" s="1055"/>
      <c r="CM87" s="1055"/>
      <c r="CN87" s="1055"/>
      <c r="CO87" s="1055"/>
      <c r="CP87" s="1055"/>
      <c r="CQ87" s="1055"/>
      <c r="CR87" s="1055"/>
      <c r="CS87" s="1055"/>
      <c r="CT87" s="1055"/>
      <c r="CU87" s="1055"/>
      <c r="CV87" s="1055"/>
      <c r="CW87" s="1055"/>
      <c r="CX87" s="1055"/>
      <c r="CY87" s="1055"/>
      <c r="CZ87" s="1055"/>
      <c r="DA87" s="1055"/>
      <c r="DB87" s="1055"/>
      <c r="DC87" s="1055"/>
      <c r="DD87" s="1055"/>
      <c r="DE87" s="1055"/>
      <c r="DF87" s="1055"/>
      <c r="DG87" s="1055"/>
      <c r="DH87" s="1055"/>
      <c r="DI87" s="1055"/>
      <c r="DJ87" s="1055"/>
      <c r="DK87" s="1055"/>
      <c r="DL87" s="1055"/>
      <c r="DM87" s="1055"/>
      <c r="DN87" s="1055"/>
      <c r="DO87" s="1055"/>
      <c r="DP87" s="1055"/>
      <c r="DQ87" s="1055"/>
      <c r="DR87" s="1055"/>
      <c r="DS87" s="1055"/>
      <c r="DT87" s="1055"/>
      <c r="DU87" s="1055"/>
      <c r="DV87" s="1055"/>
      <c r="DW87" s="1055"/>
      <c r="DX87" s="1055"/>
      <c r="DY87" s="1055"/>
      <c r="DZ87" s="1055"/>
      <c r="EA87" s="1055"/>
      <c r="EB87" s="1055"/>
      <c r="EC87" s="1055"/>
      <c r="ED87" s="1055"/>
      <c r="EE87" s="1055"/>
      <c r="EF87" s="1055"/>
      <c r="EG87" s="1055"/>
      <c r="EH87" s="1055"/>
      <c r="EI87" s="1055"/>
      <c r="EJ87" s="1055"/>
      <c r="EK87" s="1055"/>
      <c r="EL87" s="1055"/>
      <c r="EM87" s="1055"/>
      <c r="EN87" s="1055"/>
      <c r="EO87" s="1055"/>
      <c r="EP87" s="1055"/>
      <c r="EQ87" s="1055"/>
      <c r="ER87" s="1055"/>
      <c r="ES87" s="1055"/>
      <c r="ET87" s="1055"/>
      <c r="EU87" s="1055"/>
      <c r="EV87" s="1055"/>
      <c r="EW87" s="1055"/>
      <c r="EX87" s="1055"/>
      <c r="EY87" s="1055"/>
      <c r="EZ87" s="1055"/>
      <c r="FA87" s="1055"/>
      <c r="FB87" s="1055"/>
      <c r="FC87" s="1055"/>
      <c r="FD87" s="1055"/>
      <c r="FE87" s="1055"/>
      <c r="FF87" s="1055"/>
      <c r="FG87" s="1055"/>
      <c r="FH87" s="1055"/>
      <c r="FI87" s="1055"/>
      <c r="FJ87" s="1055"/>
      <c r="FK87" s="1055"/>
      <c r="FL87" s="1055"/>
      <c r="FM87" s="1055"/>
      <c r="FN87" s="1055"/>
      <c r="FO87" s="1055"/>
      <c r="FP87" s="1055"/>
      <c r="FQ87" s="1055"/>
      <c r="FR87" s="1055"/>
      <c r="FS87" s="1055"/>
      <c r="FT87" s="1055"/>
      <c r="FU87" s="1055"/>
      <c r="FV87" s="1055"/>
      <c r="FW87" s="1055"/>
      <c r="FX87" s="1055"/>
      <c r="FY87" s="1055"/>
      <c r="FZ87" s="1055"/>
      <c r="GA87" s="1055"/>
      <c r="GB87" s="1055"/>
      <c r="GC87" s="1055"/>
      <c r="GD87" s="1055"/>
      <c r="GE87" s="1055"/>
      <c r="GF87" s="1055"/>
      <c r="GG87" s="1055"/>
      <c r="GH87" s="1055"/>
      <c r="GI87" s="1055"/>
      <c r="GJ87" s="1055"/>
    </row>
    <row r="88" spans="1:192" s="1067" customFormat="1">
      <c r="A88" s="937" t="s">
        <v>576</v>
      </c>
      <c r="B88" s="938"/>
      <c r="C88" s="939"/>
      <c r="D88" s="939"/>
      <c r="E88" s="939"/>
      <c r="F88" s="939"/>
      <c r="G88" s="940"/>
      <c r="H88" s="1055"/>
      <c r="I88" s="1055"/>
      <c r="J88" s="1055"/>
      <c r="K88" s="1055"/>
      <c r="L88" s="1055"/>
      <c r="M88" s="1055"/>
      <c r="N88" s="1055"/>
      <c r="O88" s="1055"/>
      <c r="P88" s="1055"/>
      <c r="Q88" s="1055"/>
      <c r="R88" s="1055"/>
      <c r="S88" s="1055"/>
      <c r="T88" s="1055"/>
      <c r="U88" s="1055"/>
      <c r="V88" s="1055"/>
      <c r="W88" s="1055"/>
      <c r="X88" s="1055"/>
      <c r="Y88" s="1055"/>
      <c r="Z88" s="1055"/>
      <c r="AA88" s="1055"/>
      <c r="AB88" s="1055"/>
      <c r="AC88" s="1055"/>
      <c r="AD88" s="1055"/>
      <c r="AE88" s="1055"/>
      <c r="AF88" s="1055"/>
      <c r="AG88" s="1055"/>
      <c r="AH88" s="1055"/>
      <c r="AI88" s="1055"/>
      <c r="AJ88" s="1055"/>
      <c r="AK88" s="1055"/>
      <c r="AL88" s="1055"/>
      <c r="AM88" s="1055"/>
      <c r="AN88" s="1055"/>
      <c r="AO88" s="1055"/>
      <c r="AP88" s="1055"/>
      <c r="AQ88" s="1055"/>
      <c r="AR88" s="1055"/>
      <c r="AS88" s="1055"/>
      <c r="AT88" s="1055"/>
      <c r="AU88" s="1055"/>
      <c r="AV88" s="1055"/>
      <c r="AW88" s="1055"/>
      <c r="AX88" s="1055"/>
      <c r="AY88" s="1055"/>
      <c r="AZ88" s="1055"/>
      <c r="BA88" s="1055"/>
      <c r="BB88" s="1055"/>
      <c r="BC88" s="1055"/>
      <c r="BD88" s="1055"/>
      <c r="BE88" s="1055"/>
      <c r="BF88" s="1055"/>
      <c r="BG88" s="1055"/>
      <c r="BH88" s="1055"/>
      <c r="BI88" s="1055"/>
      <c r="BJ88" s="1055"/>
      <c r="BK88" s="1055"/>
      <c r="BL88" s="1055"/>
      <c r="BM88" s="1055"/>
      <c r="BN88" s="1055"/>
      <c r="BO88" s="1055"/>
      <c r="BP88" s="1055"/>
      <c r="BQ88" s="1055"/>
      <c r="BR88" s="1055"/>
      <c r="BS88" s="1055"/>
      <c r="BT88" s="1055"/>
      <c r="BU88" s="1055"/>
      <c r="BV88" s="1055"/>
      <c r="BW88" s="1055"/>
      <c r="BX88" s="1055"/>
      <c r="BY88" s="1055"/>
      <c r="BZ88" s="1055"/>
      <c r="CA88" s="1055"/>
      <c r="CB88" s="1055"/>
      <c r="CC88" s="1055"/>
      <c r="CD88" s="1055"/>
      <c r="CE88" s="1055"/>
      <c r="CF88" s="1055"/>
      <c r="CG88" s="1055"/>
      <c r="CH88" s="1055"/>
      <c r="CI88" s="1055"/>
      <c r="CJ88" s="1055"/>
      <c r="CK88" s="1055"/>
      <c r="CL88" s="1055"/>
      <c r="CM88" s="1055"/>
      <c r="CN88" s="1055"/>
      <c r="CO88" s="1055"/>
      <c r="CP88" s="1055"/>
      <c r="CQ88" s="1055"/>
      <c r="CR88" s="1055"/>
      <c r="CS88" s="1055"/>
      <c r="CT88" s="1055"/>
      <c r="CU88" s="1055"/>
      <c r="CV88" s="1055"/>
      <c r="CW88" s="1055"/>
      <c r="CX88" s="1055"/>
      <c r="CY88" s="1055"/>
      <c r="CZ88" s="1055"/>
      <c r="DA88" s="1055"/>
      <c r="DB88" s="1055"/>
      <c r="DC88" s="1055"/>
      <c r="DD88" s="1055"/>
      <c r="DE88" s="1055"/>
      <c r="DF88" s="1055"/>
      <c r="DG88" s="1055"/>
      <c r="DH88" s="1055"/>
      <c r="DI88" s="1055"/>
      <c r="DJ88" s="1055"/>
      <c r="DK88" s="1055"/>
      <c r="DL88" s="1055"/>
      <c r="DM88" s="1055"/>
      <c r="DN88" s="1055"/>
      <c r="DO88" s="1055"/>
      <c r="DP88" s="1055"/>
      <c r="DQ88" s="1055"/>
      <c r="DR88" s="1055"/>
      <c r="DS88" s="1055"/>
      <c r="DT88" s="1055"/>
      <c r="DU88" s="1055"/>
      <c r="DV88" s="1055"/>
      <c r="DW88" s="1055"/>
      <c r="DX88" s="1055"/>
      <c r="DY88" s="1055"/>
      <c r="DZ88" s="1055"/>
      <c r="EA88" s="1055"/>
      <c r="EB88" s="1055"/>
      <c r="EC88" s="1055"/>
      <c r="ED88" s="1055"/>
      <c r="EE88" s="1055"/>
      <c r="EF88" s="1055"/>
      <c r="EG88" s="1055"/>
      <c r="EH88" s="1055"/>
      <c r="EI88" s="1055"/>
      <c r="EJ88" s="1055"/>
      <c r="EK88" s="1055"/>
      <c r="EL88" s="1055"/>
      <c r="EM88" s="1055"/>
      <c r="EN88" s="1055"/>
      <c r="EO88" s="1055"/>
      <c r="EP88" s="1055"/>
      <c r="EQ88" s="1055"/>
      <c r="ER88" s="1055"/>
      <c r="ES88" s="1055"/>
      <c r="ET88" s="1055"/>
      <c r="EU88" s="1055"/>
      <c r="EV88" s="1055"/>
      <c r="EW88" s="1055"/>
      <c r="EX88" s="1055"/>
      <c r="EY88" s="1055"/>
      <c r="EZ88" s="1055"/>
      <c r="FA88" s="1055"/>
      <c r="FB88" s="1055"/>
      <c r="FC88" s="1055"/>
      <c r="FD88" s="1055"/>
      <c r="FE88" s="1055"/>
      <c r="FF88" s="1055"/>
      <c r="FG88" s="1055"/>
      <c r="FH88" s="1055"/>
      <c r="FI88" s="1055"/>
      <c r="FJ88" s="1055"/>
      <c r="FK88" s="1055"/>
      <c r="FL88" s="1055"/>
      <c r="FM88" s="1055"/>
      <c r="FN88" s="1055"/>
      <c r="FO88" s="1055"/>
      <c r="FP88" s="1055"/>
      <c r="FQ88" s="1055"/>
      <c r="FR88" s="1055"/>
      <c r="FS88" s="1055"/>
      <c r="FT88" s="1055"/>
      <c r="FU88" s="1055"/>
      <c r="FV88" s="1055"/>
      <c r="FW88" s="1055"/>
      <c r="FX88" s="1055"/>
      <c r="FY88" s="1055"/>
      <c r="FZ88" s="1055"/>
      <c r="GA88" s="1055"/>
      <c r="GB88" s="1055"/>
      <c r="GC88" s="1055"/>
      <c r="GD88" s="1055"/>
      <c r="GE88" s="1055"/>
      <c r="GF88" s="1055"/>
      <c r="GG88" s="1055"/>
      <c r="GH88" s="1055"/>
      <c r="GI88" s="1055"/>
      <c r="GJ88" s="1055"/>
    </row>
    <row r="89" spans="1:192" s="1067" customFormat="1">
      <c r="A89" s="941"/>
      <c r="B89" s="938"/>
      <c r="C89" s="939"/>
      <c r="D89" s="939"/>
      <c r="E89" s="939"/>
      <c r="F89" s="939"/>
      <c r="G89" s="940"/>
      <c r="H89" s="1055"/>
      <c r="I89" s="1055"/>
      <c r="J89" s="1055"/>
      <c r="K89" s="1055"/>
      <c r="L89" s="1055"/>
      <c r="M89" s="1055"/>
      <c r="N89" s="1055"/>
      <c r="O89" s="1055"/>
      <c r="P89" s="1055"/>
      <c r="Q89" s="1055"/>
      <c r="R89" s="1055"/>
      <c r="S89" s="1055"/>
      <c r="T89" s="1055"/>
      <c r="U89" s="1055"/>
      <c r="V89" s="1055"/>
      <c r="W89" s="1055"/>
      <c r="X89" s="1055"/>
      <c r="Y89" s="1055"/>
      <c r="Z89" s="1055"/>
      <c r="AA89" s="1055"/>
      <c r="AB89" s="1055"/>
      <c r="AC89" s="1055"/>
      <c r="AD89" s="1055"/>
      <c r="AE89" s="1055"/>
      <c r="AF89" s="1055"/>
      <c r="AG89" s="1055"/>
      <c r="AH89" s="1055"/>
      <c r="AI89" s="1055"/>
      <c r="AJ89" s="1055"/>
      <c r="AK89" s="1055"/>
      <c r="AL89" s="1055"/>
      <c r="AM89" s="1055"/>
      <c r="AN89" s="1055"/>
      <c r="AO89" s="1055"/>
      <c r="AP89" s="1055"/>
      <c r="AQ89" s="1055"/>
      <c r="AR89" s="1055"/>
      <c r="AS89" s="1055"/>
      <c r="AT89" s="1055"/>
      <c r="AU89" s="1055"/>
      <c r="AV89" s="1055"/>
      <c r="AW89" s="1055"/>
      <c r="AX89" s="1055"/>
      <c r="AY89" s="1055"/>
      <c r="AZ89" s="1055"/>
      <c r="BA89" s="1055"/>
      <c r="BB89" s="1055"/>
      <c r="BC89" s="1055"/>
      <c r="BD89" s="1055"/>
      <c r="BE89" s="1055"/>
      <c r="BF89" s="1055"/>
      <c r="BG89" s="1055"/>
      <c r="BH89" s="1055"/>
      <c r="BI89" s="1055"/>
      <c r="BJ89" s="1055"/>
      <c r="BK89" s="1055"/>
      <c r="BL89" s="1055"/>
      <c r="BM89" s="1055"/>
      <c r="BN89" s="1055"/>
      <c r="BO89" s="1055"/>
      <c r="BP89" s="1055"/>
      <c r="BQ89" s="1055"/>
      <c r="BR89" s="1055"/>
      <c r="BS89" s="1055"/>
      <c r="BT89" s="1055"/>
      <c r="BU89" s="1055"/>
      <c r="BV89" s="1055"/>
      <c r="BW89" s="1055"/>
      <c r="BX89" s="1055"/>
      <c r="BY89" s="1055"/>
      <c r="BZ89" s="1055"/>
      <c r="CA89" s="1055"/>
      <c r="CB89" s="1055"/>
      <c r="CC89" s="1055"/>
      <c r="CD89" s="1055"/>
      <c r="CE89" s="1055"/>
      <c r="CF89" s="1055"/>
      <c r="CG89" s="1055"/>
      <c r="CH89" s="1055"/>
      <c r="CI89" s="1055"/>
      <c r="CJ89" s="1055"/>
      <c r="CK89" s="1055"/>
      <c r="CL89" s="1055"/>
      <c r="CM89" s="1055"/>
      <c r="CN89" s="1055"/>
      <c r="CO89" s="1055"/>
      <c r="CP89" s="1055"/>
      <c r="CQ89" s="1055"/>
      <c r="CR89" s="1055"/>
      <c r="CS89" s="1055"/>
      <c r="CT89" s="1055"/>
      <c r="CU89" s="1055"/>
      <c r="CV89" s="1055"/>
      <c r="CW89" s="1055"/>
      <c r="CX89" s="1055"/>
      <c r="CY89" s="1055"/>
      <c r="CZ89" s="1055"/>
      <c r="DA89" s="1055"/>
      <c r="DB89" s="1055"/>
      <c r="DC89" s="1055"/>
      <c r="DD89" s="1055"/>
      <c r="DE89" s="1055"/>
      <c r="DF89" s="1055"/>
      <c r="DG89" s="1055"/>
      <c r="DH89" s="1055"/>
      <c r="DI89" s="1055"/>
      <c r="DJ89" s="1055"/>
      <c r="DK89" s="1055"/>
      <c r="DL89" s="1055"/>
      <c r="DM89" s="1055"/>
      <c r="DN89" s="1055"/>
      <c r="DO89" s="1055"/>
      <c r="DP89" s="1055"/>
      <c r="DQ89" s="1055"/>
      <c r="DR89" s="1055"/>
      <c r="DS89" s="1055"/>
      <c r="DT89" s="1055"/>
      <c r="DU89" s="1055"/>
      <c r="DV89" s="1055"/>
      <c r="DW89" s="1055"/>
      <c r="DX89" s="1055"/>
      <c r="DY89" s="1055"/>
      <c r="DZ89" s="1055"/>
      <c r="EA89" s="1055"/>
      <c r="EB89" s="1055"/>
      <c r="EC89" s="1055"/>
      <c r="ED89" s="1055"/>
      <c r="EE89" s="1055"/>
      <c r="EF89" s="1055"/>
      <c r="EG89" s="1055"/>
      <c r="EH89" s="1055"/>
      <c r="EI89" s="1055"/>
      <c r="EJ89" s="1055"/>
      <c r="EK89" s="1055"/>
      <c r="EL89" s="1055"/>
      <c r="EM89" s="1055"/>
      <c r="EN89" s="1055"/>
      <c r="EO89" s="1055"/>
      <c r="EP89" s="1055"/>
      <c r="EQ89" s="1055"/>
      <c r="ER89" s="1055"/>
      <c r="ES89" s="1055"/>
      <c r="ET89" s="1055"/>
      <c r="EU89" s="1055"/>
      <c r="EV89" s="1055"/>
      <c r="EW89" s="1055"/>
      <c r="EX89" s="1055"/>
      <c r="EY89" s="1055"/>
      <c r="EZ89" s="1055"/>
      <c r="FA89" s="1055"/>
      <c r="FB89" s="1055"/>
      <c r="FC89" s="1055"/>
      <c r="FD89" s="1055"/>
      <c r="FE89" s="1055"/>
      <c r="FF89" s="1055"/>
      <c r="FG89" s="1055"/>
      <c r="FH89" s="1055"/>
      <c r="FI89" s="1055"/>
      <c r="FJ89" s="1055"/>
      <c r="FK89" s="1055"/>
      <c r="FL89" s="1055"/>
      <c r="FM89" s="1055"/>
      <c r="FN89" s="1055"/>
      <c r="FO89" s="1055"/>
      <c r="FP89" s="1055"/>
      <c r="FQ89" s="1055"/>
      <c r="FR89" s="1055"/>
      <c r="FS89" s="1055"/>
      <c r="FT89" s="1055"/>
      <c r="FU89" s="1055"/>
      <c r="FV89" s="1055"/>
      <c r="FW89" s="1055"/>
      <c r="FX89" s="1055"/>
      <c r="FY89" s="1055"/>
      <c r="FZ89" s="1055"/>
      <c r="GA89" s="1055"/>
      <c r="GB89" s="1055"/>
      <c r="GC89" s="1055"/>
      <c r="GD89" s="1055"/>
      <c r="GE89" s="1055"/>
      <c r="GF89" s="1055"/>
      <c r="GG89" s="1055"/>
      <c r="GH89" s="1055"/>
      <c r="GI89" s="1055"/>
      <c r="GJ89" s="1055"/>
    </row>
    <row r="90" spans="1:192" s="1067" customFormat="1">
      <c r="A90" s="941"/>
      <c r="B90" s="938"/>
      <c r="C90" s="939"/>
      <c r="D90" s="939"/>
      <c r="E90" s="939"/>
      <c r="F90" s="939"/>
      <c r="G90" s="940"/>
      <c r="H90" s="1055"/>
      <c r="I90" s="1055"/>
      <c r="J90" s="1055"/>
      <c r="K90" s="1055"/>
      <c r="L90" s="1055"/>
      <c r="M90" s="1055"/>
      <c r="N90" s="1055"/>
      <c r="O90" s="1055"/>
      <c r="P90" s="1055"/>
      <c r="Q90" s="1055"/>
      <c r="R90" s="1055"/>
      <c r="S90" s="1055"/>
      <c r="T90" s="1055"/>
      <c r="U90" s="1055"/>
      <c r="V90" s="1055"/>
      <c r="W90" s="1055"/>
      <c r="X90" s="1055"/>
      <c r="Y90" s="1055"/>
      <c r="Z90" s="1055"/>
      <c r="AA90" s="1055"/>
      <c r="AB90" s="1055"/>
      <c r="AC90" s="1055"/>
      <c r="AD90" s="1055"/>
      <c r="AE90" s="1055"/>
      <c r="AF90" s="1055"/>
      <c r="AG90" s="1055"/>
      <c r="AH90" s="1055"/>
      <c r="AI90" s="1055"/>
      <c r="AJ90" s="1055"/>
      <c r="AK90" s="1055"/>
      <c r="AL90" s="1055"/>
      <c r="AM90" s="1055"/>
      <c r="AN90" s="1055"/>
      <c r="AO90" s="1055"/>
      <c r="AP90" s="1055"/>
      <c r="AQ90" s="1055"/>
      <c r="AR90" s="1055"/>
      <c r="AS90" s="1055"/>
      <c r="AT90" s="1055"/>
      <c r="AU90" s="1055"/>
      <c r="AV90" s="1055"/>
      <c r="AW90" s="1055"/>
      <c r="AX90" s="1055"/>
      <c r="AY90" s="1055"/>
      <c r="AZ90" s="1055"/>
      <c r="BA90" s="1055"/>
      <c r="BB90" s="1055"/>
      <c r="BC90" s="1055"/>
      <c r="BD90" s="1055"/>
      <c r="BE90" s="1055"/>
      <c r="BF90" s="1055"/>
      <c r="BG90" s="1055"/>
      <c r="BH90" s="1055"/>
      <c r="BI90" s="1055"/>
      <c r="BJ90" s="1055"/>
      <c r="BK90" s="1055"/>
      <c r="BL90" s="1055"/>
      <c r="BM90" s="1055"/>
      <c r="BN90" s="1055"/>
      <c r="BO90" s="1055"/>
      <c r="BP90" s="1055"/>
      <c r="BQ90" s="1055"/>
      <c r="BR90" s="1055"/>
      <c r="BS90" s="1055"/>
      <c r="BT90" s="1055"/>
      <c r="BU90" s="1055"/>
      <c r="BV90" s="1055"/>
      <c r="BW90" s="1055"/>
      <c r="BX90" s="1055"/>
      <c r="BY90" s="1055"/>
      <c r="BZ90" s="1055"/>
      <c r="CA90" s="1055"/>
      <c r="CB90" s="1055"/>
      <c r="CC90" s="1055"/>
      <c r="CD90" s="1055"/>
      <c r="CE90" s="1055"/>
      <c r="CF90" s="1055"/>
      <c r="CG90" s="1055"/>
      <c r="CH90" s="1055"/>
      <c r="CI90" s="1055"/>
      <c r="CJ90" s="1055"/>
      <c r="CK90" s="1055"/>
      <c r="CL90" s="1055"/>
      <c r="CM90" s="1055"/>
      <c r="CN90" s="1055"/>
      <c r="CO90" s="1055"/>
      <c r="CP90" s="1055"/>
      <c r="CQ90" s="1055"/>
      <c r="CR90" s="1055"/>
      <c r="CS90" s="1055"/>
      <c r="CT90" s="1055"/>
      <c r="CU90" s="1055"/>
      <c r="CV90" s="1055"/>
      <c r="CW90" s="1055"/>
      <c r="CX90" s="1055"/>
      <c r="CY90" s="1055"/>
      <c r="CZ90" s="1055"/>
      <c r="DA90" s="1055"/>
      <c r="DB90" s="1055"/>
      <c r="DC90" s="1055"/>
      <c r="DD90" s="1055"/>
      <c r="DE90" s="1055"/>
      <c r="DF90" s="1055"/>
      <c r="DG90" s="1055"/>
      <c r="DH90" s="1055"/>
      <c r="DI90" s="1055"/>
      <c r="DJ90" s="1055"/>
      <c r="DK90" s="1055"/>
      <c r="DL90" s="1055"/>
      <c r="DM90" s="1055"/>
      <c r="DN90" s="1055"/>
      <c r="DO90" s="1055"/>
      <c r="DP90" s="1055"/>
      <c r="DQ90" s="1055"/>
      <c r="DR90" s="1055"/>
      <c r="DS90" s="1055"/>
      <c r="DT90" s="1055"/>
      <c r="DU90" s="1055"/>
      <c r="DV90" s="1055"/>
      <c r="DW90" s="1055"/>
      <c r="DX90" s="1055"/>
      <c r="DY90" s="1055"/>
      <c r="DZ90" s="1055"/>
      <c r="EA90" s="1055"/>
      <c r="EB90" s="1055"/>
      <c r="EC90" s="1055"/>
      <c r="ED90" s="1055"/>
      <c r="EE90" s="1055"/>
      <c r="EF90" s="1055"/>
      <c r="EG90" s="1055"/>
      <c r="EH90" s="1055"/>
      <c r="EI90" s="1055"/>
      <c r="EJ90" s="1055"/>
      <c r="EK90" s="1055"/>
      <c r="EL90" s="1055"/>
      <c r="EM90" s="1055"/>
      <c r="EN90" s="1055"/>
      <c r="EO90" s="1055"/>
      <c r="EP90" s="1055"/>
      <c r="EQ90" s="1055"/>
      <c r="ER90" s="1055"/>
      <c r="ES90" s="1055"/>
      <c r="ET90" s="1055"/>
      <c r="EU90" s="1055"/>
      <c r="EV90" s="1055"/>
      <c r="EW90" s="1055"/>
      <c r="EX90" s="1055"/>
      <c r="EY90" s="1055"/>
      <c r="EZ90" s="1055"/>
      <c r="FA90" s="1055"/>
      <c r="FB90" s="1055"/>
      <c r="FC90" s="1055"/>
      <c r="FD90" s="1055"/>
      <c r="FE90" s="1055"/>
      <c r="FF90" s="1055"/>
      <c r="FG90" s="1055"/>
      <c r="FH90" s="1055"/>
      <c r="FI90" s="1055"/>
      <c r="FJ90" s="1055"/>
      <c r="FK90" s="1055"/>
      <c r="FL90" s="1055"/>
      <c r="FM90" s="1055"/>
      <c r="FN90" s="1055"/>
      <c r="FO90" s="1055"/>
      <c r="FP90" s="1055"/>
      <c r="FQ90" s="1055"/>
      <c r="FR90" s="1055"/>
      <c r="FS90" s="1055"/>
      <c r="FT90" s="1055"/>
      <c r="FU90" s="1055"/>
      <c r="FV90" s="1055"/>
      <c r="FW90" s="1055"/>
      <c r="FX90" s="1055"/>
      <c r="FY90" s="1055"/>
      <c r="FZ90" s="1055"/>
      <c r="GA90" s="1055"/>
      <c r="GB90" s="1055"/>
      <c r="GC90" s="1055"/>
      <c r="GD90" s="1055"/>
      <c r="GE90" s="1055"/>
      <c r="GF90" s="1055"/>
      <c r="GG90" s="1055"/>
      <c r="GH90" s="1055"/>
      <c r="GI90" s="1055"/>
      <c r="GJ90" s="1055"/>
    </row>
    <row r="91" spans="1:192" s="1067" customFormat="1">
      <c r="A91" s="1065" t="s">
        <v>68</v>
      </c>
      <c r="B91" s="1089" t="s">
        <v>182</v>
      </c>
      <c r="C91" s="1089" t="s">
        <v>46</v>
      </c>
      <c r="D91" s="1089" t="s">
        <v>69</v>
      </c>
      <c r="E91" s="1089" t="s">
        <v>67</v>
      </c>
      <c r="F91" s="1089" t="s">
        <v>340</v>
      </c>
      <c r="G91" s="1065" t="s">
        <v>70</v>
      </c>
      <c r="H91" s="1055"/>
      <c r="I91" s="1055"/>
      <c r="J91" s="1055"/>
      <c r="K91" s="1055"/>
      <c r="L91" s="1055"/>
      <c r="M91" s="1055"/>
      <c r="N91" s="1055"/>
      <c r="O91" s="1055"/>
      <c r="P91" s="1055"/>
      <c r="Q91" s="1055"/>
      <c r="R91" s="1055"/>
      <c r="S91" s="1055"/>
      <c r="T91" s="1055"/>
      <c r="U91" s="1055"/>
      <c r="V91" s="1055"/>
      <c r="W91" s="1055"/>
      <c r="X91" s="1055"/>
      <c r="Y91" s="1055"/>
      <c r="Z91" s="1055"/>
      <c r="AA91" s="1055"/>
      <c r="AB91" s="1055"/>
      <c r="AC91" s="1055"/>
      <c r="AD91" s="1055"/>
      <c r="AE91" s="1055"/>
      <c r="AF91" s="1055"/>
      <c r="AG91" s="1055"/>
      <c r="AH91" s="1055"/>
      <c r="AI91" s="1055"/>
      <c r="AJ91" s="1055"/>
      <c r="AK91" s="1055"/>
      <c r="AL91" s="1055"/>
      <c r="AM91" s="1055"/>
      <c r="AN91" s="1055"/>
      <c r="AO91" s="1055"/>
      <c r="AP91" s="1055"/>
      <c r="AQ91" s="1055"/>
      <c r="AR91" s="1055"/>
      <c r="AS91" s="1055"/>
      <c r="AT91" s="1055"/>
      <c r="AU91" s="1055"/>
      <c r="AV91" s="1055"/>
      <c r="AW91" s="1055"/>
      <c r="AX91" s="1055"/>
      <c r="AY91" s="1055"/>
      <c r="AZ91" s="1055"/>
      <c r="BA91" s="1055"/>
      <c r="BB91" s="1055"/>
      <c r="BC91" s="1055"/>
      <c r="BD91" s="1055"/>
      <c r="BE91" s="1055"/>
      <c r="BF91" s="1055"/>
      <c r="BG91" s="1055"/>
      <c r="BH91" s="1055"/>
      <c r="BI91" s="1055"/>
      <c r="BJ91" s="1055"/>
      <c r="BK91" s="1055"/>
      <c r="BL91" s="1055"/>
      <c r="BM91" s="1055"/>
      <c r="BN91" s="1055"/>
      <c r="BO91" s="1055"/>
      <c r="BP91" s="1055"/>
      <c r="BQ91" s="1055"/>
      <c r="BR91" s="1055"/>
      <c r="BS91" s="1055"/>
      <c r="BT91" s="1055"/>
      <c r="BU91" s="1055"/>
      <c r="BV91" s="1055"/>
      <c r="BW91" s="1055"/>
      <c r="BX91" s="1055"/>
      <c r="BY91" s="1055"/>
      <c r="BZ91" s="1055"/>
      <c r="CA91" s="1055"/>
      <c r="CB91" s="1055"/>
      <c r="CC91" s="1055"/>
      <c r="CD91" s="1055"/>
      <c r="CE91" s="1055"/>
      <c r="CF91" s="1055"/>
      <c r="CG91" s="1055"/>
      <c r="CH91" s="1055"/>
      <c r="CI91" s="1055"/>
      <c r="CJ91" s="1055"/>
      <c r="CK91" s="1055"/>
      <c r="CL91" s="1055"/>
      <c r="CM91" s="1055"/>
      <c r="CN91" s="1055"/>
      <c r="CO91" s="1055"/>
      <c r="CP91" s="1055"/>
      <c r="CQ91" s="1055"/>
      <c r="CR91" s="1055"/>
      <c r="CS91" s="1055"/>
      <c r="CT91" s="1055"/>
      <c r="CU91" s="1055"/>
      <c r="CV91" s="1055"/>
      <c r="CW91" s="1055"/>
      <c r="CX91" s="1055"/>
      <c r="CY91" s="1055"/>
      <c r="CZ91" s="1055"/>
      <c r="DA91" s="1055"/>
      <c r="DB91" s="1055"/>
      <c r="DC91" s="1055"/>
      <c r="DD91" s="1055"/>
      <c r="DE91" s="1055"/>
      <c r="DF91" s="1055"/>
      <c r="DG91" s="1055"/>
      <c r="DH91" s="1055"/>
      <c r="DI91" s="1055"/>
      <c r="DJ91" s="1055"/>
      <c r="DK91" s="1055"/>
      <c r="DL91" s="1055"/>
      <c r="DM91" s="1055"/>
      <c r="DN91" s="1055"/>
      <c r="DO91" s="1055"/>
      <c r="DP91" s="1055"/>
      <c r="DQ91" s="1055"/>
      <c r="DR91" s="1055"/>
      <c r="DS91" s="1055"/>
      <c r="DT91" s="1055"/>
      <c r="DU91" s="1055"/>
      <c r="DV91" s="1055"/>
      <c r="DW91" s="1055"/>
      <c r="DX91" s="1055"/>
      <c r="DY91" s="1055"/>
      <c r="DZ91" s="1055"/>
      <c r="EA91" s="1055"/>
      <c r="EB91" s="1055"/>
      <c r="EC91" s="1055"/>
      <c r="ED91" s="1055"/>
      <c r="EE91" s="1055"/>
      <c r="EF91" s="1055"/>
      <c r="EG91" s="1055"/>
      <c r="EH91" s="1055"/>
      <c r="EI91" s="1055"/>
      <c r="EJ91" s="1055"/>
      <c r="EK91" s="1055"/>
      <c r="EL91" s="1055"/>
      <c r="EM91" s="1055"/>
      <c r="EN91" s="1055"/>
      <c r="EO91" s="1055"/>
      <c r="EP91" s="1055"/>
      <c r="EQ91" s="1055"/>
      <c r="ER91" s="1055"/>
      <c r="ES91" s="1055"/>
      <c r="ET91" s="1055"/>
      <c r="EU91" s="1055"/>
      <c r="EV91" s="1055"/>
      <c r="EW91" s="1055"/>
      <c r="EX91" s="1055"/>
      <c r="EY91" s="1055"/>
      <c r="EZ91" s="1055"/>
      <c r="FA91" s="1055"/>
      <c r="FB91" s="1055"/>
      <c r="FC91" s="1055"/>
      <c r="FD91" s="1055"/>
      <c r="FE91" s="1055"/>
      <c r="FF91" s="1055"/>
      <c r="FG91" s="1055"/>
      <c r="FH91" s="1055"/>
      <c r="FI91" s="1055"/>
      <c r="FJ91" s="1055"/>
      <c r="FK91" s="1055"/>
      <c r="FL91" s="1055"/>
      <c r="FM91" s="1055"/>
      <c r="FN91" s="1055"/>
      <c r="FO91" s="1055"/>
      <c r="FP91" s="1055"/>
      <c r="FQ91" s="1055"/>
      <c r="FR91" s="1055"/>
      <c r="FS91" s="1055"/>
      <c r="FT91" s="1055"/>
      <c r="FU91" s="1055"/>
      <c r="FV91" s="1055"/>
      <c r="FW91" s="1055"/>
      <c r="FX91" s="1055"/>
      <c r="FY91" s="1055"/>
      <c r="FZ91" s="1055"/>
      <c r="GA91" s="1055"/>
      <c r="GB91" s="1055"/>
      <c r="GC91" s="1055"/>
      <c r="GD91" s="1055"/>
      <c r="GE91" s="1055"/>
      <c r="GF91" s="1055"/>
      <c r="GG91" s="1055"/>
      <c r="GH91" s="1055"/>
      <c r="GI91" s="1055"/>
      <c r="GJ91" s="1055"/>
    </row>
    <row r="92" spans="1:192" s="1067" customFormat="1">
      <c r="A92" s="943" t="s">
        <v>237</v>
      </c>
      <c r="B92" s="916" t="s">
        <v>181</v>
      </c>
      <c r="C92" s="916" t="s">
        <v>248</v>
      </c>
      <c r="D92" s="936" t="s">
        <v>249</v>
      </c>
      <c r="E92" s="936"/>
      <c r="F92" s="936"/>
      <c r="G92" s="944"/>
      <c r="H92" s="1055"/>
      <c r="I92" s="1055"/>
      <c r="J92" s="1055"/>
      <c r="K92" s="1055"/>
      <c r="L92" s="1055"/>
      <c r="M92" s="1055"/>
      <c r="N92" s="1055"/>
      <c r="O92" s="1055"/>
      <c r="P92" s="1055"/>
      <c r="Q92" s="1055"/>
      <c r="R92" s="1055"/>
      <c r="S92" s="1055"/>
      <c r="T92" s="1055"/>
      <c r="U92" s="1055"/>
      <c r="V92" s="1055"/>
      <c r="W92" s="1055"/>
      <c r="X92" s="1055"/>
      <c r="Y92" s="1055"/>
      <c r="Z92" s="1055"/>
      <c r="AA92" s="1055"/>
      <c r="AB92" s="1055"/>
      <c r="AC92" s="1055"/>
      <c r="AD92" s="1055"/>
      <c r="AE92" s="1055"/>
      <c r="AF92" s="1055"/>
      <c r="AG92" s="1055"/>
      <c r="AH92" s="1055"/>
      <c r="AI92" s="1055"/>
      <c r="AJ92" s="1055"/>
      <c r="AK92" s="1055"/>
      <c r="AL92" s="1055"/>
      <c r="AM92" s="1055"/>
      <c r="AN92" s="1055"/>
      <c r="AO92" s="1055"/>
      <c r="AP92" s="1055"/>
      <c r="AQ92" s="1055"/>
      <c r="AR92" s="1055"/>
      <c r="AS92" s="1055"/>
      <c r="AT92" s="1055"/>
      <c r="AU92" s="1055"/>
      <c r="AV92" s="1055"/>
      <c r="AW92" s="1055"/>
      <c r="AX92" s="1055"/>
      <c r="AY92" s="1055"/>
      <c r="AZ92" s="1055"/>
      <c r="BA92" s="1055"/>
      <c r="BB92" s="1055"/>
      <c r="BC92" s="1055"/>
      <c r="BD92" s="1055"/>
      <c r="BE92" s="1055"/>
      <c r="BF92" s="1055"/>
      <c r="BG92" s="1055"/>
      <c r="BH92" s="1055"/>
      <c r="BI92" s="1055"/>
      <c r="BJ92" s="1055"/>
      <c r="BK92" s="1055"/>
      <c r="BL92" s="1055"/>
      <c r="BM92" s="1055"/>
      <c r="BN92" s="1055"/>
      <c r="BO92" s="1055"/>
      <c r="BP92" s="1055"/>
      <c r="BQ92" s="1055"/>
      <c r="BR92" s="1055"/>
      <c r="BS92" s="1055"/>
      <c r="BT92" s="1055"/>
      <c r="BU92" s="1055"/>
      <c r="BV92" s="1055"/>
      <c r="BW92" s="1055"/>
      <c r="BX92" s="1055"/>
      <c r="BY92" s="1055"/>
      <c r="BZ92" s="1055"/>
      <c r="CA92" s="1055"/>
      <c r="CB92" s="1055"/>
      <c r="CC92" s="1055"/>
      <c r="CD92" s="1055"/>
      <c r="CE92" s="1055"/>
      <c r="CF92" s="1055"/>
      <c r="CG92" s="1055"/>
      <c r="CH92" s="1055"/>
      <c r="CI92" s="1055"/>
      <c r="CJ92" s="1055"/>
      <c r="CK92" s="1055"/>
      <c r="CL92" s="1055"/>
      <c r="CM92" s="1055"/>
      <c r="CN92" s="1055"/>
      <c r="CO92" s="1055"/>
      <c r="CP92" s="1055"/>
      <c r="CQ92" s="1055"/>
      <c r="CR92" s="1055"/>
      <c r="CS92" s="1055"/>
      <c r="CT92" s="1055"/>
      <c r="CU92" s="1055"/>
      <c r="CV92" s="1055"/>
      <c r="CW92" s="1055"/>
      <c r="CX92" s="1055"/>
      <c r="CY92" s="1055"/>
      <c r="CZ92" s="1055"/>
      <c r="DA92" s="1055"/>
      <c r="DB92" s="1055"/>
      <c r="DC92" s="1055"/>
      <c r="DD92" s="1055"/>
      <c r="DE92" s="1055"/>
      <c r="DF92" s="1055"/>
      <c r="DG92" s="1055"/>
      <c r="DH92" s="1055"/>
      <c r="DI92" s="1055"/>
      <c r="DJ92" s="1055"/>
      <c r="DK92" s="1055"/>
      <c r="DL92" s="1055"/>
      <c r="DM92" s="1055"/>
      <c r="DN92" s="1055"/>
      <c r="DO92" s="1055"/>
      <c r="DP92" s="1055"/>
      <c r="DQ92" s="1055"/>
      <c r="DR92" s="1055"/>
      <c r="DS92" s="1055"/>
      <c r="DT92" s="1055"/>
      <c r="DU92" s="1055"/>
      <c r="DV92" s="1055"/>
      <c r="DW92" s="1055"/>
      <c r="DX92" s="1055"/>
      <c r="DY92" s="1055"/>
      <c r="DZ92" s="1055"/>
      <c r="EA92" s="1055"/>
      <c r="EB92" s="1055"/>
      <c r="EC92" s="1055"/>
      <c r="ED92" s="1055"/>
      <c r="EE92" s="1055"/>
      <c r="EF92" s="1055"/>
      <c r="EG92" s="1055"/>
      <c r="EH92" s="1055"/>
      <c r="EI92" s="1055"/>
      <c r="EJ92" s="1055"/>
      <c r="EK92" s="1055"/>
      <c r="EL92" s="1055"/>
      <c r="EM92" s="1055"/>
      <c r="EN92" s="1055"/>
      <c r="EO92" s="1055"/>
      <c r="EP92" s="1055"/>
      <c r="EQ92" s="1055"/>
      <c r="ER92" s="1055"/>
      <c r="ES92" s="1055"/>
      <c r="ET92" s="1055"/>
      <c r="EU92" s="1055"/>
      <c r="EV92" s="1055"/>
      <c r="EW92" s="1055"/>
      <c r="EX92" s="1055"/>
      <c r="EY92" s="1055"/>
      <c r="EZ92" s="1055"/>
      <c r="FA92" s="1055"/>
      <c r="FB92" s="1055"/>
      <c r="FC92" s="1055"/>
      <c r="FD92" s="1055"/>
      <c r="FE92" s="1055"/>
      <c r="FF92" s="1055"/>
      <c r="FG92" s="1055"/>
      <c r="FH92" s="1055"/>
      <c r="FI92" s="1055"/>
      <c r="FJ92" s="1055"/>
      <c r="FK92" s="1055"/>
      <c r="FL92" s="1055"/>
      <c r="FM92" s="1055"/>
      <c r="FN92" s="1055"/>
      <c r="FO92" s="1055"/>
      <c r="FP92" s="1055"/>
      <c r="FQ92" s="1055"/>
      <c r="FR92" s="1055"/>
      <c r="FS92" s="1055"/>
      <c r="FT92" s="1055"/>
      <c r="FU92" s="1055"/>
      <c r="FV92" s="1055"/>
      <c r="FW92" s="1055"/>
      <c r="FX92" s="1055"/>
      <c r="FY92" s="1055"/>
      <c r="FZ92" s="1055"/>
      <c r="GA92" s="1055"/>
      <c r="GB92" s="1055"/>
      <c r="GC92" s="1055"/>
      <c r="GD92" s="1055"/>
      <c r="GE92" s="1055"/>
      <c r="GF92" s="1055"/>
      <c r="GG92" s="1055"/>
      <c r="GH92" s="1055"/>
      <c r="GI92" s="1055"/>
      <c r="GJ92" s="1055"/>
    </row>
    <row r="93" spans="1:192" s="1067" customFormat="1">
      <c r="A93" s="922"/>
      <c r="B93" s="916"/>
      <c r="C93" s="916" t="s">
        <v>612</v>
      </c>
      <c r="D93" s="936" t="s">
        <v>234</v>
      </c>
      <c r="E93" s="936" t="s">
        <v>245</v>
      </c>
      <c r="F93" s="936" t="s">
        <v>247</v>
      </c>
      <c r="G93" s="944"/>
      <c r="H93" s="1055"/>
      <c r="I93" s="1055"/>
      <c r="J93" s="1055"/>
      <c r="K93" s="1055"/>
      <c r="L93" s="1055"/>
      <c r="M93" s="1055"/>
      <c r="N93" s="1055"/>
      <c r="O93" s="1055"/>
      <c r="P93" s="1055"/>
      <c r="Q93" s="1055"/>
      <c r="R93" s="1055"/>
      <c r="S93" s="1055"/>
      <c r="T93" s="1055"/>
      <c r="U93" s="1055"/>
      <c r="V93" s="1055"/>
      <c r="W93" s="1055"/>
      <c r="X93" s="1055"/>
      <c r="Y93" s="1055"/>
      <c r="Z93" s="1055"/>
      <c r="AA93" s="1055"/>
      <c r="AB93" s="1055"/>
      <c r="AC93" s="1055"/>
      <c r="AD93" s="1055"/>
      <c r="AE93" s="1055"/>
      <c r="AF93" s="1055"/>
      <c r="AG93" s="1055"/>
      <c r="AH93" s="1055"/>
      <c r="AI93" s="1055"/>
      <c r="AJ93" s="1055"/>
      <c r="AK93" s="1055"/>
      <c r="AL93" s="1055"/>
      <c r="AM93" s="1055"/>
      <c r="AN93" s="1055"/>
      <c r="AO93" s="1055"/>
      <c r="AP93" s="1055"/>
      <c r="AQ93" s="1055"/>
      <c r="AR93" s="1055"/>
      <c r="AS93" s="1055"/>
      <c r="AT93" s="1055"/>
      <c r="AU93" s="1055"/>
      <c r="AV93" s="1055"/>
      <c r="AW93" s="1055"/>
      <c r="AX93" s="1055"/>
      <c r="AY93" s="1055"/>
      <c r="AZ93" s="1055"/>
      <c r="BA93" s="1055"/>
      <c r="BB93" s="1055"/>
      <c r="BC93" s="1055"/>
      <c r="BD93" s="1055"/>
      <c r="BE93" s="1055"/>
      <c r="BF93" s="1055"/>
      <c r="BG93" s="1055"/>
      <c r="BH93" s="1055"/>
      <c r="BI93" s="1055"/>
      <c r="BJ93" s="1055"/>
      <c r="BK93" s="1055"/>
      <c r="BL93" s="1055"/>
      <c r="BM93" s="1055"/>
      <c r="BN93" s="1055"/>
      <c r="BO93" s="1055"/>
      <c r="BP93" s="1055"/>
      <c r="BQ93" s="1055"/>
      <c r="BR93" s="1055"/>
      <c r="BS93" s="1055"/>
      <c r="BT93" s="1055"/>
      <c r="BU93" s="1055"/>
      <c r="BV93" s="1055"/>
      <c r="BW93" s="1055"/>
      <c r="BX93" s="1055"/>
      <c r="BY93" s="1055"/>
      <c r="BZ93" s="1055"/>
      <c r="CA93" s="1055"/>
      <c r="CB93" s="1055"/>
      <c r="CC93" s="1055"/>
      <c r="CD93" s="1055"/>
      <c r="CE93" s="1055"/>
      <c r="CF93" s="1055"/>
      <c r="CG93" s="1055"/>
      <c r="CH93" s="1055"/>
      <c r="CI93" s="1055"/>
      <c r="CJ93" s="1055"/>
      <c r="CK93" s="1055"/>
      <c r="CL93" s="1055"/>
      <c r="CM93" s="1055"/>
      <c r="CN93" s="1055"/>
      <c r="CO93" s="1055"/>
      <c r="CP93" s="1055"/>
      <c r="CQ93" s="1055"/>
      <c r="CR93" s="1055"/>
      <c r="CS93" s="1055"/>
      <c r="CT93" s="1055"/>
      <c r="CU93" s="1055"/>
      <c r="CV93" s="1055"/>
      <c r="CW93" s="1055"/>
      <c r="CX93" s="1055"/>
      <c r="CY93" s="1055"/>
      <c r="CZ93" s="1055"/>
      <c r="DA93" s="1055"/>
      <c r="DB93" s="1055"/>
      <c r="DC93" s="1055"/>
      <c r="DD93" s="1055"/>
      <c r="DE93" s="1055"/>
      <c r="DF93" s="1055"/>
      <c r="DG93" s="1055"/>
      <c r="DH93" s="1055"/>
      <c r="DI93" s="1055"/>
      <c r="DJ93" s="1055"/>
      <c r="DK93" s="1055"/>
      <c r="DL93" s="1055"/>
      <c r="DM93" s="1055"/>
      <c r="DN93" s="1055"/>
      <c r="DO93" s="1055"/>
      <c r="DP93" s="1055"/>
      <c r="DQ93" s="1055"/>
      <c r="DR93" s="1055"/>
      <c r="DS93" s="1055"/>
      <c r="DT93" s="1055"/>
      <c r="DU93" s="1055"/>
      <c r="DV93" s="1055"/>
      <c r="DW93" s="1055"/>
      <c r="DX93" s="1055"/>
      <c r="DY93" s="1055"/>
      <c r="DZ93" s="1055"/>
      <c r="EA93" s="1055"/>
      <c r="EB93" s="1055"/>
      <c r="EC93" s="1055"/>
      <c r="ED93" s="1055"/>
      <c r="EE93" s="1055"/>
      <c r="EF93" s="1055"/>
      <c r="EG93" s="1055"/>
      <c r="EH93" s="1055"/>
      <c r="EI93" s="1055"/>
      <c r="EJ93" s="1055"/>
      <c r="EK93" s="1055"/>
      <c r="EL93" s="1055"/>
      <c r="EM93" s="1055"/>
      <c r="EN93" s="1055"/>
      <c r="EO93" s="1055"/>
      <c r="EP93" s="1055"/>
      <c r="EQ93" s="1055"/>
      <c r="ER93" s="1055"/>
      <c r="ES93" s="1055"/>
      <c r="ET93" s="1055"/>
      <c r="EU93" s="1055"/>
      <c r="EV93" s="1055"/>
      <c r="EW93" s="1055"/>
      <c r="EX93" s="1055"/>
      <c r="EY93" s="1055"/>
      <c r="EZ93" s="1055"/>
      <c r="FA93" s="1055"/>
      <c r="FB93" s="1055"/>
      <c r="FC93" s="1055"/>
      <c r="FD93" s="1055"/>
      <c r="FE93" s="1055"/>
      <c r="FF93" s="1055"/>
      <c r="FG93" s="1055"/>
      <c r="FH93" s="1055"/>
      <c r="FI93" s="1055"/>
      <c r="FJ93" s="1055"/>
      <c r="FK93" s="1055"/>
      <c r="FL93" s="1055"/>
      <c r="FM93" s="1055"/>
      <c r="FN93" s="1055"/>
      <c r="FO93" s="1055"/>
      <c r="FP93" s="1055"/>
      <c r="FQ93" s="1055"/>
      <c r="FR93" s="1055"/>
      <c r="FS93" s="1055"/>
      <c r="FT93" s="1055"/>
      <c r="FU93" s="1055"/>
      <c r="FV93" s="1055"/>
      <c r="FW93" s="1055"/>
      <c r="FX93" s="1055"/>
      <c r="FY93" s="1055"/>
      <c r="FZ93" s="1055"/>
      <c r="GA93" s="1055"/>
      <c r="GB93" s="1055"/>
      <c r="GC93" s="1055"/>
      <c r="GD93" s="1055"/>
      <c r="GE93" s="1055"/>
      <c r="GF93" s="1055"/>
      <c r="GG93" s="1055"/>
      <c r="GH93" s="1055"/>
      <c r="GI93" s="1055"/>
      <c r="GJ93" s="1055"/>
    </row>
    <row r="94" spans="1:192" s="1067" customFormat="1">
      <c r="A94" s="922"/>
      <c r="B94" s="912"/>
      <c r="C94" s="916" t="s">
        <v>692</v>
      </c>
      <c r="D94" s="936" t="s">
        <v>246</v>
      </c>
      <c r="E94" s="936" t="s">
        <v>246</v>
      </c>
      <c r="F94" s="936" t="s">
        <v>246</v>
      </c>
      <c r="G94" s="936" t="s">
        <v>617</v>
      </c>
      <c r="H94" s="1055"/>
      <c r="I94" s="1055"/>
      <c r="J94" s="1055"/>
      <c r="K94" s="1055"/>
      <c r="L94" s="1055"/>
      <c r="M94" s="1055"/>
      <c r="N94" s="1055"/>
      <c r="O94" s="1055"/>
      <c r="P94" s="1055"/>
      <c r="Q94" s="1055"/>
      <c r="R94" s="1055"/>
      <c r="S94" s="1055"/>
      <c r="T94" s="1055"/>
      <c r="U94" s="1055"/>
      <c r="V94" s="1055"/>
      <c r="W94" s="1055"/>
      <c r="X94" s="1055"/>
      <c r="Y94" s="1055"/>
      <c r="Z94" s="1055"/>
      <c r="AA94" s="1055"/>
      <c r="AB94" s="1055"/>
      <c r="AC94" s="1055"/>
      <c r="AD94" s="1055"/>
      <c r="AE94" s="1055"/>
      <c r="AF94" s="1055"/>
      <c r="AG94" s="1055"/>
      <c r="AH94" s="1055"/>
      <c r="AI94" s="1055"/>
      <c r="AJ94" s="1055"/>
      <c r="AK94" s="1055"/>
      <c r="AL94" s="1055"/>
      <c r="AM94" s="1055"/>
      <c r="AN94" s="1055"/>
      <c r="AO94" s="1055"/>
      <c r="AP94" s="1055"/>
      <c r="AQ94" s="1055"/>
      <c r="AR94" s="1055"/>
      <c r="AS94" s="1055"/>
      <c r="AT94" s="1055"/>
      <c r="AU94" s="1055"/>
      <c r="AV94" s="1055"/>
      <c r="AW94" s="1055"/>
      <c r="AX94" s="1055"/>
      <c r="AY94" s="1055"/>
      <c r="AZ94" s="1055"/>
      <c r="BA94" s="1055"/>
      <c r="BB94" s="1055"/>
      <c r="BC94" s="1055"/>
      <c r="BD94" s="1055"/>
      <c r="BE94" s="1055"/>
      <c r="BF94" s="1055"/>
      <c r="BG94" s="1055"/>
      <c r="BH94" s="1055"/>
      <c r="BI94" s="1055"/>
      <c r="BJ94" s="1055"/>
      <c r="BK94" s="1055"/>
      <c r="BL94" s="1055"/>
      <c r="BM94" s="1055"/>
      <c r="BN94" s="1055"/>
      <c r="BO94" s="1055"/>
      <c r="BP94" s="1055"/>
      <c r="BQ94" s="1055"/>
      <c r="BR94" s="1055"/>
      <c r="BS94" s="1055"/>
      <c r="BT94" s="1055"/>
      <c r="BU94" s="1055"/>
      <c r="BV94" s="1055"/>
      <c r="BW94" s="1055"/>
      <c r="BX94" s="1055"/>
      <c r="BY94" s="1055"/>
      <c r="BZ94" s="1055"/>
      <c r="CA94" s="1055"/>
      <c r="CB94" s="1055"/>
      <c r="CC94" s="1055"/>
      <c r="CD94" s="1055"/>
      <c r="CE94" s="1055"/>
      <c r="CF94" s="1055"/>
      <c r="CG94" s="1055"/>
      <c r="CH94" s="1055"/>
      <c r="CI94" s="1055"/>
      <c r="CJ94" s="1055"/>
      <c r="CK94" s="1055"/>
      <c r="CL94" s="1055"/>
      <c r="CM94" s="1055"/>
      <c r="CN94" s="1055"/>
      <c r="CO94" s="1055"/>
      <c r="CP94" s="1055"/>
      <c r="CQ94" s="1055"/>
      <c r="CR94" s="1055"/>
      <c r="CS94" s="1055"/>
      <c r="CT94" s="1055"/>
      <c r="CU94" s="1055"/>
      <c r="CV94" s="1055"/>
      <c r="CW94" s="1055"/>
      <c r="CX94" s="1055"/>
      <c r="CY94" s="1055"/>
      <c r="CZ94" s="1055"/>
      <c r="DA94" s="1055"/>
      <c r="DB94" s="1055"/>
      <c r="DC94" s="1055"/>
      <c r="DD94" s="1055"/>
      <c r="DE94" s="1055"/>
      <c r="DF94" s="1055"/>
      <c r="DG94" s="1055"/>
      <c r="DH94" s="1055"/>
      <c r="DI94" s="1055"/>
      <c r="DJ94" s="1055"/>
      <c r="DK94" s="1055"/>
      <c r="DL94" s="1055"/>
      <c r="DM94" s="1055"/>
      <c r="DN94" s="1055"/>
      <c r="DO94" s="1055"/>
      <c r="DP94" s="1055"/>
      <c r="DQ94" s="1055"/>
      <c r="DR94" s="1055"/>
      <c r="DS94" s="1055"/>
      <c r="DT94" s="1055"/>
      <c r="DU94" s="1055"/>
      <c r="DV94" s="1055"/>
      <c r="DW94" s="1055"/>
      <c r="DX94" s="1055"/>
      <c r="DY94" s="1055"/>
      <c r="DZ94" s="1055"/>
      <c r="EA94" s="1055"/>
      <c r="EB94" s="1055"/>
      <c r="EC94" s="1055"/>
      <c r="ED94" s="1055"/>
      <c r="EE94" s="1055"/>
      <c r="EF94" s="1055"/>
      <c r="EG94" s="1055"/>
      <c r="EH94" s="1055"/>
      <c r="EI94" s="1055"/>
      <c r="EJ94" s="1055"/>
      <c r="EK94" s="1055"/>
      <c r="EL94" s="1055"/>
      <c r="EM94" s="1055"/>
      <c r="EN94" s="1055"/>
      <c r="EO94" s="1055"/>
      <c r="EP94" s="1055"/>
      <c r="EQ94" s="1055"/>
      <c r="ER94" s="1055"/>
      <c r="ES94" s="1055"/>
      <c r="ET94" s="1055"/>
      <c r="EU94" s="1055"/>
      <c r="EV94" s="1055"/>
      <c r="EW94" s="1055"/>
      <c r="EX94" s="1055"/>
      <c r="EY94" s="1055"/>
      <c r="EZ94" s="1055"/>
      <c r="FA94" s="1055"/>
      <c r="FB94" s="1055"/>
      <c r="FC94" s="1055"/>
      <c r="FD94" s="1055"/>
      <c r="FE94" s="1055"/>
      <c r="FF94" s="1055"/>
      <c r="FG94" s="1055"/>
      <c r="FH94" s="1055"/>
      <c r="FI94" s="1055"/>
      <c r="FJ94" s="1055"/>
      <c r="FK94" s="1055"/>
      <c r="FL94" s="1055"/>
      <c r="FM94" s="1055"/>
      <c r="FN94" s="1055"/>
      <c r="FO94" s="1055"/>
      <c r="FP94" s="1055"/>
      <c r="FQ94" s="1055"/>
      <c r="FR94" s="1055"/>
      <c r="FS94" s="1055"/>
      <c r="FT94" s="1055"/>
      <c r="FU94" s="1055"/>
      <c r="FV94" s="1055"/>
      <c r="FW94" s="1055"/>
      <c r="FX94" s="1055"/>
      <c r="FY94" s="1055"/>
      <c r="FZ94" s="1055"/>
      <c r="GA94" s="1055"/>
      <c r="GB94" s="1055"/>
      <c r="GC94" s="1055"/>
      <c r="GD94" s="1055"/>
      <c r="GE94" s="1055"/>
      <c r="GF94" s="1055"/>
      <c r="GG94" s="1055"/>
      <c r="GH94" s="1055"/>
      <c r="GI94" s="1055"/>
      <c r="GJ94" s="1055"/>
    </row>
    <row r="95" spans="1:192" s="1067" customFormat="1" ht="30">
      <c r="A95" s="899" t="s">
        <v>631</v>
      </c>
      <c r="B95" s="900">
        <f>SUM(C95:F95)</f>
        <v>-7490421.9206209341</v>
      </c>
      <c r="C95" s="900">
        <v>-7490421.9206209341</v>
      </c>
      <c r="D95" s="900">
        <v>0</v>
      </c>
      <c r="E95" s="900">
        <v>0</v>
      </c>
      <c r="F95" s="900">
        <v>0</v>
      </c>
      <c r="G95" s="903" t="s">
        <v>719</v>
      </c>
      <c r="H95" s="1055"/>
      <c r="I95" s="1055"/>
      <c r="J95" s="1055"/>
      <c r="K95" s="1055"/>
      <c r="L95" s="1055"/>
      <c r="M95" s="1055"/>
      <c r="N95" s="1055"/>
      <c r="O95" s="1055"/>
      <c r="P95" s="1055"/>
      <c r="Q95" s="1055"/>
      <c r="R95" s="1055"/>
      <c r="S95" s="1055"/>
      <c r="T95" s="1055"/>
      <c r="U95" s="1055"/>
      <c r="V95" s="1055"/>
      <c r="W95" s="1055"/>
      <c r="X95" s="1055"/>
      <c r="Y95" s="1055"/>
      <c r="Z95" s="1055"/>
      <c r="AA95" s="1055"/>
      <c r="AB95" s="1055"/>
      <c r="AC95" s="1055"/>
      <c r="AD95" s="1055"/>
      <c r="AE95" s="1055"/>
      <c r="AF95" s="1055"/>
      <c r="AG95" s="1055"/>
      <c r="AH95" s="1055"/>
      <c r="AI95" s="1055"/>
      <c r="AJ95" s="1055"/>
      <c r="AK95" s="1055"/>
      <c r="AL95" s="1055"/>
      <c r="AM95" s="1055"/>
      <c r="AN95" s="1055"/>
      <c r="AO95" s="1055"/>
      <c r="AP95" s="1055"/>
      <c r="AQ95" s="1055"/>
      <c r="AR95" s="1055"/>
      <c r="AS95" s="1055"/>
      <c r="AT95" s="1055"/>
      <c r="AU95" s="1055"/>
      <c r="AV95" s="1055"/>
      <c r="AW95" s="1055"/>
      <c r="AX95" s="1055"/>
      <c r="AY95" s="1055"/>
      <c r="AZ95" s="1055"/>
      <c r="BA95" s="1055"/>
      <c r="BB95" s="1055"/>
      <c r="BC95" s="1055"/>
      <c r="BD95" s="1055"/>
      <c r="BE95" s="1055"/>
      <c r="BF95" s="1055"/>
      <c r="BG95" s="1055"/>
      <c r="BH95" s="1055"/>
      <c r="BI95" s="1055"/>
      <c r="BJ95" s="1055"/>
      <c r="BK95" s="1055"/>
      <c r="BL95" s="1055"/>
      <c r="BM95" s="1055"/>
      <c r="BN95" s="1055"/>
      <c r="BO95" s="1055"/>
      <c r="BP95" s="1055"/>
      <c r="BQ95" s="1055"/>
      <c r="BR95" s="1055"/>
      <c r="BS95" s="1055"/>
      <c r="BT95" s="1055"/>
      <c r="BU95" s="1055"/>
      <c r="BV95" s="1055"/>
      <c r="BW95" s="1055"/>
      <c r="BX95" s="1055"/>
      <c r="BY95" s="1055"/>
      <c r="BZ95" s="1055"/>
      <c r="CA95" s="1055"/>
      <c r="CB95" s="1055"/>
      <c r="CC95" s="1055"/>
      <c r="CD95" s="1055"/>
      <c r="CE95" s="1055"/>
      <c r="CF95" s="1055"/>
      <c r="CG95" s="1055"/>
      <c r="CH95" s="1055"/>
      <c r="CI95" s="1055"/>
      <c r="CJ95" s="1055"/>
      <c r="CK95" s="1055"/>
      <c r="CL95" s="1055"/>
      <c r="CM95" s="1055"/>
      <c r="CN95" s="1055"/>
      <c r="CO95" s="1055"/>
      <c r="CP95" s="1055"/>
      <c r="CQ95" s="1055"/>
      <c r="CR95" s="1055"/>
      <c r="CS95" s="1055"/>
      <c r="CT95" s="1055"/>
      <c r="CU95" s="1055"/>
      <c r="CV95" s="1055"/>
      <c r="CW95" s="1055"/>
      <c r="CX95" s="1055"/>
      <c r="CY95" s="1055"/>
      <c r="CZ95" s="1055"/>
      <c r="DA95" s="1055"/>
      <c r="DB95" s="1055"/>
      <c r="DC95" s="1055"/>
      <c r="DD95" s="1055"/>
      <c r="DE95" s="1055"/>
      <c r="DF95" s="1055"/>
      <c r="DG95" s="1055"/>
      <c r="DH95" s="1055"/>
      <c r="DI95" s="1055"/>
      <c r="DJ95" s="1055"/>
      <c r="DK95" s="1055"/>
      <c r="DL95" s="1055"/>
      <c r="DM95" s="1055"/>
      <c r="DN95" s="1055"/>
      <c r="DO95" s="1055"/>
      <c r="DP95" s="1055"/>
      <c r="DQ95" s="1055"/>
      <c r="DR95" s="1055"/>
      <c r="DS95" s="1055"/>
      <c r="DT95" s="1055"/>
      <c r="DU95" s="1055"/>
      <c r="DV95" s="1055"/>
      <c r="DW95" s="1055"/>
      <c r="DX95" s="1055"/>
      <c r="DY95" s="1055"/>
      <c r="DZ95" s="1055"/>
      <c r="EA95" s="1055"/>
      <c r="EB95" s="1055"/>
      <c r="EC95" s="1055"/>
      <c r="ED95" s="1055"/>
      <c r="EE95" s="1055"/>
      <c r="EF95" s="1055"/>
      <c r="EG95" s="1055"/>
      <c r="EH95" s="1055"/>
      <c r="EI95" s="1055"/>
      <c r="EJ95" s="1055"/>
      <c r="EK95" s="1055"/>
      <c r="EL95" s="1055"/>
      <c r="EM95" s="1055"/>
      <c r="EN95" s="1055"/>
      <c r="EO95" s="1055"/>
      <c r="EP95" s="1055"/>
      <c r="EQ95" s="1055"/>
      <c r="ER95" s="1055"/>
      <c r="ES95" s="1055"/>
      <c r="ET95" s="1055"/>
      <c r="EU95" s="1055"/>
      <c r="EV95" s="1055"/>
      <c r="EW95" s="1055"/>
      <c r="EX95" s="1055"/>
      <c r="EY95" s="1055"/>
      <c r="EZ95" s="1055"/>
      <c r="FA95" s="1055"/>
      <c r="FB95" s="1055"/>
      <c r="FC95" s="1055"/>
      <c r="FD95" s="1055"/>
      <c r="FE95" s="1055"/>
      <c r="FF95" s="1055"/>
      <c r="FG95" s="1055"/>
      <c r="FH95" s="1055"/>
      <c r="FI95" s="1055"/>
      <c r="FJ95" s="1055"/>
      <c r="FK95" s="1055"/>
      <c r="FL95" s="1055"/>
      <c r="FM95" s="1055"/>
      <c r="FN95" s="1055"/>
      <c r="FO95" s="1055"/>
      <c r="FP95" s="1055"/>
      <c r="FQ95" s="1055"/>
      <c r="FR95" s="1055"/>
      <c r="FS95" s="1055"/>
      <c r="FT95" s="1055"/>
      <c r="FU95" s="1055"/>
      <c r="FV95" s="1055"/>
      <c r="FW95" s="1055"/>
      <c r="FX95" s="1055"/>
      <c r="FY95" s="1055"/>
      <c r="FZ95" s="1055"/>
      <c r="GA95" s="1055"/>
      <c r="GB95" s="1055"/>
      <c r="GC95" s="1055"/>
      <c r="GD95" s="1055"/>
      <c r="GE95" s="1055"/>
      <c r="GF95" s="1055"/>
      <c r="GG95" s="1055"/>
      <c r="GH95" s="1055"/>
      <c r="GI95" s="1055"/>
      <c r="GJ95" s="1055"/>
    </row>
    <row r="96" spans="1:192" s="1067" customFormat="1" ht="75">
      <c r="A96" s="899" t="s">
        <v>503</v>
      </c>
      <c r="B96" s="900">
        <f t="shared" ref="B96:B113" si="4">SUM(C96:F96)</f>
        <v>-3.9165356906596571</v>
      </c>
      <c r="C96" s="900">
        <v>-3.9165356906596571</v>
      </c>
      <c r="D96" s="900">
        <v>0</v>
      </c>
      <c r="E96" s="900">
        <v>0</v>
      </c>
      <c r="F96" s="900">
        <v>0</v>
      </c>
      <c r="G96" s="903" t="s">
        <v>696</v>
      </c>
      <c r="H96" s="1055"/>
      <c r="I96" s="1055"/>
      <c r="J96" s="1055"/>
      <c r="K96" s="1055"/>
      <c r="L96" s="1055"/>
      <c r="M96" s="1055"/>
      <c r="N96" s="1055"/>
      <c r="O96" s="1055"/>
      <c r="P96" s="1055"/>
      <c r="Q96" s="1055"/>
      <c r="R96" s="1055"/>
      <c r="S96" s="1055"/>
      <c r="T96" s="1055"/>
      <c r="U96" s="1055"/>
      <c r="V96" s="1055"/>
      <c r="W96" s="1055"/>
      <c r="X96" s="1055"/>
      <c r="Y96" s="1055"/>
      <c r="Z96" s="1055"/>
      <c r="AA96" s="1055"/>
      <c r="AB96" s="1055"/>
      <c r="AC96" s="1055"/>
      <c r="AD96" s="1055"/>
      <c r="AE96" s="1055"/>
      <c r="AF96" s="1055"/>
      <c r="AG96" s="1055"/>
      <c r="AH96" s="1055"/>
      <c r="AI96" s="1055"/>
      <c r="AJ96" s="1055"/>
      <c r="AK96" s="1055"/>
      <c r="AL96" s="1055"/>
      <c r="AM96" s="1055"/>
      <c r="AN96" s="1055"/>
      <c r="AO96" s="1055"/>
      <c r="AP96" s="1055"/>
      <c r="AQ96" s="1055"/>
      <c r="AR96" s="1055"/>
      <c r="AS96" s="1055"/>
      <c r="AT96" s="1055"/>
      <c r="AU96" s="1055"/>
      <c r="AV96" s="1055"/>
      <c r="AW96" s="1055"/>
      <c r="AX96" s="1055"/>
      <c r="AY96" s="1055"/>
      <c r="AZ96" s="1055"/>
      <c r="BA96" s="1055"/>
      <c r="BB96" s="1055"/>
      <c r="BC96" s="1055"/>
      <c r="BD96" s="1055"/>
      <c r="BE96" s="1055"/>
      <c r="BF96" s="1055"/>
      <c r="BG96" s="1055"/>
      <c r="BH96" s="1055"/>
      <c r="BI96" s="1055"/>
      <c r="BJ96" s="1055"/>
      <c r="BK96" s="1055"/>
      <c r="BL96" s="1055"/>
      <c r="BM96" s="1055"/>
      <c r="BN96" s="1055"/>
      <c r="BO96" s="1055"/>
      <c r="BP96" s="1055"/>
      <c r="BQ96" s="1055"/>
      <c r="BR96" s="1055"/>
      <c r="BS96" s="1055"/>
      <c r="BT96" s="1055"/>
      <c r="BU96" s="1055"/>
      <c r="BV96" s="1055"/>
      <c r="BW96" s="1055"/>
      <c r="BX96" s="1055"/>
      <c r="BY96" s="1055"/>
      <c r="BZ96" s="1055"/>
      <c r="CA96" s="1055"/>
      <c r="CB96" s="1055"/>
      <c r="CC96" s="1055"/>
      <c r="CD96" s="1055"/>
      <c r="CE96" s="1055"/>
      <c r="CF96" s="1055"/>
      <c r="CG96" s="1055"/>
      <c r="CH96" s="1055"/>
      <c r="CI96" s="1055"/>
      <c r="CJ96" s="1055"/>
      <c r="CK96" s="1055"/>
      <c r="CL96" s="1055"/>
      <c r="CM96" s="1055"/>
      <c r="CN96" s="1055"/>
      <c r="CO96" s="1055"/>
      <c r="CP96" s="1055"/>
      <c r="CQ96" s="1055"/>
      <c r="CR96" s="1055"/>
      <c r="CS96" s="1055"/>
      <c r="CT96" s="1055"/>
      <c r="CU96" s="1055"/>
      <c r="CV96" s="1055"/>
      <c r="CW96" s="1055"/>
      <c r="CX96" s="1055"/>
      <c r="CY96" s="1055"/>
      <c r="CZ96" s="1055"/>
      <c r="DA96" s="1055"/>
      <c r="DB96" s="1055"/>
      <c r="DC96" s="1055"/>
      <c r="DD96" s="1055"/>
      <c r="DE96" s="1055"/>
      <c r="DF96" s="1055"/>
      <c r="DG96" s="1055"/>
      <c r="DH96" s="1055"/>
      <c r="DI96" s="1055"/>
      <c r="DJ96" s="1055"/>
      <c r="DK96" s="1055"/>
      <c r="DL96" s="1055"/>
      <c r="DM96" s="1055"/>
      <c r="DN96" s="1055"/>
      <c r="DO96" s="1055"/>
      <c r="DP96" s="1055"/>
      <c r="DQ96" s="1055"/>
      <c r="DR96" s="1055"/>
      <c r="DS96" s="1055"/>
      <c r="DT96" s="1055"/>
      <c r="DU96" s="1055"/>
      <c r="DV96" s="1055"/>
      <c r="DW96" s="1055"/>
      <c r="DX96" s="1055"/>
      <c r="DY96" s="1055"/>
      <c r="DZ96" s="1055"/>
      <c r="EA96" s="1055"/>
      <c r="EB96" s="1055"/>
      <c r="EC96" s="1055"/>
      <c r="ED96" s="1055"/>
      <c r="EE96" s="1055"/>
      <c r="EF96" s="1055"/>
      <c r="EG96" s="1055"/>
      <c r="EH96" s="1055"/>
      <c r="EI96" s="1055"/>
      <c r="EJ96" s="1055"/>
      <c r="EK96" s="1055"/>
      <c r="EL96" s="1055"/>
      <c r="EM96" s="1055"/>
      <c r="EN96" s="1055"/>
      <c r="EO96" s="1055"/>
      <c r="EP96" s="1055"/>
      <c r="EQ96" s="1055"/>
      <c r="ER96" s="1055"/>
      <c r="ES96" s="1055"/>
      <c r="ET96" s="1055"/>
      <c r="EU96" s="1055"/>
      <c r="EV96" s="1055"/>
      <c r="EW96" s="1055"/>
      <c r="EX96" s="1055"/>
      <c r="EY96" s="1055"/>
      <c r="EZ96" s="1055"/>
      <c r="FA96" s="1055"/>
      <c r="FB96" s="1055"/>
      <c r="FC96" s="1055"/>
      <c r="FD96" s="1055"/>
      <c r="FE96" s="1055"/>
      <c r="FF96" s="1055"/>
      <c r="FG96" s="1055"/>
      <c r="FH96" s="1055"/>
      <c r="FI96" s="1055"/>
      <c r="FJ96" s="1055"/>
      <c r="FK96" s="1055"/>
      <c r="FL96" s="1055"/>
      <c r="FM96" s="1055"/>
      <c r="FN96" s="1055"/>
      <c r="FO96" s="1055"/>
      <c r="FP96" s="1055"/>
      <c r="FQ96" s="1055"/>
      <c r="FR96" s="1055"/>
      <c r="FS96" s="1055"/>
      <c r="FT96" s="1055"/>
      <c r="FU96" s="1055"/>
      <c r="FV96" s="1055"/>
      <c r="FW96" s="1055"/>
      <c r="FX96" s="1055"/>
      <c r="FY96" s="1055"/>
      <c r="FZ96" s="1055"/>
      <c r="GA96" s="1055"/>
      <c r="GB96" s="1055"/>
      <c r="GC96" s="1055"/>
      <c r="GD96" s="1055"/>
      <c r="GE96" s="1055"/>
      <c r="GF96" s="1055"/>
      <c r="GG96" s="1055"/>
      <c r="GH96" s="1055"/>
      <c r="GI96" s="1055"/>
      <c r="GJ96" s="1055"/>
    </row>
    <row r="97" spans="1:192" s="1067" customFormat="1" ht="30">
      <c r="A97" s="899" t="s">
        <v>628</v>
      </c>
      <c r="B97" s="900">
        <f t="shared" si="4"/>
        <v>-531250.99069114297</v>
      </c>
      <c r="C97" s="900">
        <v>-74375.138696760027</v>
      </c>
      <c r="D97" s="900">
        <v>0</v>
      </c>
      <c r="E97" s="900">
        <v>-456875.85199438297</v>
      </c>
      <c r="F97" s="900">
        <v>0</v>
      </c>
      <c r="G97" s="903" t="s">
        <v>791</v>
      </c>
      <c r="H97" s="1055"/>
      <c r="I97" s="1055"/>
      <c r="J97" s="1055"/>
      <c r="K97" s="1055"/>
      <c r="L97" s="1055"/>
      <c r="M97" s="1055"/>
      <c r="N97" s="1055"/>
      <c r="O97" s="1055"/>
      <c r="P97" s="1055"/>
      <c r="Q97" s="1055"/>
      <c r="R97" s="1055"/>
      <c r="S97" s="1055"/>
      <c r="T97" s="1055"/>
      <c r="U97" s="1055"/>
      <c r="V97" s="1055"/>
      <c r="W97" s="1055"/>
      <c r="X97" s="1055"/>
      <c r="Y97" s="1055"/>
      <c r="Z97" s="1055"/>
      <c r="AA97" s="1055"/>
      <c r="AB97" s="1055"/>
      <c r="AC97" s="1055"/>
      <c r="AD97" s="1055"/>
      <c r="AE97" s="1055"/>
      <c r="AF97" s="1055"/>
      <c r="AG97" s="1055"/>
      <c r="AH97" s="1055"/>
      <c r="AI97" s="1055"/>
      <c r="AJ97" s="1055"/>
      <c r="AK97" s="1055"/>
      <c r="AL97" s="1055"/>
      <c r="AM97" s="1055"/>
      <c r="AN97" s="1055"/>
      <c r="AO97" s="1055"/>
      <c r="AP97" s="1055"/>
      <c r="AQ97" s="1055"/>
      <c r="AR97" s="1055"/>
      <c r="AS97" s="1055"/>
      <c r="AT97" s="1055"/>
      <c r="AU97" s="1055"/>
      <c r="AV97" s="1055"/>
      <c r="AW97" s="1055"/>
      <c r="AX97" s="1055"/>
      <c r="AY97" s="1055"/>
      <c r="AZ97" s="1055"/>
      <c r="BA97" s="1055"/>
      <c r="BB97" s="1055"/>
      <c r="BC97" s="1055"/>
      <c r="BD97" s="1055"/>
      <c r="BE97" s="1055"/>
      <c r="BF97" s="1055"/>
      <c r="BG97" s="1055"/>
      <c r="BH97" s="1055"/>
      <c r="BI97" s="1055"/>
      <c r="BJ97" s="1055"/>
      <c r="BK97" s="1055"/>
      <c r="BL97" s="1055"/>
      <c r="BM97" s="1055"/>
      <c r="BN97" s="1055"/>
      <c r="BO97" s="1055"/>
      <c r="BP97" s="1055"/>
      <c r="BQ97" s="1055"/>
      <c r="BR97" s="1055"/>
      <c r="BS97" s="1055"/>
      <c r="BT97" s="1055"/>
      <c r="BU97" s="1055"/>
      <c r="BV97" s="1055"/>
      <c r="BW97" s="1055"/>
      <c r="BX97" s="1055"/>
      <c r="BY97" s="1055"/>
      <c r="BZ97" s="1055"/>
      <c r="CA97" s="1055"/>
      <c r="CB97" s="1055"/>
      <c r="CC97" s="1055"/>
      <c r="CD97" s="1055"/>
      <c r="CE97" s="1055"/>
      <c r="CF97" s="1055"/>
      <c r="CG97" s="1055"/>
      <c r="CH97" s="1055"/>
      <c r="CI97" s="1055"/>
      <c r="CJ97" s="1055"/>
      <c r="CK97" s="1055"/>
      <c r="CL97" s="1055"/>
      <c r="CM97" s="1055"/>
      <c r="CN97" s="1055"/>
      <c r="CO97" s="1055"/>
      <c r="CP97" s="1055"/>
      <c r="CQ97" s="1055"/>
      <c r="CR97" s="1055"/>
      <c r="CS97" s="1055"/>
      <c r="CT97" s="1055"/>
      <c r="CU97" s="1055"/>
      <c r="CV97" s="1055"/>
      <c r="CW97" s="1055"/>
      <c r="CX97" s="1055"/>
      <c r="CY97" s="1055"/>
      <c r="CZ97" s="1055"/>
      <c r="DA97" s="1055"/>
      <c r="DB97" s="1055"/>
      <c r="DC97" s="1055"/>
      <c r="DD97" s="1055"/>
      <c r="DE97" s="1055"/>
      <c r="DF97" s="1055"/>
      <c r="DG97" s="1055"/>
      <c r="DH97" s="1055"/>
      <c r="DI97" s="1055"/>
      <c r="DJ97" s="1055"/>
      <c r="DK97" s="1055"/>
      <c r="DL97" s="1055"/>
      <c r="DM97" s="1055"/>
      <c r="DN97" s="1055"/>
      <c r="DO97" s="1055"/>
      <c r="DP97" s="1055"/>
      <c r="DQ97" s="1055"/>
      <c r="DR97" s="1055"/>
      <c r="DS97" s="1055"/>
      <c r="DT97" s="1055"/>
      <c r="DU97" s="1055"/>
      <c r="DV97" s="1055"/>
      <c r="DW97" s="1055"/>
      <c r="DX97" s="1055"/>
      <c r="DY97" s="1055"/>
      <c r="DZ97" s="1055"/>
      <c r="EA97" s="1055"/>
      <c r="EB97" s="1055"/>
      <c r="EC97" s="1055"/>
      <c r="ED97" s="1055"/>
      <c r="EE97" s="1055"/>
      <c r="EF97" s="1055"/>
      <c r="EG97" s="1055"/>
      <c r="EH97" s="1055"/>
      <c r="EI97" s="1055"/>
      <c r="EJ97" s="1055"/>
      <c r="EK97" s="1055"/>
      <c r="EL97" s="1055"/>
      <c r="EM97" s="1055"/>
      <c r="EN97" s="1055"/>
      <c r="EO97" s="1055"/>
      <c r="EP97" s="1055"/>
      <c r="EQ97" s="1055"/>
      <c r="ER97" s="1055"/>
      <c r="ES97" s="1055"/>
      <c r="ET97" s="1055"/>
      <c r="EU97" s="1055"/>
      <c r="EV97" s="1055"/>
      <c r="EW97" s="1055"/>
      <c r="EX97" s="1055"/>
      <c r="EY97" s="1055"/>
      <c r="EZ97" s="1055"/>
      <c r="FA97" s="1055"/>
      <c r="FB97" s="1055"/>
      <c r="FC97" s="1055"/>
      <c r="FD97" s="1055"/>
      <c r="FE97" s="1055"/>
      <c r="FF97" s="1055"/>
      <c r="FG97" s="1055"/>
      <c r="FH97" s="1055"/>
      <c r="FI97" s="1055"/>
      <c r="FJ97" s="1055"/>
      <c r="FK97" s="1055"/>
      <c r="FL97" s="1055"/>
      <c r="FM97" s="1055"/>
      <c r="FN97" s="1055"/>
      <c r="FO97" s="1055"/>
      <c r="FP97" s="1055"/>
      <c r="FQ97" s="1055"/>
      <c r="FR97" s="1055"/>
      <c r="FS97" s="1055"/>
      <c r="FT97" s="1055"/>
      <c r="FU97" s="1055"/>
      <c r="FV97" s="1055"/>
      <c r="FW97" s="1055"/>
      <c r="FX97" s="1055"/>
      <c r="FY97" s="1055"/>
      <c r="FZ97" s="1055"/>
      <c r="GA97" s="1055"/>
      <c r="GB97" s="1055"/>
      <c r="GC97" s="1055"/>
      <c r="GD97" s="1055"/>
      <c r="GE97" s="1055"/>
      <c r="GF97" s="1055"/>
      <c r="GG97" s="1055"/>
      <c r="GH97" s="1055"/>
      <c r="GI97" s="1055"/>
      <c r="GJ97" s="1055"/>
    </row>
    <row r="98" spans="1:192" s="1067" customFormat="1" ht="30">
      <c r="A98" s="899" t="s">
        <v>502</v>
      </c>
      <c r="B98" s="900">
        <f t="shared" si="4"/>
        <v>-6569280.3138505202</v>
      </c>
      <c r="C98" s="900">
        <v>-6569280.3138505202</v>
      </c>
      <c r="D98" s="900">
        <v>0</v>
      </c>
      <c r="E98" s="900">
        <v>0</v>
      </c>
      <c r="F98" s="900">
        <v>0</v>
      </c>
      <c r="G98" s="903" t="s">
        <v>691</v>
      </c>
      <c r="H98" s="1055"/>
      <c r="I98" s="1055"/>
      <c r="J98" s="1055"/>
      <c r="K98" s="1055"/>
      <c r="L98" s="1055"/>
      <c r="M98" s="1055"/>
      <c r="N98" s="1055"/>
      <c r="O98" s="1055"/>
      <c r="P98" s="1055"/>
      <c r="Q98" s="1055"/>
      <c r="R98" s="1055"/>
      <c r="S98" s="1055"/>
      <c r="T98" s="1055"/>
      <c r="U98" s="1055"/>
      <c r="V98" s="1055"/>
      <c r="W98" s="1055"/>
      <c r="X98" s="1055"/>
      <c r="Y98" s="1055"/>
      <c r="Z98" s="1055"/>
      <c r="AA98" s="1055"/>
      <c r="AB98" s="1055"/>
      <c r="AC98" s="1055"/>
      <c r="AD98" s="1055"/>
      <c r="AE98" s="1055"/>
      <c r="AF98" s="1055"/>
      <c r="AG98" s="1055"/>
      <c r="AH98" s="1055"/>
      <c r="AI98" s="1055"/>
      <c r="AJ98" s="1055"/>
      <c r="AK98" s="1055"/>
      <c r="AL98" s="1055"/>
      <c r="AM98" s="1055"/>
      <c r="AN98" s="1055"/>
      <c r="AO98" s="1055"/>
      <c r="AP98" s="1055"/>
      <c r="AQ98" s="1055"/>
      <c r="AR98" s="1055"/>
      <c r="AS98" s="1055"/>
      <c r="AT98" s="1055"/>
      <c r="AU98" s="1055"/>
      <c r="AV98" s="1055"/>
      <c r="AW98" s="1055"/>
      <c r="AX98" s="1055"/>
      <c r="AY98" s="1055"/>
      <c r="AZ98" s="1055"/>
      <c r="BA98" s="1055"/>
      <c r="BB98" s="1055"/>
      <c r="BC98" s="1055"/>
      <c r="BD98" s="1055"/>
      <c r="BE98" s="1055"/>
      <c r="BF98" s="1055"/>
      <c r="BG98" s="1055"/>
      <c r="BH98" s="1055"/>
      <c r="BI98" s="1055"/>
      <c r="BJ98" s="1055"/>
      <c r="BK98" s="1055"/>
      <c r="BL98" s="1055"/>
      <c r="BM98" s="1055"/>
      <c r="BN98" s="1055"/>
      <c r="BO98" s="1055"/>
      <c r="BP98" s="1055"/>
      <c r="BQ98" s="1055"/>
      <c r="BR98" s="1055"/>
      <c r="BS98" s="1055"/>
      <c r="BT98" s="1055"/>
      <c r="BU98" s="1055"/>
      <c r="BV98" s="1055"/>
      <c r="BW98" s="1055"/>
      <c r="BX98" s="1055"/>
      <c r="BY98" s="1055"/>
      <c r="BZ98" s="1055"/>
      <c r="CA98" s="1055"/>
      <c r="CB98" s="1055"/>
      <c r="CC98" s="1055"/>
      <c r="CD98" s="1055"/>
      <c r="CE98" s="1055"/>
      <c r="CF98" s="1055"/>
      <c r="CG98" s="1055"/>
      <c r="CH98" s="1055"/>
      <c r="CI98" s="1055"/>
      <c r="CJ98" s="1055"/>
      <c r="CK98" s="1055"/>
      <c r="CL98" s="1055"/>
      <c r="CM98" s="1055"/>
      <c r="CN98" s="1055"/>
      <c r="CO98" s="1055"/>
      <c r="CP98" s="1055"/>
      <c r="CQ98" s="1055"/>
      <c r="CR98" s="1055"/>
      <c r="CS98" s="1055"/>
      <c r="CT98" s="1055"/>
      <c r="CU98" s="1055"/>
      <c r="CV98" s="1055"/>
      <c r="CW98" s="1055"/>
      <c r="CX98" s="1055"/>
      <c r="CY98" s="1055"/>
      <c r="CZ98" s="1055"/>
      <c r="DA98" s="1055"/>
      <c r="DB98" s="1055"/>
      <c r="DC98" s="1055"/>
      <c r="DD98" s="1055"/>
      <c r="DE98" s="1055"/>
      <c r="DF98" s="1055"/>
      <c r="DG98" s="1055"/>
      <c r="DH98" s="1055"/>
      <c r="DI98" s="1055"/>
      <c r="DJ98" s="1055"/>
      <c r="DK98" s="1055"/>
      <c r="DL98" s="1055"/>
      <c r="DM98" s="1055"/>
      <c r="DN98" s="1055"/>
      <c r="DO98" s="1055"/>
      <c r="DP98" s="1055"/>
      <c r="DQ98" s="1055"/>
      <c r="DR98" s="1055"/>
      <c r="DS98" s="1055"/>
      <c r="DT98" s="1055"/>
      <c r="DU98" s="1055"/>
      <c r="DV98" s="1055"/>
      <c r="DW98" s="1055"/>
      <c r="DX98" s="1055"/>
      <c r="DY98" s="1055"/>
      <c r="DZ98" s="1055"/>
      <c r="EA98" s="1055"/>
      <c r="EB98" s="1055"/>
      <c r="EC98" s="1055"/>
      <c r="ED98" s="1055"/>
      <c r="EE98" s="1055"/>
      <c r="EF98" s="1055"/>
      <c r="EG98" s="1055"/>
      <c r="EH98" s="1055"/>
      <c r="EI98" s="1055"/>
      <c r="EJ98" s="1055"/>
      <c r="EK98" s="1055"/>
      <c r="EL98" s="1055"/>
      <c r="EM98" s="1055"/>
      <c r="EN98" s="1055"/>
      <c r="EO98" s="1055"/>
      <c r="EP98" s="1055"/>
      <c r="EQ98" s="1055"/>
      <c r="ER98" s="1055"/>
      <c r="ES98" s="1055"/>
      <c r="ET98" s="1055"/>
      <c r="EU98" s="1055"/>
      <c r="EV98" s="1055"/>
      <c r="EW98" s="1055"/>
      <c r="EX98" s="1055"/>
      <c r="EY98" s="1055"/>
      <c r="EZ98" s="1055"/>
      <c r="FA98" s="1055"/>
      <c r="FB98" s="1055"/>
      <c r="FC98" s="1055"/>
      <c r="FD98" s="1055"/>
      <c r="FE98" s="1055"/>
      <c r="FF98" s="1055"/>
      <c r="FG98" s="1055"/>
      <c r="FH98" s="1055"/>
      <c r="FI98" s="1055"/>
      <c r="FJ98" s="1055"/>
      <c r="FK98" s="1055"/>
      <c r="FL98" s="1055"/>
      <c r="FM98" s="1055"/>
      <c r="FN98" s="1055"/>
      <c r="FO98" s="1055"/>
      <c r="FP98" s="1055"/>
      <c r="FQ98" s="1055"/>
      <c r="FR98" s="1055"/>
      <c r="FS98" s="1055"/>
      <c r="FT98" s="1055"/>
      <c r="FU98" s="1055"/>
      <c r="FV98" s="1055"/>
      <c r="FW98" s="1055"/>
      <c r="FX98" s="1055"/>
      <c r="FY98" s="1055"/>
      <c r="FZ98" s="1055"/>
      <c r="GA98" s="1055"/>
      <c r="GB98" s="1055"/>
      <c r="GC98" s="1055"/>
      <c r="GD98" s="1055"/>
      <c r="GE98" s="1055"/>
      <c r="GF98" s="1055"/>
      <c r="GG98" s="1055"/>
      <c r="GH98" s="1055"/>
      <c r="GI98" s="1055"/>
      <c r="GJ98" s="1055"/>
    </row>
    <row r="99" spans="1:192">
      <c r="A99" s="899" t="s">
        <v>755</v>
      </c>
      <c r="B99" s="900">
        <f t="shared" si="4"/>
        <v>-83174536.371260971</v>
      </c>
      <c r="C99" s="900">
        <v>-11644435.091976536</v>
      </c>
      <c r="D99" s="900">
        <v>0</v>
      </c>
      <c r="E99" s="900">
        <v>0</v>
      </c>
      <c r="F99" s="900">
        <v>-71530101.279284433</v>
      </c>
      <c r="G99" s="903" t="s">
        <v>782</v>
      </c>
    </row>
    <row r="100" spans="1:192" s="1067" customFormat="1" ht="30">
      <c r="A100" s="899" t="s">
        <v>630</v>
      </c>
      <c r="B100" s="900">
        <f t="shared" si="4"/>
        <v>-3587493.8951045554</v>
      </c>
      <c r="C100" s="900">
        <v>-502249.1453146378</v>
      </c>
      <c r="D100" s="900">
        <v>0</v>
      </c>
      <c r="E100" s="900">
        <v>-3085244.7497899174</v>
      </c>
      <c r="F100" s="900">
        <v>0</v>
      </c>
      <c r="G100" s="903" t="s">
        <v>792</v>
      </c>
      <c r="H100" s="1055"/>
      <c r="I100" s="1055"/>
      <c r="J100" s="1055"/>
      <c r="K100" s="1055"/>
      <c r="L100" s="1055"/>
      <c r="M100" s="1055"/>
      <c r="N100" s="1055"/>
      <c r="O100" s="1055"/>
      <c r="P100" s="1055"/>
      <c r="Q100" s="1055"/>
      <c r="R100" s="1055"/>
      <c r="S100" s="1055"/>
      <c r="T100" s="1055"/>
      <c r="U100" s="1055"/>
      <c r="V100" s="1055"/>
      <c r="W100" s="1055"/>
      <c r="X100" s="1055"/>
      <c r="Y100" s="1055"/>
      <c r="Z100" s="1055"/>
      <c r="AA100" s="1055"/>
      <c r="AB100" s="1055"/>
      <c r="AC100" s="1055"/>
      <c r="AD100" s="1055"/>
      <c r="AE100" s="1055"/>
      <c r="AF100" s="1055"/>
      <c r="AG100" s="1055"/>
      <c r="AH100" s="1055"/>
      <c r="AI100" s="1055"/>
      <c r="AJ100" s="1055"/>
      <c r="AK100" s="1055"/>
      <c r="AL100" s="1055"/>
      <c r="AM100" s="1055"/>
      <c r="AN100" s="1055"/>
      <c r="AO100" s="1055"/>
      <c r="AP100" s="1055"/>
      <c r="AQ100" s="1055"/>
      <c r="AR100" s="1055"/>
      <c r="AS100" s="1055"/>
      <c r="AT100" s="1055"/>
      <c r="AU100" s="1055"/>
      <c r="AV100" s="1055"/>
      <c r="AW100" s="1055"/>
      <c r="AX100" s="1055"/>
      <c r="AY100" s="1055"/>
      <c r="AZ100" s="1055"/>
      <c r="BA100" s="1055"/>
      <c r="BB100" s="1055"/>
      <c r="BC100" s="1055"/>
      <c r="BD100" s="1055"/>
      <c r="BE100" s="1055"/>
      <c r="BF100" s="1055"/>
      <c r="BG100" s="1055"/>
      <c r="BH100" s="1055"/>
      <c r="BI100" s="1055"/>
      <c r="BJ100" s="1055"/>
      <c r="BK100" s="1055"/>
      <c r="BL100" s="1055"/>
      <c r="BM100" s="1055"/>
      <c r="BN100" s="1055"/>
      <c r="BO100" s="1055"/>
      <c r="BP100" s="1055"/>
      <c r="BQ100" s="1055"/>
      <c r="BR100" s="1055"/>
      <c r="BS100" s="1055"/>
      <c r="BT100" s="1055"/>
      <c r="BU100" s="1055"/>
      <c r="BV100" s="1055"/>
      <c r="BW100" s="1055"/>
      <c r="BX100" s="1055"/>
      <c r="BY100" s="1055"/>
      <c r="BZ100" s="1055"/>
      <c r="CA100" s="1055"/>
      <c r="CB100" s="1055"/>
      <c r="CC100" s="1055"/>
      <c r="CD100" s="1055"/>
      <c r="CE100" s="1055"/>
      <c r="CF100" s="1055"/>
      <c r="CG100" s="1055"/>
      <c r="CH100" s="1055"/>
      <c r="CI100" s="1055"/>
      <c r="CJ100" s="1055"/>
      <c r="CK100" s="1055"/>
      <c r="CL100" s="1055"/>
      <c r="CM100" s="1055"/>
      <c r="CN100" s="1055"/>
      <c r="CO100" s="1055"/>
      <c r="CP100" s="1055"/>
      <c r="CQ100" s="1055"/>
      <c r="CR100" s="1055"/>
      <c r="CS100" s="1055"/>
      <c r="CT100" s="1055"/>
      <c r="CU100" s="1055"/>
      <c r="CV100" s="1055"/>
      <c r="CW100" s="1055"/>
      <c r="CX100" s="1055"/>
      <c r="CY100" s="1055"/>
      <c r="CZ100" s="1055"/>
      <c r="DA100" s="1055"/>
      <c r="DB100" s="1055"/>
      <c r="DC100" s="1055"/>
      <c r="DD100" s="1055"/>
      <c r="DE100" s="1055"/>
      <c r="DF100" s="1055"/>
      <c r="DG100" s="1055"/>
      <c r="DH100" s="1055"/>
      <c r="DI100" s="1055"/>
      <c r="DJ100" s="1055"/>
      <c r="DK100" s="1055"/>
      <c r="DL100" s="1055"/>
      <c r="DM100" s="1055"/>
      <c r="DN100" s="1055"/>
      <c r="DO100" s="1055"/>
      <c r="DP100" s="1055"/>
      <c r="DQ100" s="1055"/>
      <c r="DR100" s="1055"/>
      <c r="DS100" s="1055"/>
      <c r="DT100" s="1055"/>
      <c r="DU100" s="1055"/>
      <c r="DV100" s="1055"/>
      <c r="DW100" s="1055"/>
      <c r="DX100" s="1055"/>
      <c r="DY100" s="1055"/>
      <c r="DZ100" s="1055"/>
      <c r="EA100" s="1055"/>
      <c r="EB100" s="1055"/>
      <c r="EC100" s="1055"/>
      <c r="ED100" s="1055"/>
      <c r="EE100" s="1055"/>
      <c r="EF100" s="1055"/>
      <c r="EG100" s="1055"/>
      <c r="EH100" s="1055"/>
      <c r="EI100" s="1055"/>
      <c r="EJ100" s="1055"/>
      <c r="EK100" s="1055"/>
      <c r="EL100" s="1055"/>
      <c r="EM100" s="1055"/>
      <c r="EN100" s="1055"/>
      <c r="EO100" s="1055"/>
      <c r="EP100" s="1055"/>
      <c r="EQ100" s="1055"/>
      <c r="ER100" s="1055"/>
      <c r="ES100" s="1055"/>
      <c r="ET100" s="1055"/>
      <c r="EU100" s="1055"/>
      <c r="EV100" s="1055"/>
      <c r="EW100" s="1055"/>
      <c r="EX100" s="1055"/>
      <c r="EY100" s="1055"/>
      <c r="EZ100" s="1055"/>
      <c r="FA100" s="1055"/>
      <c r="FB100" s="1055"/>
      <c r="FC100" s="1055"/>
      <c r="FD100" s="1055"/>
      <c r="FE100" s="1055"/>
      <c r="FF100" s="1055"/>
      <c r="FG100" s="1055"/>
      <c r="FH100" s="1055"/>
      <c r="FI100" s="1055"/>
      <c r="FJ100" s="1055"/>
      <c r="FK100" s="1055"/>
      <c r="FL100" s="1055"/>
      <c r="FM100" s="1055"/>
      <c r="FN100" s="1055"/>
      <c r="FO100" s="1055"/>
      <c r="FP100" s="1055"/>
      <c r="FQ100" s="1055"/>
      <c r="FR100" s="1055"/>
      <c r="FS100" s="1055"/>
      <c r="FT100" s="1055"/>
      <c r="FU100" s="1055"/>
      <c r="FV100" s="1055"/>
      <c r="FW100" s="1055"/>
      <c r="FX100" s="1055"/>
      <c r="FY100" s="1055"/>
      <c r="FZ100" s="1055"/>
      <c r="GA100" s="1055"/>
      <c r="GB100" s="1055"/>
      <c r="GC100" s="1055"/>
      <c r="GD100" s="1055"/>
      <c r="GE100" s="1055"/>
      <c r="GF100" s="1055"/>
      <c r="GG100" s="1055"/>
      <c r="GH100" s="1055"/>
      <c r="GI100" s="1055"/>
      <c r="GJ100" s="1055"/>
    </row>
    <row r="101" spans="1:192" s="1067" customFormat="1" ht="30">
      <c r="A101" s="899" t="s">
        <v>505</v>
      </c>
      <c r="B101" s="900">
        <f t="shared" si="4"/>
        <v>-4090231.9629676146</v>
      </c>
      <c r="C101" s="900">
        <v>-4090231.9629676146</v>
      </c>
      <c r="D101" s="900">
        <v>0</v>
      </c>
      <c r="E101" s="900"/>
      <c r="F101" s="900">
        <v>0</v>
      </c>
      <c r="G101" s="903" t="s">
        <v>720</v>
      </c>
      <c r="H101" s="1055"/>
      <c r="I101" s="1055"/>
      <c r="J101" s="1055"/>
      <c r="K101" s="1055"/>
      <c r="L101" s="1055"/>
      <c r="M101" s="1055"/>
      <c r="N101" s="1055"/>
      <c r="O101" s="1055"/>
      <c r="P101" s="1055"/>
      <c r="Q101" s="1055"/>
      <c r="R101" s="1055"/>
      <c r="S101" s="1055"/>
      <c r="T101" s="1055"/>
      <c r="U101" s="1055"/>
      <c r="V101" s="1055"/>
      <c r="W101" s="1055"/>
      <c r="X101" s="1055"/>
      <c r="Y101" s="1055"/>
      <c r="Z101" s="1055"/>
      <c r="AA101" s="1055"/>
      <c r="AB101" s="1055"/>
      <c r="AC101" s="1055"/>
      <c r="AD101" s="1055"/>
      <c r="AE101" s="1055"/>
      <c r="AF101" s="1055"/>
      <c r="AG101" s="1055"/>
      <c r="AH101" s="1055"/>
      <c r="AI101" s="1055"/>
      <c r="AJ101" s="1055"/>
      <c r="AK101" s="1055"/>
      <c r="AL101" s="1055"/>
      <c r="AM101" s="1055"/>
      <c r="AN101" s="1055"/>
      <c r="AO101" s="1055"/>
      <c r="AP101" s="1055"/>
      <c r="AQ101" s="1055"/>
      <c r="AR101" s="1055"/>
      <c r="AS101" s="1055"/>
      <c r="AT101" s="1055"/>
      <c r="AU101" s="1055"/>
      <c r="AV101" s="1055"/>
      <c r="AW101" s="1055"/>
      <c r="AX101" s="1055"/>
      <c r="AY101" s="1055"/>
      <c r="AZ101" s="1055"/>
      <c r="BA101" s="1055"/>
      <c r="BB101" s="1055"/>
      <c r="BC101" s="1055"/>
      <c r="BD101" s="1055"/>
      <c r="BE101" s="1055"/>
      <c r="BF101" s="1055"/>
      <c r="BG101" s="1055"/>
      <c r="BH101" s="1055"/>
      <c r="BI101" s="1055"/>
      <c r="BJ101" s="1055"/>
      <c r="BK101" s="1055"/>
      <c r="BL101" s="1055"/>
      <c r="BM101" s="1055"/>
      <c r="BN101" s="1055"/>
      <c r="BO101" s="1055"/>
      <c r="BP101" s="1055"/>
      <c r="BQ101" s="1055"/>
      <c r="BR101" s="1055"/>
      <c r="BS101" s="1055"/>
      <c r="BT101" s="1055"/>
      <c r="BU101" s="1055"/>
      <c r="BV101" s="1055"/>
      <c r="BW101" s="1055"/>
      <c r="BX101" s="1055"/>
      <c r="BY101" s="1055"/>
      <c r="BZ101" s="1055"/>
      <c r="CA101" s="1055"/>
      <c r="CB101" s="1055"/>
      <c r="CC101" s="1055"/>
      <c r="CD101" s="1055"/>
      <c r="CE101" s="1055"/>
      <c r="CF101" s="1055"/>
      <c r="CG101" s="1055"/>
      <c r="CH101" s="1055"/>
      <c r="CI101" s="1055"/>
      <c r="CJ101" s="1055"/>
      <c r="CK101" s="1055"/>
      <c r="CL101" s="1055"/>
      <c r="CM101" s="1055"/>
      <c r="CN101" s="1055"/>
      <c r="CO101" s="1055"/>
      <c r="CP101" s="1055"/>
      <c r="CQ101" s="1055"/>
      <c r="CR101" s="1055"/>
      <c r="CS101" s="1055"/>
      <c r="CT101" s="1055"/>
      <c r="CU101" s="1055"/>
      <c r="CV101" s="1055"/>
      <c r="CW101" s="1055"/>
      <c r="CX101" s="1055"/>
      <c r="CY101" s="1055"/>
      <c r="CZ101" s="1055"/>
      <c r="DA101" s="1055"/>
      <c r="DB101" s="1055"/>
      <c r="DC101" s="1055"/>
      <c r="DD101" s="1055"/>
      <c r="DE101" s="1055"/>
      <c r="DF101" s="1055"/>
      <c r="DG101" s="1055"/>
      <c r="DH101" s="1055"/>
      <c r="DI101" s="1055"/>
      <c r="DJ101" s="1055"/>
      <c r="DK101" s="1055"/>
      <c r="DL101" s="1055"/>
      <c r="DM101" s="1055"/>
      <c r="DN101" s="1055"/>
      <c r="DO101" s="1055"/>
      <c r="DP101" s="1055"/>
      <c r="DQ101" s="1055"/>
      <c r="DR101" s="1055"/>
      <c r="DS101" s="1055"/>
      <c r="DT101" s="1055"/>
      <c r="DU101" s="1055"/>
      <c r="DV101" s="1055"/>
      <c r="DW101" s="1055"/>
      <c r="DX101" s="1055"/>
      <c r="DY101" s="1055"/>
      <c r="DZ101" s="1055"/>
      <c r="EA101" s="1055"/>
      <c r="EB101" s="1055"/>
      <c r="EC101" s="1055"/>
      <c r="ED101" s="1055"/>
      <c r="EE101" s="1055"/>
      <c r="EF101" s="1055"/>
      <c r="EG101" s="1055"/>
      <c r="EH101" s="1055"/>
      <c r="EI101" s="1055"/>
      <c r="EJ101" s="1055"/>
      <c r="EK101" s="1055"/>
      <c r="EL101" s="1055"/>
      <c r="EM101" s="1055"/>
      <c r="EN101" s="1055"/>
      <c r="EO101" s="1055"/>
      <c r="EP101" s="1055"/>
      <c r="EQ101" s="1055"/>
      <c r="ER101" s="1055"/>
      <c r="ES101" s="1055"/>
      <c r="ET101" s="1055"/>
      <c r="EU101" s="1055"/>
      <c r="EV101" s="1055"/>
      <c r="EW101" s="1055"/>
      <c r="EX101" s="1055"/>
      <c r="EY101" s="1055"/>
      <c r="EZ101" s="1055"/>
      <c r="FA101" s="1055"/>
      <c r="FB101" s="1055"/>
      <c r="FC101" s="1055"/>
      <c r="FD101" s="1055"/>
      <c r="FE101" s="1055"/>
      <c r="FF101" s="1055"/>
      <c r="FG101" s="1055"/>
      <c r="FH101" s="1055"/>
      <c r="FI101" s="1055"/>
      <c r="FJ101" s="1055"/>
      <c r="FK101" s="1055"/>
      <c r="FL101" s="1055"/>
      <c r="FM101" s="1055"/>
      <c r="FN101" s="1055"/>
      <c r="FO101" s="1055"/>
      <c r="FP101" s="1055"/>
      <c r="FQ101" s="1055"/>
      <c r="FR101" s="1055"/>
      <c r="FS101" s="1055"/>
      <c r="FT101" s="1055"/>
      <c r="FU101" s="1055"/>
      <c r="FV101" s="1055"/>
      <c r="FW101" s="1055"/>
      <c r="FX101" s="1055"/>
      <c r="FY101" s="1055"/>
      <c r="FZ101" s="1055"/>
      <c r="GA101" s="1055"/>
      <c r="GB101" s="1055"/>
      <c r="GC101" s="1055"/>
      <c r="GD101" s="1055"/>
      <c r="GE101" s="1055"/>
      <c r="GF101" s="1055"/>
      <c r="GG101" s="1055"/>
      <c r="GH101" s="1055"/>
      <c r="GI101" s="1055"/>
      <c r="GJ101" s="1055"/>
    </row>
    <row r="102" spans="1:192" ht="30">
      <c r="A102" s="899" t="s">
        <v>756</v>
      </c>
      <c r="B102" s="900">
        <f t="shared" si="4"/>
        <v>-32489448.951147251</v>
      </c>
      <c r="C102" s="900">
        <v>-32489448.951147251</v>
      </c>
      <c r="D102" s="900">
        <v>0</v>
      </c>
      <c r="E102" s="900">
        <v>0</v>
      </c>
      <c r="F102" s="900">
        <v>0</v>
      </c>
      <c r="G102" s="903" t="s">
        <v>724</v>
      </c>
    </row>
    <row r="103" spans="1:192" ht="30">
      <c r="A103" s="899" t="s">
        <v>757</v>
      </c>
      <c r="B103" s="900">
        <f t="shared" si="4"/>
        <v>-2711403.9291953314</v>
      </c>
      <c r="C103" s="900">
        <v>0</v>
      </c>
      <c r="D103" s="900">
        <v>-2711403.9291953314</v>
      </c>
      <c r="E103" s="900">
        <v>0</v>
      </c>
      <c r="F103" s="900">
        <v>0</v>
      </c>
      <c r="G103" s="903" t="s">
        <v>719</v>
      </c>
    </row>
    <row r="104" spans="1:192" s="1067" customFormat="1" ht="19.5" customHeight="1">
      <c r="A104" s="899" t="s">
        <v>32</v>
      </c>
      <c r="B104" s="900">
        <f t="shared" si="4"/>
        <v>-53064651.225475378</v>
      </c>
      <c r="C104" s="900">
        <f>-48290983.2391847-9899</f>
        <v>-48300882.2391847</v>
      </c>
      <c r="D104" s="900">
        <v>0</v>
      </c>
      <c r="E104" s="900">
        <v>0</v>
      </c>
      <c r="F104" s="900">
        <v>-4763768.9862906775</v>
      </c>
      <c r="G104" s="903" t="s">
        <v>33</v>
      </c>
      <c r="H104" s="1055"/>
      <c r="I104" s="1055"/>
      <c r="J104" s="1055"/>
      <c r="K104" s="1055"/>
      <c r="L104" s="1055"/>
      <c r="M104" s="1055"/>
      <c r="N104" s="1055"/>
      <c r="O104" s="1055"/>
      <c r="P104" s="1055"/>
      <c r="Q104" s="1055"/>
      <c r="R104" s="1055"/>
      <c r="S104" s="1055"/>
      <c r="T104" s="1055"/>
      <c r="U104" s="1055"/>
      <c r="V104" s="1055"/>
      <c r="W104" s="1055"/>
      <c r="X104" s="1055"/>
      <c r="Y104" s="1055"/>
      <c r="Z104" s="1055"/>
      <c r="AA104" s="1055"/>
      <c r="AB104" s="1055"/>
      <c r="AC104" s="1055"/>
      <c r="AD104" s="1055"/>
      <c r="AE104" s="1055"/>
      <c r="AF104" s="1055"/>
      <c r="AG104" s="1055"/>
      <c r="AH104" s="1055"/>
      <c r="AI104" s="1055"/>
      <c r="AJ104" s="1055"/>
      <c r="AK104" s="1055"/>
      <c r="AL104" s="1055"/>
      <c r="AM104" s="1055"/>
      <c r="AN104" s="1055"/>
      <c r="AO104" s="1055"/>
      <c r="AP104" s="1055"/>
      <c r="AQ104" s="1055"/>
      <c r="AR104" s="1055"/>
      <c r="AS104" s="1055"/>
      <c r="AT104" s="1055"/>
      <c r="AU104" s="1055"/>
      <c r="AV104" s="1055"/>
      <c r="AW104" s="1055"/>
      <c r="AX104" s="1055"/>
      <c r="AY104" s="1055"/>
      <c r="AZ104" s="1055"/>
      <c r="BA104" s="1055"/>
      <c r="BB104" s="1055"/>
      <c r="BC104" s="1055"/>
      <c r="BD104" s="1055"/>
      <c r="BE104" s="1055"/>
      <c r="BF104" s="1055"/>
      <c r="BG104" s="1055"/>
      <c r="BH104" s="1055"/>
      <c r="BI104" s="1055"/>
      <c r="BJ104" s="1055"/>
      <c r="BK104" s="1055"/>
      <c r="BL104" s="1055"/>
      <c r="BM104" s="1055"/>
      <c r="BN104" s="1055"/>
      <c r="BO104" s="1055"/>
      <c r="BP104" s="1055"/>
      <c r="BQ104" s="1055"/>
      <c r="BR104" s="1055"/>
      <c r="BS104" s="1055"/>
      <c r="BT104" s="1055"/>
      <c r="BU104" s="1055"/>
      <c r="BV104" s="1055"/>
      <c r="BW104" s="1055"/>
      <c r="BX104" s="1055"/>
      <c r="BY104" s="1055"/>
      <c r="BZ104" s="1055"/>
      <c r="CA104" s="1055"/>
      <c r="CB104" s="1055"/>
      <c r="CC104" s="1055"/>
      <c r="CD104" s="1055"/>
      <c r="CE104" s="1055"/>
      <c r="CF104" s="1055"/>
      <c r="CG104" s="1055"/>
      <c r="CH104" s="1055"/>
      <c r="CI104" s="1055"/>
      <c r="CJ104" s="1055"/>
      <c r="CK104" s="1055"/>
      <c r="CL104" s="1055"/>
      <c r="CM104" s="1055"/>
      <c r="CN104" s="1055"/>
      <c r="CO104" s="1055"/>
      <c r="CP104" s="1055"/>
      <c r="CQ104" s="1055"/>
      <c r="CR104" s="1055"/>
      <c r="CS104" s="1055"/>
      <c r="CT104" s="1055"/>
      <c r="CU104" s="1055"/>
      <c r="CV104" s="1055"/>
      <c r="CW104" s="1055"/>
      <c r="CX104" s="1055"/>
      <c r="CY104" s="1055"/>
      <c r="CZ104" s="1055"/>
      <c r="DA104" s="1055"/>
      <c r="DB104" s="1055"/>
      <c r="DC104" s="1055"/>
      <c r="DD104" s="1055"/>
      <c r="DE104" s="1055"/>
      <c r="DF104" s="1055"/>
      <c r="DG104" s="1055"/>
      <c r="DH104" s="1055"/>
      <c r="DI104" s="1055"/>
      <c r="DJ104" s="1055"/>
      <c r="DK104" s="1055"/>
      <c r="DL104" s="1055"/>
      <c r="DM104" s="1055"/>
      <c r="DN104" s="1055"/>
      <c r="DO104" s="1055"/>
      <c r="DP104" s="1055"/>
      <c r="DQ104" s="1055"/>
      <c r="DR104" s="1055"/>
      <c r="DS104" s="1055"/>
      <c r="DT104" s="1055"/>
      <c r="DU104" s="1055"/>
      <c r="DV104" s="1055"/>
      <c r="DW104" s="1055"/>
      <c r="DX104" s="1055"/>
      <c r="DY104" s="1055"/>
      <c r="DZ104" s="1055"/>
      <c r="EA104" s="1055"/>
      <c r="EB104" s="1055"/>
      <c r="EC104" s="1055"/>
      <c r="ED104" s="1055"/>
      <c r="EE104" s="1055"/>
      <c r="EF104" s="1055"/>
      <c r="EG104" s="1055"/>
      <c r="EH104" s="1055"/>
      <c r="EI104" s="1055"/>
      <c r="EJ104" s="1055"/>
      <c r="EK104" s="1055"/>
      <c r="EL104" s="1055"/>
      <c r="EM104" s="1055"/>
      <c r="EN104" s="1055"/>
      <c r="EO104" s="1055"/>
      <c r="EP104" s="1055"/>
      <c r="EQ104" s="1055"/>
      <c r="ER104" s="1055"/>
      <c r="ES104" s="1055"/>
      <c r="ET104" s="1055"/>
      <c r="EU104" s="1055"/>
      <c r="EV104" s="1055"/>
      <c r="EW104" s="1055"/>
      <c r="EX104" s="1055"/>
      <c r="EY104" s="1055"/>
      <c r="EZ104" s="1055"/>
      <c r="FA104" s="1055"/>
      <c r="FB104" s="1055"/>
      <c r="FC104" s="1055"/>
      <c r="FD104" s="1055"/>
      <c r="FE104" s="1055"/>
      <c r="FF104" s="1055"/>
      <c r="FG104" s="1055"/>
      <c r="FH104" s="1055"/>
      <c r="FI104" s="1055"/>
      <c r="FJ104" s="1055"/>
      <c r="FK104" s="1055"/>
      <c r="FL104" s="1055"/>
      <c r="FM104" s="1055"/>
      <c r="FN104" s="1055"/>
      <c r="FO104" s="1055"/>
      <c r="FP104" s="1055"/>
      <c r="FQ104" s="1055"/>
      <c r="FR104" s="1055"/>
      <c r="FS104" s="1055"/>
      <c r="FT104" s="1055"/>
      <c r="FU104" s="1055"/>
      <c r="FV104" s="1055"/>
      <c r="FW104" s="1055"/>
      <c r="FX104" s="1055"/>
      <c r="FY104" s="1055"/>
      <c r="FZ104" s="1055"/>
      <c r="GA104" s="1055"/>
      <c r="GB104" s="1055"/>
      <c r="GC104" s="1055"/>
      <c r="GD104" s="1055"/>
      <c r="GE104" s="1055"/>
      <c r="GF104" s="1055"/>
      <c r="GG104" s="1055"/>
      <c r="GH104" s="1055"/>
      <c r="GI104" s="1055"/>
      <c r="GJ104" s="1055"/>
    </row>
    <row r="105" spans="1:192" ht="30">
      <c r="A105" s="899" t="s">
        <v>722</v>
      </c>
      <c r="B105" s="900">
        <f t="shared" si="4"/>
        <v>-1124447.298800115</v>
      </c>
      <c r="C105" s="900">
        <v>0</v>
      </c>
      <c r="D105" s="900">
        <v>-1124447.298800115</v>
      </c>
      <c r="E105" s="900">
        <v>0</v>
      </c>
      <c r="F105" s="900">
        <v>0</v>
      </c>
      <c r="G105" s="903" t="s">
        <v>745</v>
      </c>
    </row>
    <row r="106" spans="1:192" s="1067" customFormat="1" ht="45">
      <c r="A106" s="899" t="s">
        <v>31</v>
      </c>
      <c r="B106" s="900">
        <f t="shared" si="4"/>
        <v>-5350328.996706849</v>
      </c>
      <c r="C106" s="900">
        <v>-5350328.996706849</v>
      </c>
      <c r="D106" s="900">
        <v>0</v>
      </c>
      <c r="E106" s="900">
        <v>0</v>
      </c>
      <c r="F106" s="900">
        <v>0</v>
      </c>
      <c r="G106" s="903" t="s">
        <v>721</v>
      </c>
      <c r="H106" s="1055"/>
      <c r="I106" s="1055"/>
      <c r="J106" s="1055"/>
      <c r="K106" s="1055"/>
      <c r="L106" s="1055"/>
      <c r="M106" s="1055"/>
      <c r="N106" s="1055"/>
      <c r="O106" s="1055"/>
      <c r="P106" s="1055"/>
      <c r="Q106" s="1055"/>
      <c r="R106" s="1055"/>
      <c r="S106" s="1055"/>
      <c r="T106" s="1055"/>
      <c r="U106" s="1055"/>
      <c r="V106" s="1055"/>
      <c r="W106" s="1055"/>
      <c r="X106" s="1055"/>
      <c r="Y106" s="1055"/>
      <c r="Z106" s="1055"/>
      <c r="AA106" s="1055"/>
      <c r="AB106" s="1055"/>
      <c r="AC106" s="1055"/>
      <c r="AD106" s="1055"/>
      <c r="AE106" s="1055"/>
      <c r="AF106" s="1055"/>
      <c r="AG106" s="1055"/>
      <c r="AH106" s="1055"/>
      <c r="AI106" s="1055"/>
      <c r="AJ106" s="1055"/>
      <c r="AK106" s="1055"/>
      <c r="AL106" s="1055"/>
      <c r="AM106" s="1055"/>
      <c r="AN106" s="1055"/>
      <c r="AO106" s="1055"/>
      <c r="AP106" s="1055"/>
      <c r="AQ106" s="1055"/>
      <c r="AR106" s="1055"/>
      <c r="AS106" s="1055"/>
      <c r="AT106" s="1055"/>
      <c r="AU106" s="1055"/>
      <c r="AV106" s="1055"/>
      <c r="AW106" s="1055"/>
      <c r="AX106" s="1055"/>
      <c r="AY106" s="1055"/>
      <c r="AZ106" s="1055"/>
      <c r="BA106" s="1055"/>
      <c r="BB106" s="1055"/>
      <c r="BC106" s="1055"/>
      <c r="BD106" s="1055"/>
      <c r="BE106" s="1055"/>
      <c r="BF106" s="1055"/>
      <c r="BG106" s="1055"/>
      <c r="BH106" s="1055"/>
      <c r="BI106" s="1055"/>
      <c r="BJ106" s="1055"/>
      <c r="BK106" s="1055"/>
      <c r="BL106" s="1055"/>
      <c r="BM106" s="1055"/>
      <c r="BN106" s="1055"/>
      <c r="BO106" s="1055"/>
      <c r="BP106" s="1055"/>
      <c r="BQ106" s="1055"/>
      <c r="BR106" s="1055"/>
      <c r="BS106" s="1055"/>
      <c r="BT106" s="1055"/>
      <c r="BU106" s="1055"/>
      <c r="BV106" s="1055"/>
      <c r="BW106" s="1055"/>
      <c r="BX106" s="1055"/>
      <c r="BY106" s="1055"/>
      <c r="BZ106" s="1055"/>
      <c r="CA106" s="1055"/>
      <c r="CB106" s="1055"/>
      <c r="CC106" s="1055"/>
      <c r="CD106" s="1055"/>
      <c r="CE106" s="1055"/>
      <c r="CF106" s="1055"/>
      <c r="CG106" s="1055"/>
      <c r="CH106" s="1055"/>
      <c r="CI106" s="1055"/>
      <c r="CJ106" s="1055"/>
      <c r="CK106" s="1055"/>
      <c r="CL106" s="1055"/>
      <c r="CM106" s="1055"/>
      <c r="CN106" s="1055"/>
      <c r="CO106" s="1055"/>
      <c r="CP106" s="1055"/>
      <c r="CQ106" s="1055"/>
      <c r="CR106" s="1055"/>
      <c r="CS106" s="1055"/>
      <c r="CT106" s="1055"/>
      <c r="CU106" s="1055"/>
      <c r="CV106" s="1055"/>
      <c r="CW106" s="1055"/>
      <c r="CX106" s="1055"/>
      <c r="CY106" s="1055"/>
      <c r="CZ106" s="1055"/>
      <c r="DA106" s="1055"/>
      <c r="DB106" s="1055"/>
      <c r="DC106" s="1055"/>
      <c r="DD106" s="1055"/>
      <c r="DE106" s="1055"/>
      <c r="DF106" s="1055"/>
      <c r="DG106" s="1055"/>
      <c r="DH106" s="1055"/>
      <c r="DI106" s="1055"/>
      <c r="DJ106" s="1055"/>
      <c r="DK106" s="1055"/>
      <c r="DL106" s="1055"/>
      <c r="DM106" s="1055"/>
      <c r="DN106" s="1055"/>
      <c r="DO106" s="1055"/>
      <c r="DP106" s="1055"/>
      <c r="DQ106" s="1055"/>
      <c r="DR106" s="1055"/>
      <c r="DS106" s="1055"/>
      <c r="DT106" s="1055"/>
      <c r="DU106" s="1055"/>
      <c r="DV106" s="1055"/>
      <c r="DW106" s="1055"/>
      <c r="DX106" s="1055"/>
      <c r="DY106" s="1055"/>
      <c r="DZ106" s="1055"/>
      <c r="EA106" s="1055"/>
      <c r="EB106" s="1055"/>
      <c r="EC106" s="1055"/>
      <c r="ED106" s="1055"/>
      <c r="EE106" s="1055"/>
      <c r="EF106" s="1055"/>
      <c r="EG106" s="1055"/>
      <c r="EH106" s="1055"/>
      <c r="EI106" s="1055"/>
      <c r="EJ106" s="1055"/>
      <c r="EK106" s="1055"/>
      <c r="EL106" s="1055"/>
      <c r="EM106" s="1055"/>
      <c r="EN106" s="1055"/>
      <c r="EO106" s="1055"/>
      <c r="EP106" s="1055"/>
      <c r="EQ106" s="1055"/>
      <c r="ER106" s="1055"/>
      <c r="ES106" s="1055"/>
      <c r="ET106" s="1055"/>
      <c r="EU106" s="1055"/>
      <c r="EV106" s="1055"/>
      <c r="EW106" s="1055"/>
      <c r="EX106" s="1055"/>
      <c r="EY106" s="1055"/>
      <c r="EZ106" s="1055"/>
      <c r="FA106" s="1055"/>
      <c r="FB106" s="1055"/>
      <c r="FC106" s="1055"/>
      <c r="FD106" s="1055"/>
      <c r="FE106" s="1055"/>
      <c r="FF106" s="1055"/>
      <c r="FG106" s="1055"/>
      <c r="FH106" s="1055"/>
      <c r="FI106" s="1055"/>
      <c r="FJ106" s="1055"/>
      <c r="FK106" s="1055"/>
      <c r="FL106" s="1055"/>
      <c r="FM106" s="1055"/>
      <c r="FN106" s="1055"/>
      <c r="FO106" s="1055"/>
      <c r="FP106" s="1055"/>
      <c r="FQ106" s="1055"/>
      <c r="FR106" s="1055"/>
      <c r="FS106" s="1055"/>
      <c r="FT106" s="1055"/>
      <c r="FU106" s="1055"/>
      <c r="FV106" s="1055"/>
      <c r="FW106" s="1055"/>
      <c r="FX106" s="1055"/>
      <c r="FY106" s="1055"/>
      <c r="FZ106" s="1055"/>
      <c r="GA106" s="1055"/>
      <c r="GB106" s="1055"/>
      <c r="GC106" s="1055"/>
      <c r="GD106" s="1055"/>
      <c r="GE106" s="1055"/>
      <c r="GF106" s="1055"/>
      <c r="GG106" s="1055"/>
      <c r="GH106" s="1055"/>
      <c r="GI106" s="1055"/>
      <c r="GJ106" s="1055"/>
    </row>
    <row r="107" spans="1:192" ht="60">
      <c r="A107" s="899" t="s">
        <v>758</v>
      </c>
      <c r="B107" s="900">
        <f t="shared" si="4"/>
        <v>-8392474.3043024447</v>
      </c>
      <c r="C107" s="900">
        <v>-1174946.4026023424</v>
      </c>
      <c r="D107" s="900">
        <v>0</v>
      </c>
      <c r="E107" s="900">
        <v>-7217527.9017001027</v>
      </c>
      <c r="F107" s="900">
        <v>0</v>
      </c>
      <c r="G107" s="903" t="s">
        <v>779</v>
      </c>
    </row>
    <row r="108" spans="1:192" ht="30">
      <c r="A108" s="899" t="s">
        <v>793</v>
      </c>
      <c r="B108" s="900">
        <f t="shared" si="4"/>
        <v>-2286860.8583131973</v>
      </c>
      <c r="C108" s="900">
        <v>-320160.52016384766</v>
      </c>
      <c r="D108" s="900">
        <v>-1966700.3381493497</v>
      </c>
      <c r="E108" s="900">
        <v>0</v>
      </c>
      <c r="F108" s="900">
        <v>0</v>
      </c>
      <c r="G108" s="903" t="s">
        <v>856</v>
      </c>
    </row>
    <row r="109" spans="1:192" ht="60">
      <c r="A109" s="899" t="s">
        <v>794</v>
      </c>
      <c r="B109" s="900">
        <f t="shared" si="4"/>
        <v>-4906201.2086516982</v>
      </c>
      <c r="C109" s="900">
        <v>-686868.16921123781</v>
      </c>
      <c r="D109" s="900">
        <v>-4219333.0394404605</v>
      </c>
      <c r="E109" s="900">
        <v>0</v>
      </c>
      <c r="F109" s="900">
        <v>0</v>
      </c>
      <c r="G109" s="903" t="s">
        <v>779</v>
      </c>
    </row>
    <row r="110" spans="1:192">
      <c r="A110" s="945" t="s">
        <v>526</v>
      </c>
      <c r="B110" s="917">
        <f t="shared" si="4"/>
        <v>-215769036.14362371</v>
      </c>
      <c r="C110" s="917">
        <f>SUM(C95:C109)</f>
        <v>-118693632.76897892</v>
      </c>
      <c r="D110" s="917">
        <f t="shared" ref="D110:F110" si="5">SUM(D95:D109)</f>
        <v>-10021884.605585257</v>
      </c>
      <c r="E110" s="917">
        <f t="shared" si="5"/>
        <v>-10759648.503484404</v>
      </c>
      <c r="F110" s="917">
        <f t="shared" si="5"/>
        <v>-76293870.265575111</v>
      </c>
      <c r="G110" s="921"/>
    </row>
    <row r="111" spans="1:192">
      <c r="A111" s="945" t="s">
        <v>515</v>
      </c>
      <c r="B111" s="917">
        <f t="shared" si="4"/>
        <v>-15585536.371267341</v>
      </c>
      <c r="C111" s="900">
        <f>C107+C108+C109</f>
        <v>-2181975.0919774277</v>
      </c>
      <c r="D111" s="900">
        <f>D107+D108+D109</f>
        <v>-6186033.3775898106</v>
      </c>
      <c r="E111" s="900">
        <f>E107+E108+E109</f>
        <v>-7217527.9017001027</v>
      </c>
      <c r="F111" s="900">
        <f>F107+F108+F109</f>
        <v>0</v>
      </c>
      <c r="G111" s="903"/>
    </row>
    <row r="112" spans="1:192">
      <c r="A112" s="945" t="s">
        <v>516</v>
      </c>
      <c r="B112" s="917">
        <f t="shared" si="4"/>
        <v>0</v>
      </c>
      <c r="C112" s="900"/>
      <c r="D112" s="900"/>
      <c r="E112" s="900"/>
      <c r="F112" s="900"/>
      <c r="G112" s="903"/>
    </row>
    <row r="113" spans="1:7">
      <c r="A113" s="945" t="s">
        <v>181</v>
      </c>
      <c r="B113" s="917">
        <f t="shared" si="4"/>
        <v>-200183499.77235633</v>
      </c>
      <c r="C113" s="917">
        <f>C110-C111-C112</f>
        <v>-116511657.67700149</v>
      </c>
      <c r="D113" s="917">
        <f>D110-D111-D112</f>
        <v>-3835851.227995446</v>
      </c>
      <c r="E113" s="917">
        <f>E110-E111-E112</f>
        <v>-3542120.601784301</v>
      </c>
      <c r="F113" s="917">
        <f>F110-F111-F112</f>
        <v>-76293870.265575111</v>
      </c>
      <c r="G113" s="921"/>
    </row>
    <row r="114" spans="1:7">
      <c r="A114" s="1056"/>
      <c r="E114" s="1090"/>
      <c r="F114" s="1091"/>
      <c r="G114" s="1062"/>
    </row>
    <row r="115" spans="1:7">
      <c r="A115" s="925" t="s">
        <v>251</v>
      </c>
      <c r="B115" s="926"/>
      <c r="C115" s="927"/>
      <c r="D115" s="927"/>
      <c r="E115" s="1039"/>
      <c r="F115" s="1092"/>
      <c r="G115" s="1088"/>
    </row>
    <row r="116" spans="1:7" ht="12.75" customHeight="1">
      <c r="A116" s="1028" t="s">
        <v>256</v>
      </c>
      <c r="B116" s="947"/>
      <c r="C116" s="939"/>
      <c r="D116" s="939"/>
      <c r="E116" s="1038"/>
      <c r="F116" s="1093"/>
      <c r="G116" s="1094"/>
    </row>
    <row r="117" spans="1:7">
      <c r="A117" s="931" t="s">
        <v>253</v>
      </c>
      <c r="B117" s="933"/>
      <c r="C117" s="912"/>
      <c r="D117" s="912"/>
      <c r="E117" s="1040"/>
      <c r="F117" s="1095"/>
      <c r="G117" s="1088"/>
    </row>
    <row r="118" spans="1:7">
      <c r="A118" s="931" t="s">
        <v>546</v>
      </c>
      <c r="B118" s="933"/>
      <c r="C118" s="912"/>
      <c r="D118" s="912"/>
      <c r="E118" s="1040"/>
      <c r="F118" s="1095"/>
      <c r="G118" s="1088"/>
    </row>
    <row r="119" spans="1:7">
      <c r="A119" s="931" t="s">
        <v>547</v>
      </c>
      <c r="B119" s="933"/>
      <c r="C119" s="912"/>
      <c r="D119" s="912"/>
      <c r="E119" s="1040"/>
      <c r="F119" s="1096"/>
    </row>
    <row r="120" spans="1:7" ht="12.75" customHeight="1">
      <c r="A120" s="1041" t="s">
        <v>450</v>
      </c>
      <c r="B120" s="950"/>
      <c r="C120" s="951"/>
      <c r="D120" s="951"/>
      <c r="E120" s="1042"/>
      <c r="F120" s="1097"/>
      <c r="G120" s="1053"/>
    </row>
    <row r="121" spans="1:7">
      <c r="A121" s="1098" t="s">
        <v>525</v>
      </c>
      <c r="B121" s="951"/>
      <c r="C121" s="951"/>
      <c r="D121" s="951"/>
      <c r="E121" s="1042"/>
      <c r="F121" s="1097"/>
      <c r="G121" s="1053"/>
    </row>
    <row r="122" spans="1:7">
      <c r="A122" s="1099"/>
      <c r="B122" s="1075"/>
      <c r="C122" s="1076"/>
      <c r="D122" s="1076"/>
      <c r="E122" s="1076"/>
      <c r="F122" s="1100"/>
      <c r="G122" s="1053"/>
    </row>
    <row r="123" spans="1:7">
      <c r="A123" s="1043"/>
      <c r="B123" s="1044"/>
      <c r="C123" s="1040"/>
      <c r="D123" s="1040"/>
      <c r="E123" s="1040"/>
      <c r="F123" s="1040"/>
      <c r="G123" s="1053"/>
    </row>
    <row r="124" spans="1:7">
      <c r="A124" s="952" t="s">
        <v>506</v>
      </c>
      <c r="B124" s="936"/>
      <c r="C124" s="1101"/>
      <c r="D124" s="1101"/>
      <c r="E124" s="952"/>
      <c r="F124" s="936"/>
      <c r="G124" s="1053"/>
    </row>
    <row r="125" spans="1:7">
      <c r="A125" s="937" t="s">
        <v>576</v>
      </c>
      <c r="B125" s="938"/>
      <c r="C125" s="1038"/>
      <c r="D125" s="1038"/>
      <c r="E125" s="937"/>
      <c r="F125" s="938"/>
      <c r="G125" s="1094"/>
    </row>
    <row r="126" spans="1:7">
      <c r="A126" s="1045"/>
      <c r="B126" s="1040"/>
      <c r="C126" s="1040"/>
      <c r="D126" s="1040"/>
      <c r="E126" s="1045"/>
      <c r="F126" s="1040"/>
    </row>
    <row r="127" spans="1:7">
      <c r="A127" s="1045"/>
      <c r="B127" s="1040"/>
      <c r="C127" s="1040"/>
      <c r="D127" s="1102"/>
      <c r="E127" s="1045"/>
      <c r="F127" s="1040"/>
    </row>
    <row r="128" spans="1:7">
      <c r="A128" s="1046" t="s">
        <v>577</v>
      </c>
      <c r="B128" s="1047"/>
      <c r="C128" s="1047"/>
      <c r="D128" s="1040"/>
      <c r="E128" s="1046"/>
      <c r="F128" s="1047"/>
    </row>
    <row r="129" spans="1:7">
      <c r="A129" s="1067"/>
      <c r="B129" s="1103"/>
      <c r="D129" s="1082"/>
      <c r="E129" s="1082"/>
      <c r="G129" s="1053"/>
    </row>
    <row r="130" spans="1:7">
      <c r="A130" s="1104"/>
      <c r="B130" s="1105" t="s">
        <v>578</v>
      </c>
      <c r="C130" s="1105"/>
      <c r="D130" s="1105" t="s">
        <v>378</v>
      </c>
      <c r="E130" s="1106" t="s">
        <v>579</v>
      </c>
      <c r="F130" s="1105"/>
      <c r="G130" s="1053"/>
    </row>
    <row r="131" spans="1:7">
      <c r="A131" s="1104"/>
      <c r="B131" s="1107"/>
      <c r="C131" s="1107"/>
      <c r="D131" s="1107"/>
      <c r="E131" s="1108"/>
      <c r="F131" s="1107"/>
      <c r="G131" s="1053"/>
    </row>
    <row r="132" spans="1:7">
      <c r="A132" s="1109" t="s">
        <v>580</v>
      </c>
      <c r="B132" s="1107"/>
      <c r="C132" s="1107"/>
      <c r="D132" s="1107"/>
      <c r="E132" s="1108"/>
      <c r="F132" s="1107"/>
      <c r="G132" s="1053"/>
    </row>
    <row r="133" spans="1:7">
      <c r="A133" s="1109" t="s">
        <v>581</v>
      </c>
      <c r="B133" s="1107" t="s">
        <v>181</v>
      </c>
      <c r="C133" s="1110"/>
      <c r="D133" s="1111">
        <v>3168120.62</v>
      </c>
      <c r="E133" s="1112">
        <v>420441</v>
      </c>
      <c r="F133" s="1107" t="s">
        <v>698</v>
      </c>
      <c r="G133" s="1113"/>
    </row>
    <row r="134" spans="1:7">
      <c r="A134" s="1109"/>
      <c r="B134" s="1107"/>
      <c r="C134" s="1107"/>
      <c r="D134" s="1107"/>
      <c r="E134" s="1108"/>
      <c r="F134" s="1107"/>
      <c r="G134" s="1113"/>
    </row>
    <row r="135" spans="1:7">
      <c r="A135" s="1109" t="s">
        <v>579</v>
      </c>
      <c r="B135" s="1107"/>
      <c r="C135" s="1107"/>
      <c r="D135" s="1107"/>
      <c r="E135" s="1108"/>
      <c r="F135" s="1107"/>
      <c r="G135" s="1113"/>
    </row>
    <row r="136" spans="1:7">
      <c r="A136" s="1109" t="s">
        <v>537</v>
      </c>
      <c r="B136" s="1107" t="s">
        <v>181</v>
      </c>
      <c r="C136" s="1110"/>
      <c r="D136" s="1111">
        <v>524785.56000000006</v>
      </c>
      <c r="E136" s="1112">
        <v>86997</v>
      </c>
      <c r="F136" s="1107" t="s">
        <v>699</v>
      </c>
      <c r="G136" s="1113"/>
    </row>
    <row r="137" spans="1:7">
      <c r="A137" s="1109"/>
      <c r="B137" s="1107"/>
      <c r="C137" s="1107"/>
      <c r="D137" s="1107"/>
      <c r="E137" s="1108"/>
      <c r="F137" s="1107"/>
    </row>
    <row r="138" spans="1:7">
      <c r="A138" s="1109" t="s">
        <v>181</v>
      </c>
      <c r="B138" s="1107"/>
      <c r="C138" s="1110"/>
      <c r="D138" s="1107">
        <f>D133+D136</f>
        <v>3692906.18</v>
      </c>
      <c r="E138" s="1107">
        <f>E133+E136</f>
        <v>507438</v>
      </c>
      <c r="F138" s="1107"/>
      <c r="G138" s="1114"/>
    </row>
    <row r="139" spans="1:7">
      <c r="A139" s="1109"/>
      <c r="B139" s="1107"/>
      <c r="C139" s="1107"/>
      <c r="D139" s="1107"/>
      <c r="E139" s="1108"/>
      <c r="F139" s="1107"/>
      <c r="G139" s="1060"/>
    </row>
    <row r="140" spans="1:7">
      <c r="A140" s="1048" t="s">
        <v>289</v>
      </c>
      <c r="B140" s="1049"/>
      <c r="C140" s="1033"/>
      <c r="D140" s="1050">
        <v>3692906</v>
      </c>
      <c r="E140" s="1051">
        <v>507438</v>
      </c>
      <c r="F140" s="1052"/>
    </row>
    <row r="141" spans="1:7">
      <c r="A141" s="1109"/>
      <c r="B141" s="1107"/>
      <c r="C141" s="1107"/>
      <c r="D141" s="1107"/>
      <c r="E141" s="1108"/>
      <c r="F141" s="1115"/>
    </row>
    <row r="142" spans="1:7">
      <c r="A142" s="1109" t="s">
        <v>582</v>
      </c>
      <c r="B142" s="1107"/>
      <c r="C142" s="1116" t="s">
        <v>725</v>
      </c>
      <c r="D142" s="1117">
        <f>D138-D140</f>
        <v>0.18000000016763806</v>
      </c>
      <c r="E142" s="1117">
        <f>E138-E140</f>
        <v>0</v>
      </c>
      <c r="F142" s="1107"/>
      <c r="G142" s="1057"/>
    </row>
    <row r="143" spans="1:7">
      <c r="E143" s="1118"/>
      <c r="G143" s="1057"/>
    </row>
    <row r="144" spans="1:7">
      <c r="A144" s="922" t="s">
        <v>583</v>
      </c>
    </row>
  </sheetData>
  <mergeCells count="15">
    <mergeCell ref="A2:G2"/>
    <mergeCell ref="FZ3:GG3"/>
    <mergeCell ref="A55:G56"/>
    <mergeCell ref="EL3:ES3"/>
    <mergeCell ref="ET3:FA3"/>
    <mergeCell ref="FB3:FI3"/>
    <mergeCell ref="FJ3:FQ3"/>
    <mergeCell ref="FR3:FY3"/>
    <mergeCell ref="A4:G4"/>
    <mergeCell ref="CP3:CW3"/>
    <mergeCell ref="CX3:DE3"/>
    <mergeCell ref="DF3:DM3"/>
    <mergeCell ref="DN3:DU3"/>
    <mergeCell ref="DV3:EC3"/>
    <mergeCell ref="ED3:EK3"/>
  </mergeCells>
  <pageMargins left="0.75" right="0.75" top="1" bottom="1" header="0.5" footer="0.5"/>
  <pageSetup scale="49" fitToWidth="3" fitToHeight="3" orientation="portrait" r:id="rId1"/>
  <headerFooter alignWithMargins="0">
    <oddFooter>&amp;L&amp;Z&amp;F</oddFooter>
  </headerFooter>
  <rowBreaks count="2" manualBreakCount="2">
    <brk id="58" max="6" man="1"/>
    <brk id="122" max="6" man="1"/>
  </rowBreaks>
  <colBreaks count="1" manualBreakCount="1">
    <brk id="6" max="14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78"/>
  <sheetViews>
    <sheetView zoomScaleNormal="50" workbookViewId="0">
      <selection sqref="A1:I1"/>
    </sheetView>
  </sheetViews>
  <sheetFormatPr defaultRowHeight="12.75"/>
  <cols>
    <col min="1" max="2" width="4.7109375" customWidth="1"/>
    <col min="3" max="3" width="46.85546875" customWidth="1"/>
    <col min="4" max="4" width="10.140625" customWidth="1"/>
    <col min="5" max="5" width="21.42578125" style="299" customWidth="1"/>
    <col min="6" max="6" width="15.28515625" customWidth="1"/>
    <col min="7" max="7" width="14.140625" customWidth="1"/>
    <col min="8" max="8" width="14" bestFit="1" customWidth="1"/>
  </cols>
  <sheetData>
    <row r="1" spans="1:9" ht="18">
      <c r="A1" s="1185" t="s">
        <v>506</v>
      </c>
      <c r="B1" s="1185"/>
      <c r="C1" s="1185"/>
      <c r="D1" s="1185"/>
      <c r="E1" s="1185"/>
      <c r="F1" s="1185"/>
      <c r="G1" s="1185"/>
      <c r="H1" s="1185"/>
      <c r="I1" s="1185"/>
    </row>
    <row r="2" spans="1:9">
      <c r="A2" s="305"/>
    </row>
    <row r="3" spans="1:9" ht="15">
      <c r="A3" s="1186" t="s">
        <v>490</v>
      </c>
      <c r="B3" s="1186"/>
      <c r="C3" s="1186"/>
      <c r="D3" s="1186"/>
      <c r="E3" s="1186"/>
      <c r="F3" s="1186"/>
      <c r="G3" s="1186"/>
      <c r="H3" s="1186"/>
    </row>
    <row r="5" spans="1:9">
      <c r="D5" s="308"/>
    </row>
    <row r="7" spans="1:9">
      <c r="D7" s="291"/>
      <c r="E7" s="291" t="s">
        <v>258</v>
      </c>
      <c r="F7" s="291"/>
      <c r="G7" s="291" t="s">
        <v>265</v>
      </c>
      <c r="H7" s="291"/>
    </row>
    <row r="8" spans="1:9">
      <c r="A8" s="283" t="s">
        <v>78</v>
      </c>
      <c r="B8" s="283"/>
      <c r="D8" s="291"/>
      <c r="E8" s="291" t="s">
        <v>259</v>
      </c>
      <c r="F8" s="291" t="s">
        <v>203</v>
      </c>
      <c r="G8" s="291" t="s">
        <v>266</v>
      </c>
      <c r="H8" s="291"/>
    </row>
    <row r="9" spans="1:9">
      <c r="A9" s="283"/>
      <c r="B9" s="283"/>
      <c r="D9" s="291"/>
      <c r="E9" s="345"/>
      <c r="F9" s="291"/>
      <c r="G9" s="291"/>
      <c r="H9" s="291"/>
    </row>
    <row r="10" spans="1:9">
      <c r="A10" s="283"/>
      <c r="B10" s="283"/>
      <c r="D10" s="291"/>
      <c r="E10" s="345"/>
      <c r="F10" s="291"/>
      <c r="G10" s="291"/>
      <c r="H10" s="291"/>
    </row>
    <row r="11" spans="1:9">
      <c r="D11" s="291"/>
      <c r="E11" s="345"/>
      <c r="G11" s="291"/>
      <c r="H11" s="298"/>
    </row>
    <row r="12" spans="1:9">
      <c r="B12" s="283" t="s">
        <v>257</v>
      </c>
      <c r="E12" s="300"/>
      <c r="F12" s="307" t="s">
        <v>48</v>
      </c>
      <c r="G12" s="291"/>
      <c r="H12" s="298"/>
    </row>
    <row r="13" spans="1:9">
      <c r="E13" s="300"/>
      <c r="F13" s="291"/>
      <c r="G13" s="291"/>
      <c r="H13" s="298"/>
    </row>
    <row r="14" spans="1:9" ht="12.75" customHeight="1">
      <c r="B14">
        <v>1</v>
      </c>
      <c r="C14" s="559" t="s">
        <v>399</v>
      </c>
      <c r="E14" s="1015">
        <v>21648240</v>
      </c>
      <c r="F14" s="285"/>
      <c r="G14" s="285"/>
    </row>
    <row r="15" spans="1:9" ht="12.75" customHeight="1">
      <c r="B15">
        <v>2</v>
      </c>
      <c r="C15" s="559" t="s">
        <v>238</v>
      </c>
      <c r="E15" s="1015"/>
      <c r="F15" s="285"/>
      <c r="G15" s="285"/>
      <c r="H15" s="285"/>
    </row>
    <row r="16" spans="1:9" ht="12.75" customHeight="1">
      <c r="B16">
        <v>3</v>
      </c>
      <c r="C16" s="560" t="s">
        <v>507</v>
      </c>
      <c r="E16" s="1015">
        <v>19273</v>
      </c>
      <c r="F16" s="285"/>
      <c r="G16" s="285"/>
      <c r="H16" s="285"/>
    </row>
    <row r="17" spans="2:8" ht="12.75" customHeight="1">
      <c r="B17">
        <v>4</v>
      </c>
      <c r="C17" s="304"/>
      <c r="E17" s="710"/>
      <c r="F17" s="285"/>
      <c r="G17" s="285"/>
      <c r="H17" s="285"/>
    </row>
    <row r="18" spans="2:8" ht="12.75" customHeight="1">
      <c r="B18">
        <v>5</v>
      </c>
      <c r="C18" s="282"/>
      <c r="E18" s="301"/>
      <c r="F18" s="285"/>
      <c r="G18" s="285"/>
      <c r="H18" s="285"/>
    </row>
    <row r="19" spans="2:8" ht="12.75" customHeight="1">
      <c r="B19">
        <v>6</v>
      </c>
      <c r="C19" s="282"/>
      <c r="E19" s="301"/>
      <c r="F19" s="285"/>
      <c r="G19" s="285"/>
      <c r="H19" s="285"/>
    </row>
    <row r="20" spans="2:8" ht="12.75" customHeight="1">
      <c r="B20" s="283" t="s">
        <v>262</v>
      </c>
      <c r="E20" s="503">
        <f>SUM(E14:E19)</f>
        <v>21667513</v>
      </c>
      <c r="F20" s="504">
        <f>'ATT H-3D'!H32</f>
        <v>0.34936689572563268</v>
      </c>
      <c r="G20" s="503">
        <f>+F20*E20</f>
        <v>7569911.7549047908</v>
      </c>
      <c r="H20" s="285"/>
    </row>
    <row r="21" spans="2:8" ht="12.75" customHeight="1">
      <c r="E21" s="302"/>
      <c r="F21" s="285"/>
      <c r="G21" s="285"/>
      <c r="H21" s="285"/>
    </row>
    <row r="22" spans="2:8" ht="12.75" customHeight="1">
      <c r="D22" s="285"/>
      <c r="E22" s="302"/>
      <c r="F22" s="285"/>
      <c r="G22" s="285"/>
      <c r="H22" s="285"/>
    </row>
    <row r="23" spans="2:8" ht="12.75" customHeight="1">
      <c r="B23" s="283" t="s">
        <v>260</v>
      </c>
      <c r="D23" s="285"/>
      <c r="E23" s="302"/>
      <c r="F23" s="306" t="s">
        <v>585</v>
      </c>
      <c r="G23" s="285"/>
      <c r="H23" s="285"/>
    </row>
    <row r="24" spans="2:8" ht="12.75" customHeight="1">
      <c r="B24" s="283"/>
      <c r="D24" s="285"/>
      <c r="G24" s="285"/>
      <c r="H24" s="285"/>
    </row>
    <row r="25" spans="2:8" ht="12.75" customHeight="1">
      <c r="D25" s="285"/>
      <c r="E25" s="302"/>
      <c r="F25" s="285"/>
      <c r="G25" s="285"/>
      <c r="H25" s="285"/>
    </row>
    <row r="26" spans="2:8" ht="12.75" customHeight="1">
      <c r="B26">
        <v>7</v>
      </c>
      <c r="C26" s="560" t="s">
        <v>240</v>
      </c>
      <c r="D26" s="561"/>
      <c r="E26" s="1016">
        <v>3028471</v>
      </c>
      <c r="F26" s="286"/>
      <c r="G26" s="286"/>
      <c r="H26" s="286"/>
    </row>
    <row r="27" spans="2:8">
      <c r="B27">
        <v>8</v>
      </c>
      <c r="C27" s="560" t="s">
        <v>241</v>
      </c>
      <c r="D27" s="502"/>
      <c r="E27" s="1017">
        <v>127015</v>
      </c>
    </row>
    <row r="28" spans="2:8">
      <c r="B28">
        <v>9</v>
      </c>
      <c r="C28" s="282"/>
      <c r="E28" s="303"/>
    </row>
    <row r="29" spans="2:8">
      <c r="B29">
        <v>10</v>
      </c>
      <c r="C29" s="282"/>
      <c r="E29" s="303"/>
    </row>
    <row r="30" spans="2:8">
      <c r="B30">
        <v>11</v>
      </c>
      <c r="C30" s="282"/>
      <c r="E30" s="303"/>
    </row>
    <row r="31" spans="2:8">
      <c r="B31" s="283" t="s">
        <v>263</v>
      </c>
      <c r="E31" s="503">
        <f>SUM(E26:E30)</f>
        <v>3155486</v>
      </c>
      <c r="F31" s="504">
        <f>'ATT H-3D'!H16</f>
        <v>8.0514508226294385E-2</v>
      </c>
      <c r="G31" s="503">
        <f>+F31*E31</f>
        <v>254062.40350495678</v>
      </c>
    </row>
    <row r="32" spans="2:8">
      <c r="B32" s="283"/>
      <c r="C32" s="302"/>
      <c r="F32" s="2"/>
    </row>
    <row r="34" spans="2:8">
      <c r="B34" s="283" t="s">
        <v>261</v>
      </c>
      <c r="F34" s="307" t="s">
        <v>48</v>
      </c>
    </row>
    <row r="36" spans="2:8">
      <c r="B36">
        <v>12</v>
      </c>
      <c r="C36" s="564" t="s">
        <v>239</v>
      </c>
      <c r="E36" s="563">
        <v>0</v>
      </c>
    </row>
    <row r="37" spans="2:8">
      <c r="B37">
        <v>13</v>
      </c>
      <c r="C37" s="564"/>
      <c r="E37" s="563"/>
    </row>
    <row r="38" spans="2:8">
      <c r="B38">
        <v>14</v>
      </c>
      <c r="C38" s="560"/>
    </row>
    <row r="39" spans="2:8">
      <c r="B39" s="283" t="s">
        <v>264</v>
      </c>
      <c r="E39" s="503">
        <f>SUM(E36:E38)</f>
        <v>0</v>
      </c>
      <c r="F39" s="504">
        <f>F20</f>
        <v>0.34936689572563268</v>
      </c>
      <c r="G39" s="503">
        <f>+F39*E39</f>
        <v>0</v>
      </c>
    </row>
    <row r="41" spans="2:8">
      <c r="B41" s="283" t="s">
        <v>269</v>
      </c>
      <c r="E41" s="503">
        <f>+E39+E31+E20</f>
        <v>24822999</v>
      </c>
      <c r="G41" s="503">
        <f>+G39+G31+G20</f>
        <v>7823974.1584097473</v>
      </c>
    </row>
    <row r="42" spans="2:8">
      <c r="C42" s="347"/>
    </row>
    <row r="43" spans="2:8">
      <c r="B43" s="539" t="s">
        <v>601</v>
      </c>
      <c r="C43" s="2"/>
      <c r="D43" s="2"/>
      <c r="E43" s="642"/>
      <c r="F43" s="618"/>
      <c r="G43" s="2"/>
      <c r="H43" s="2"/>
    </row>
    <row r="44" spans="2:8">
      <c r="B44" s="2">
        <f>+B38+1</f>
        <v>15</v>
      </c>
      <c r="C44" s="304" t="s">
        <v>529</v>
      </c>
      <c r="D44" s="282"/>
      <c r="E44" s="1018">
        <v>8347550</v>
      </c>
      <c r="F44" s="618"/>
      <c r="G44" s="996"/>
      <c r="H44" s="2"/>
    </row>
    <row r="45" spans="2:8">
      <c r="B45" s="2">
        <f>+B44+1</f>
        <v>16</v>
      </c>
      <c r="C45" s="304" t="s">
        <v>508</v>
      </c>
      <c r="D45" s="282"/>
      <c r="E45" s="1018">
        <v>198386</v>
      </c>
      <c r="F45" s="618"/>
      <c r="G45" s="996"/>
      <c r="H45" s="2"/>
    </row>
    <row r="46" spans="2:8">
      <c r="B46" s="2">
        <f>+B45+1</f>
        <v>17</v>
      </c>
      <c r="C46" s="674" t="s">
        <v>570</v>
      </c>
      <c r="D46" s="282"/>
      <c r="E46" s="1017">
        <v>1534826</v>
      </c>
      <c r="F46" s="618"/>
      <c r="G46" s="996"/>
      <c r="H46" s="2"/>
    </row>
    <row r="47" spans="2:8">
      <c r="B47" s="2">
        <f>B46+1</f>
        <v>18</v>
      </c>
      <c r="C47" s="674" t="s">
        <v>600</v>
      </c>
      <c r="D47" s="282"/>
      <c r="E47" s="1015">
        <v>7138680</v>
      </c>
      <c r="F47" s="618"/>
      <c r="G47" s="996"/>
      <c r="H47" s="996"/>
    </row>
    <row r="48" spans="2:8">
      <c r="B48" s="2">
        <f>+B47+1</f>
        <v>19</v>
      </c>
      <c r="C48" s="674" t="s">
        <v>35</v>
      </c>
      <c r="D48" s="282"/>
      <c r="E48" s="1015"/>
      <c r="F48" s="618"/>
      <c r="G48" s="996"/>
      <c r="H48" s="996"/>
    </row>
    <row r="49" spans="2:19">
      <c r="B49" s="2">
        <f>+B48+1</f>
        <v>20</v>
      </c>
      <c r="C49" s="674"/>
      <c r="D49" s="282"/>
      <c r="E49" s="1015"/>
      <c r="F49" s="618"/>
      <c r="G49" s="2"/>
      <c r="H49" s="996"/>
    </row>
    <row r="50" spans="2:19">
      <c r="B50" s="2"/>
      <c r="C50" s="347"/>
      <c r="D50" s="2"/>
      <c r="E50" s="642"/>
      <c r="F50" s="618"/>
      <c r="G50" s="2"/>
      <c r="H50" s="996"/>
    </row>
    <row r="51" spans="2:19">
      <c r="B51" s="2">
        <f>B49+1</f>
        <v>21</v>
      </c>
      <c r="C51" s="475" t="s">
        <v>36</v>
      </c>
      <c r="D51" s="502"/>
      <c r="E51" s="562">
        <f>SUM(E44:E49)+E39+E31+E20</f>
        <v>42042441</v>
      </c>
      <c r="F51" s="987"/>
      <c r="G51" s="562"/>
      <c r="H51" s="2"/>
    </row>
    <row r="52" spans="2:19">
      <c r="B52" s="2"/>
      <c r="C52" s="673"/>
      <c r="D52" s="502"/>
      <c r="E52" s="562"/>
      <c r="F52" s="620"/>
      <c r="G52" s="565"/>
      <c r="H52" s="2"/>
    </row>
    <row r="53" spans="2:19">
      <c r="B53" s="2">
        <f>+B51+1</f>
        <v>22</v>
      </c>
      <c r="C53" s="673" t="s">
        <v>37</v>
      </c>
      <c r="D53" s="643"/>
      <c r="E53" s="644">
        <v>42042441</v>
      </c>
      <c r="F53" s="620"/>
      <c r="G53" s="565"/>
      <c r="H53" s="2"/>
    </row>
    <row r="54" spans="2:19">
      <c r="B54" s="2"/>
      <c r="C54" s="502"/>
      <c r="D54" s="502"/>
      <c r="E54" s="562"/>
      <c r="F54" s="620"/>
      <c r="G54" s="565"/>
      <c r="H54" s="475"/>
      <c r="I54" s="475"/>
    </row>
    <row r="55" spans="2:19">
      <c r="B55" s="2">
        <f>+B53+1</f>
        <v>23</v>
      </c>
      <c r="C55" s="502" t="s">
        <v>509</v>
      </c>
      <c r="D55" s="645"/>
      <c r="E55" s="619">
        <f>+E51-E53</f>
        <v>0</v>
      </c>
      <c r="F55" s="620"/>
      <c r="G55" s="565"/>
      <c r="H55" s="566"/>
      <c r="I55" s="566"/>
      <c r="J55" s="506"/>
      <c r="K55" s="2"/>
      <c r="L55" s="2"/>
      <c r="M55" s="2"/>
      <c r="N55" s="2"/>
      <c r="O55" s="2"/>
      <c r="P55" s="2"/>
      <c r="Q55" s="2"/>
      <c r="R55" s="2"/>
      <c r="S55" s="2"/>
    </row>
    <row r="56" spans="2:19">
      <c r="B56" s="2"/>
      <c r="C56" s="502"/>
      <c r="D56" s="645"/>
      <c r="E56" s="619"/>
      <c r="F56" s="620"/>
      <c r="G56" s="565"/>
      <c r="H56" s="566"/>
      <c r="I56" s="566"/>
      <c r="J56" s="506"/>
      <c r="K56" s="2"/>
      <c r="L56" s="2"/>
      <c r="M56" s="2"/>
      <c r="N56" s="2"/>
      <c r="O56" s="2"/>
      <c r="P56" s="2"/>
      <c r="Q56" s="2"/>
      <c r="R56" s="2"/>
      <c r="S56" s="2"/>
    </row>
    <row r="57" spans="2:19">
      <c r="B57" s="2"/>
      <c r="C57" s="502"/>
      <c r="D57" s="645"/>
      <c r="E57" s="619"/>
      <c r="F57" s="620"/>
      <c r="G57" s="565"/>
      <c r="H57" s="566"/>
      <c r="I57" s="566"/>
      <c r="J57" s="506"/>
      <c r="K57" s="2"/>
      <c r="L57" s="2"/>
      <c r="M57" s="2"/>
      <c r="N57" s="2"/>
      <c r="O57" s="2"/>
      <c r="P57" s="2"/>
      <c r="Q57" s="2"/>
      <c r="R57" s="2"/>
      <c r="S57" s="2"/>
    </row>
    <row r="58" spans="2:19">
      <c r="B58" s="2" t="s">
        <v>584</v>
      </c>
      <c r="C58" s="287"/>
      <c r="D58" s="2"/>
      <c r="E58" s="505"/>
      <c r="F58" s="506"/>
      <c r="G58" s="506"/>
      <c r="H58" s="506"/>
      <c r="I58" s="506"/>
      <c r="J58" s="506"/>
      <c r="K58" s="2"/>
      <c r="L58" s="2"/>
      <c r="M58" s="2"/>
      <c r="N58" s="2"/>
      <c r="O58" s="2"/>
      <c r="P58" s="2"/>
      <c r="Q58" s="2"/>
      <c r="R58" s="2"/>
      <c r="S58" s="2"/>
    </row>
    <row r="59" spans="2:19">
      <c r="B59" s="2" t="s">
        <v>68</v>
      </c>
      <c r="C59" s="287" t="s">
        <v>568</v>
      </c>
      <c r="D59" s="2"/>
      <c r="E59" s="505"/>
      <c r="F59" s="506"/>
      <c r="G59" s="506"/>
      <c r="H59" s="506"/>
      <c r="I59" s="506"/>
      <c r="J59" s="506"/>
      <c r="K59" s="2"/>
      <c r="L59" s="2"/>
      <c r="M59" s="2"/>
      <c r="N59" s="2"/>
      <c r="O59" s="2"/>
      <c r="P59" s="2"/>
      <c r="Q59" s="2"/>
      <c r="R59" s="2"/>
      <c r="S59" s="2"/>
    </row>
    <row r="60" spans="2:19">
      <c r="B60" s="2"/>
      <c r="C60" s="610" t="s">
        <v>30</v>
      </c>
      <c r="D60" s="2"/>
      <c r="E60" s="505"/>
      <c r="F60" s="2"/>
      <c r="G60" s="506"/>
      <c r="H60" s="506"/>
      <c r="I60" s="506"/>
      <c r="J60" s="506"/>
      <c r="K60" s="2"/>
      <c r="L60" s="2"/>
      <c r="M60" s="2"/>
      <c r="N60" s="2"/>
      <c r="O60" s="2"/>
      <c r="P60" s="2"/>
      <c r="Q60" s="2"/>
      <c r="R60" s="2"/>
      <c r="S60" s="2"/>
    </row>
    <row r="61" spans="2:19">
      <c r="B61" s="2" t="s">
        <v>182</v>
      </c>
      <c r="C61" s="287" t="s">
        <v>567</v>
      </c>
      <c r="D61" s="2"/>
      <c r="E61" s="505"/>
      <c r="F61" s="2"/>
      <c r="G61" s="506"/>
      <c r="H61" s="506"/>
      <c r="I61" s="506"/>
      <c r="J61" s="506"/>
      <c r="K61" s="2"/>
      <c r="L61" s="2"/>
      <c r="M61" s="2"/>
      <c r="N61" s="2"/>
      <c r="O61" s="2"/>
      <c r="P61" s="2"/>
      <c r="Q61" s="2"/>
      <c r="R61" s="2"/>
      <c r="S61" s="2"/>
    </row>
    <row r="62" spans="2:19">
      <c r="B62" s="2"/>
      <c r="C62" s="610" t="s">
        <v>30</v>
      </c>
      <c r="D62" s="2"/>
      <c r="E62" s="505"/>
      <c r="F62" s="2"/>
      <c r="G62" s="506"/>
      <c r="H62" s="506"/>
      <c r="J62" s="506"/>
      <c r="K62" s="2"/>
      <c r="L62" s="2"/>
      <c r="M62" s="2"/>
      <c r="N62" s="2"/>
      <c r="O62" s="2"/>
      <c r="P62" s="2"/>
      <c r="Q62" s="2"/>
      <c r="R62" s="2"/>
      <c r="S62" s="2"/>
    </row>
    <row r="63" spans="2:19">
      <c r="B63" s="2" t="s">
        <v>46</v>
      </c>
      <c r="C63" s="287" t="s">
        <v>465</v>
      </c>
      <c r="D63" s="2"/>
      <c r="E63" s="505"/>
      <c r="F63" s="2"/>
      <c r="G63" s="506"/>
      <c r="H63" s="506"/>
      <c r="I63" s="506"/>
      <c r="J63" s="728"/>
      <c r="K63" s="2"/>
      <c r="L63" s="2"/>
      <c r="M63" s="2"/>
      <c r="N63" s="2"/>
      <c r="O63" s="2"/>
      <c r="P63" s="2"/>
      <c r="Q63" s="2"/>
      <c r="R63" s="2"/>
      <c r="S63" s="2"/>
    </row>
    <row r="64" spans="2:19">
      <c r="B64" s="2" t="s">
        <v>69</v>
      </c>
      <c r="C64" s="610" t="s">
        <v>452</v>
      </c>
      <c r="D64" s="2"/>
      <c r="E64" s="505"/>
      <c r="F64" s="2"/>
      <c r="G64" s="506"/>
      <c r="H64" s="506"/>
      <c r="I64" s="506"/>
      <c r="J64" s="506"/>
      <c r="K64" s="2"/>
      <c r="L64" s="2"/>
      <c r="M64" s="2"/>
      <c r="N64" s="2"/>
      <c r="O64" s="2"/>
      <c r="P64" s="2"/>
      <c r="Q64" s="2"/>
      <c r="R64" s="2"/>
      <c r="S64" s="2"/>
    </row>
    <row r="65" spans="1:19">
      <c r="B65" s="2"/>
      <c r="C65" s="287" t="s">
        <v>453</v>
      </c>
      <c r="D65" s="2"/>
      <c r="E65" s="505"/>
      <c r="F65" s="2"/>
      <c r="G65" s="2"/>
      <c r="H65" s="2"/>
      <c r="I65" s="2"/>
      <c r="J65" s="2"/>
      <c r="K65" s="2"/>
      <c r="L65" s="2"/>
      <c r="M65" s="2"/>
      <c r="N65" s="2"/>
      <c r="O65" s="2"/>
      <c r="P65" s="2"/>
      <c r="Q65" s="2"/>
      <c r="R65" s="2"/>
      <c r="S65" s="2"/>
    </row>
    <row r="66" spans="1:19">
      <c r="B66" s="2"/>
      <c r="C66" s="2" t="s">
        <v>454</v>
      </c>
      <c r="D66" s="2"/>
      <c r="E66" s="505"/>
      <c r="F66" s="2"/>
      <c r="G66" s="2"/>
      <c r="H66" s="2"/>
    </row>
    <row r="67" spans="1:19">
      <c r="B67" s="2" t="s">
        <v>67</v>
      </c>
      <c r="C67" s="287" t="s">
        <v>466</v>
      </c>
      <c r="E67" s="505"/>
    </row>
    <row r="68" spans="1:19">
      <c r="B68" s="2"/>
      <c r="C68" s="588"/>
      <c r="E68" s="505"/>
    </row>
    <row r="70" spans="1:19">
      <c r="A70" s="711"/>
      <c r="F70" s="505"/>
    </row>
    <row r="71" spans="1:19">
      <c r="C71" s="287"/>
    </row>
    <row r="72" spans="1:19">
      <c r="C72" s="287"/>
    </row>
    <row r="73" spans="1:19">
      <c r="C73" s="285"/>
    </row>
    <row r="74" spans="1:19">
      <c r="G74" s="299"/>
    </row>
    <row r="75" spans="1:19">
      <c r="G75" s="542"/>
    </row>
    <row r="76" spans="1:19">
      <c r="G76" s="542"/>
    </row>
    <row r="77" spans="1:19">
      <c r="G77" s="542"/>
    </row>
    <row r="78" spans="1:19">
      <c r="G78" s="299"/>
    </row>
  </sheetData>
  <customSheetViews>
    <customSheetView guid="{DD59B418-F201-4517-876C-F4216587CC56}" scale="75" showPageBreaks="1" fitToPage="1" printArea="1" showRuler="0" topLeftCell="A228">
      <pageMargins left="0.75" right="0.75" top="1" bottom="1" header="0.5" footer="0.5"/>
      <pageSetup scale="73" orientation="portrait" r:id="rId1"/>
      <headerFooter alignWithMargins="0"/>
    </customSheetView>
    <customSheetView guid="{6FDC2004-56D4-4E4C-BEEF-80DB64AD0DBB}" scale="60" showPageBreaks="1" fitToPage="1" printArea="1" view="pageBreakPreview" showRuler="0" topLeftCell="A34">
      <selection activeCell="D58" sqref="D58"/>
      <pageMargins left="0.75" right="0.75" top="1" bottom="1" header="0.5" footer="0.5"/>
      <pageSetup scale="72" orientation="portrait" r:id="rId2"/>
      <headerFooter alignWithMargins="0">
        <oddHeader>&amp;R&amp;12Page &amp;P of &amp;N</oddHeader>
      </headerFooter>
    </customSheetView>
    <customSheetView guid="{4F5BB44A-5460-4358-BCFE-B7FB945BAE1D}" scale="120" showPageBreaks="1" fitToPage="1" printArea="1" showRuler="0" topLeftCell="A52">
      <selection activeCell="D58" sqref="D58"/>
      <pageMargins left="0.75" right="0.75" top="1" bottom="1" header="0.5" footer="0.5"/>
      <pageSetup scale="74" orientation="portrait" r:id="rId3"/>
      <headerFooter alignWithMargins="0">
        <oddHeader>&amp;R&amp;12Page &amp;P of &amp;N</oddHeader>
      </headerFooter>
    </customSheetView>
    <customSheetView guid="{C0EA0F9F-7310-4201-82C9-7B8FC8DB9137}" scale="120" showPageBreaks="1" fitToPage="1" printArea="1" showRuler="0" topLeftCell="A28">
      <selection activeCell="C67" sqref="C67"/>
      <pageMargins left="0.75" right="0.75" top="1" bottom="1" header="0.5" footer="0.5"/>
      <pageSetup scale="74" orientation="portrait" r:id="rId4"/>
      <headerFooter alignWithMargins="0">
        <oddHeader>&amp;R&amp;14Page &amp;P of &amp;N</oddHeader>
      </headerFooter>
    </customSheetView>
    <customSheetView guid="{3BDD6235-B127-4929-8311-BDAF7BB89818}" scale="120" showPageBreaks="1" fitToPage="1" printArea="1" showRuler="0">
      <selection sqref="A1:G1"/>
      <pageMargins left="0.75" right="0.75" top="1" bottom="1" header="0.5" footer="0.5"/>
      <pageSetup scale="73" orientation="portrait" r:id="rId5"/>
      <headerFooter alignWithMargins="0">
        <oddHeader>&amp;R&amp;12Page &amp;P of &amp;N</oddHeader>
      </headerFooter>
    </customSheetView>
    <customSheetView guid="{4C8E812F-DAB5-4C49-9682-E5A34DC8C1B4}" scale="75" showPageBreaks="1" fitToPage="1" printArea="1" showRuler="0" topLeftCell="A49">
      <selection activeCell="C78" sqref="C78"/>
      <pageMargins left="0.75" right="0.75" top="1" bottom="1" header="0.5" footer="0.5"/>
      <pageSetup scale="74" orientation="portrait" r:id="rId6"/>
      <headerFooter alignWithMargins="0">
        <oddHeader>&amp;R&amp;12Page &amp;P of &amp;N</oddHeader>
      </headerFooter>
    </customSheetView>
  </customSheetViews>
  <mergeCells count="2">
    <mergeCell ref="A1:I1"/>
    <mergeCell ref="A3:H3"/>
  </mergeCells>
  <phoneticPr fontId="0" type="noConversion"/>
  <pageMargins left="0.75" right="0.75" top="1" bottom="1" header="0.5" footer="0.5"/>
  <pageSetup scale="74" orientation="portrait" r:id="rId7"/>
  <headerFooter alignWithMargins="0"/>
  <ignoredErrors>
    <ignoredError sqref="B4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68"/>
  <sheetViews>
    <sheetView zoomScaleNormal="100" workbookViewId="0">
      <selection sqref="A1:D1"/>
    </sheetView>
  </sheetViews>
  <sheetFormatPr defaultRowHeight="12.75"/>
  <cols>
    <col min="1" max="1" width="4.140625" customWidth="1"/>
    <col min="2" max="2" width="74.28515625" customWidth="1"/>
    <col min="3" max="3" width="25.85546875" customWidth="1"/>
    <col min="4" max="4" width="14" style="518" customWidth="1"/>
    <col min="5" max="5" width="12" customWidth="1"/>
    <col min="6" max="6" width="15" bestFit="1" customWidth="1"/>
  </cols>
  <sheetData>
    <row r="1" spans="1:8" ht="18">
      <c r="A1" s="1185" t="str">
        <f>+'ATT H-3D'!A4</f>
        <v>Delmarva Power &amp; Light Company</v>
      </c>
      <c r="B1" s="1185"/>
      <c r="C1" s="1185"/>
      <c r="D1" s="1185"/>
      <c r="E1" s="2"/>
      <c r="F1" s="2"/>
    </row>
    <row r="2" spans="1:8">
      <c r="A2" s="305"/>
      <c r="E2" s="2"/>
      <c r="F2" s="2"/>
    </row>
    <row r="3" spans="1:8" ht="15">
      <c r="A3" s="1186" t="s">
        <v>491</v>
      </c>
      <c r="B3" s="1187"/>
      <c r="C3" s="1187"/>
      <c r="D3" s="1187"/>
      <c r="E3" s="2"/>
      <c r="F3" s="2"/>
    </row>
    <row r="4" spans="1:8">
      <c r="B4" s="181"/>
      <c r="C4" s="284"/>
      <c r="E4" s="724"/>
      <c r="F4" s="2"/>
    </row>
    <row r="5" spans="1:8">
      <c r="B5" s="507"/>
      <c r="C5" s="284"/>
      <c r="E5" s="724"/>
      <c r="F5" s="2"/>
    </row>
    <row r="6" spans="1:8">
      <c r="B6" s="508" t="s">
        <v>484</v>
      </c>
      <c r="E6" s="2"/>
      <c r="F6" s="2"/>
    </row>
    <row r="7" spans="1:8">
      <c r="A7">
        <v>1</v>
      </c>
      <c r="B7" s="509" t="s">
        <v>428</v>
      </c>
      <c r="C7" s="514"/>
      <c r="D7" s="520">
        <v>1007245.38</v>
      </c>
      <c r="E7" s="668"/>
      <c r="F7" s="618"/>
      <c r="G7" s="285"/>
    </row>
    <row r="8" spans="1:8" s="510" customFormat="1">
      <c r="A8" s="515">
        <v>2</v>
      </c>
      <c r="B8" s="516" t="s">
        <v>485</v>
      </c>
      <c r="C8" s="515" t="s">
        <v>523</v>
      </c>
      <c r="D8" s="521">
        <f>SUM(D7:D7)</f>
        <v>1007245.38</v>
      </c>
      <c r="F8" s="582"/>
      <c r="G8" s="511"/>
    </row>
    <row r="9" spans="1:8">
      <c r="B9" s="289"/>
      <c r="C9" s="289"/>
      <c r="D9" s="522"/>
      <c r="E9" s="668"/>
      <c r="F9" s="2"/>
      <c r="G9" s="289"/>
    </row>
    <row r="10" spans="1:8">
      <c r="A10" s="2"/>
      <c r="B10" s="508" t="s">
        <v>429</v>
      </c>
      <c r="C10" s="289"/>
      <c r="E10" s="668"/>
      <c r="F10" s="2"/>
      <c r="G10" s="290"/>
    </row>
    <row r="11" spans="1:8">
      <c r="B11" s="512"/>
      <c r="C11" s="286"/>
      <c r="D11" s="523"/>
      <c r="E11" s="723"/>
      <c r="F11" s="287"/>
      <c r="G11" s="567"/>
      <c r="H11" s="515"/>
    </row>
    <row r="12" spans="1:8">
      <c r="A12">
        <f>+A8+1</f>
        <v>3</v>
      </c>
      <c r="B12" s="509" t="s">
        <v>77</v>
      </c>
      <c r="C12" s="285"/>
      <c r="D12" s="557">
        <v>1471091.46</v>
      </c>
      <c r="E12" s="723"/>
      <c r="F12" s="287"/>
      <c r="G12" s="568"/>
      <c r="H12" s="515"/>
    </row>
    <row r="13" spans="1:8" ht="38.25">
      <c r="A13" s="517">
        <f t="shared" ref="A13:A19" si="0">+A12+1</f>
        <v>4</v>
      </c>
      <c r="B13" s="285" t="s">
        <v>430</v>
      </c>
      <c r="C13" s="285"/>
      <c r="D13" s="525">
        <v>0</v>
      </c>
      <c r="E13" s="723"/>
      <c r="F13" s="287"/>
      <c r="G13" s="568"/>
      <c r="H13" s="515"/>
    </row>
    <row r="14" spans="1:8">
      <c r="A14" s="2">
        <f t="shared" si="0"/>
        <v>5</v>
      </c>
      <c r="B14" s="289" t="s">
        <v>446</v>
      </c>
      <c r="C14" s="285"/>
      <c r="D14" s="525">
        <v>1244036.97</v>
      </c>
      <c r="E14" s="668"/>
      <c r="F14" s="2"/>
      <c r="G14" s="588"/>
    </row>
    <row r="15" spans="1:8">
      <c r="A15">
        <f t="shared" si="0"/>
        <v>6</v>
      </c>
      <c r="B15" s="289" t="s">
        <v>431</v>
      </c>
      <c r="C15" s="714"/>
      <c r="D15" s="526"/>
      <c r="E15" s="668"/>
      <c r="F15" s="2"/>
      <c r="G15" s="589"/>
    </row>
    <row r="16" spans="1:8">
      <c r="A16">
        <f t="shared" si="0"/>
        <v>7</v>
      </c>
      <c r="B16" s="289" t="s">
        <v>432</v>
      </c>
      <c r="C16" s="285"/>
      <c r="D16" s="524">
        <v>0</v>
      </c>
      <c r="E16" s="668"/>
      <c r="F16" s="2"/>
      <c r="G16" s="588"/>
    </row>
    <row r="17" spans="1:8">
      <c r="A17">
        <f t="shared" si="0"/>
        <v>8</v>
      </c>
      <c r="B17" s="289" t="s">
        <v>433</v>
      </c>
      <c r="C17" s="514"/>
      <c r="D17" s="519">
        <v>0</v>
      </c>
      <c r="E17" s="668"/>
      <c r="F17" s="2"/>
      <c r="G17" s="590"/>
    </row>
    <row r="18" spans="1:8">
      <c r="A18">
        <f t="shared" si="0"/>
        <v>9</v>
      </c>
      <c r="B18" s="289" t="s">
        <v>434</v>
      </c>
      <c r="C18" s="287"/>
      <c r="D18" s="519">
        <v>4427009.45</v>
      </c>
      <c r="E18" s="668"/>
      <c r="F18" s="2"/>
    </row>
    <row r="19" spans="1:8">
      <c r="A19">
        <f t="shared" si="0"/>
        <v>10</v>
      </c>
      <c r="B19" s="289" t="s">
        <v>435</v>
      </c>
      <c r="C19" s="506"/>
      <c r="D19" s="519">
        <v>0</v>
      </c>
      <c r="E19" s="668"/>
      <c r="F19" s="2"/>
    </row>
    <row r="20" spans="1:8">
      <c r="B20" s="289"/>
      <c r="D20" s="529"/>
      <c r="E20" s="668"/>
      <c r="F20" s="2"/>
    </row>
    <row r="21" spans="1:8">
      <c r="A21">
        <f>+A19+1</f>
        <v>11</v>
      </c>
      <c r="B21" s="289" t="s">
        <v>566</v>
      </c>
      <c r="C21" s="515" t="s">
        <v>517</v>
      </c>
      <c r="D21" s="527">
        <f>SUM(D12:D20)+D8</f>
        <v>8149383.2599999998</v>
      </c>
      <c r="E21" s="528"/>
      <c r="F21" s="2"/>
    </row>
    <row r="22" spans="1:8">
      <c r="A22" s="2">
        <v>12</v>
      </c>
      <c r="B22" s="646" t="s">
        <v>610</v>
      </c>
      <c r="C22" s="287"/>
      <c r="D22" s="528">
        <f>+D39</f>
        <v>-707898.77642691147</v>
      </c>
      <c r="E22" s="528"/>
      <c r="F22" s="2"/>
    </row>
    <row r="23" spans="1:8">
      <c r="A23" s="2">
        <v>13</v>
      </c>
      <c r="B23" s="646" t="s">
        <v>522</v>
      </c>
      <c r="C23" s="287"/>
      <c r="D23" s="528">
        <f>+D21+D22</f>
        <v>7441484.4835730884</v>
      </c>
      <c r="E23" s="528"/>
      <c r="F23" s="2"/>
    </row>
    <row r="24" spans="1:8">
      <c r="A24" s="2"/>
      <c r="C24" s="2"/>
      <c r="D24" s="528"/>
      <c r="E24" s="528"/>
      <c r="F24" s="2"/>
    </row>
    <row r="25" spans="1:8">
      <c r="B25" s="289"/>
      <c r="D25" s="528"/>
      <c r="E25" s="528"/>
      <c r="F25" s="2"/>
    </row>
    <row r="26" spans="1:8">
      <c r="B26" s="289"/>
      <c r="D26" s="528"/>
      <c r="E26" s="528"/>
      <c r="F26" s="2"/>
    </row>
    <row r="27" spans="1:8">
      <c r="B27" s="513" t="s">
        <v>486</v>
      </c>
      <c r="D27" s="529"/>
      <c r="E27" s="529"/>
      <c r="F27" s="2"/>
    </row>
    <row r="28" spans="1:8" ht="67.5" customHeight="1">
      <c r="A28" s="687">
        <v>14</v>
      </c>
      <c r="B28" s="688" t="s">
        <v>464</v>
      </c>
      <c r="D28" s="528"/>
      <c r="E28" s="528"/>
      <c r="F28" s="2"/>
    </row>
    <row r="29" spans="1:8">
      <c r="A29" s="517"/>
      <c r="B29" s="289"/>
      <c r="E29" s="528"/>
      <c r="F29" s="2"/>
    </row>
    <row r="30" spans="1:8" ht="51">
      <c r="A30" s="517">
        <v>15</v>
      </c>
      <c r="B30" s="288" t="s">
        <v>470</v>
      </c>
      <c r="D30" s="290"/>
      <c r="E30" s="590"/>
      <c r="F30" s="2"/>
    </row>
    <row r="31" spans="1:8">
      <c r="A31" s="517"/>
      <c r="B31" s="289"/>
      <c r="E31" s="528"/>
      <c r="F31" s="2"/>
    </row>
    <row r="32" spans="1:8" ht="165.75">
      <c r="A32" s="669">
        <v>16</v>
      </c>
      <c r="B32" s="647" t="s">
        <v>467</v>
      </c>
      <c r="C32" s="648"/>
      <c r="D32" s="651"/>
      <c r="E32" s="651"/>
      <c r="F32" s="652"/>
      <c r="G32" s="652"/>
      <c r="H32" s="323"/>
    </row>
    <row r="33" spans="1:7" ht="15.75">
      <c r="A33" s="669" t="s">
        <v>594</v>
      </c>
      <c r="B33" s="647" t="s">
        <v>463</v>
      </c>
      <c r="C33" s="648"/>
      <c r="D33" s="659">
        <f>+D7+D17+D19</f>
        <v>1007245.38</v>
      </c>
      <c r="E33" s="649"/>
      <c r="F33" s="652"/>
      <c r="G33" s="652"/>
    </row>
    <row r="34" spans="1:7" ht="16.5">
      <c r="A34" s="669" t="s">
        <v>595</v>
      </c>
      <c r="B34" s="647" t="s">
        <v>607</v>
      </c>
      <c r="C34" s="1148" t="s">
        <v>586</v>
      </c>
      <c r="D34" s="839">
        <f>'5 - Cost Support 1'!E218</f>
        <v>408552.17285382294</v>
      </c>
      <c r="E34" s="837"/>
      <c r="F34" s="652"/>
      <c r="G34" s="652"/>
    </row>
    <row r="35" spans="1:7" ht="15.75">
      <c r="A35" s="669" t="s">
        <v>596</v>
      </c>
      <c r="B35" s="647" t="s">
        <v>559</v>
      </c>
      <c r="C35" s="648"/>
      <c r="D35" s="649">
        <f>+D33-D34</f>
        <v>598693.20714617707</v>
      </c>
      <c r="E35" s="649"/>
      <c r="F35" s="652"/>
      <c r="G35" s="652"/>
    </row>
    <row r="36" spans="1:7" ht="15.75">
      <c r="A36" s="669" t="s">
        <v>597</v>
      </c>
      <c r="B36" s="647" t="s">
        <v>560</v>
      </c>
      <c r="C36" s="648"/>
      <c r="D36" s="649">
        <f>+D35/2</f>
        <v>299346.60357308853</v>
      </c>
      <c r="E36" s="838"/>
      <c r="F36" s="652"/>
      <c r="G36" s="652"/>
    </row>
    <row r="37" spans="1:7" ht="38.25">
      <c r="A37" s="669" t="s">
        <v>598</v>
      </c>
      <c r="B37" s="647" t="s">
        <v>24</v>
      </c>
      <c r="C37" s="648"/>
      <c r="D37" s="659">
        <v>0</v>
      </c>
      <c r="E37" s="649"/>
      <c r="F37" s="652"/>
      <c r="G37" s="652"/>
    </row>
    <row r="38" spans="1:7" ht="15.75">
      <c r="A38" s="669" t="s">
        <v>599</v>
      </c>
      <c r="B38" s="658" t="s">
        <v>561</v>
      </c>
      <c r="C38" s="652"/>
      <c r="D38" s="650">
        <f>+D36+D37</f>
        <v>299346.60357308853</v>
      </c>
      <c r="E38" s="650"/>
      <c r="F38" s="652"/>
      <c r="G38" s="652"/>
    </row>
    <row r="39" spans="1:7" ht="15.75">
      <c r="A39" s="669" t="s">
        <v>609</v>
      </c>
      <c r="B39" s="658" t="s">
        <v>606</v>
      </c>
      <c r="C39" s="652"/>
      <c r="D39" s="650">
        <f>+D38-D33</f>
        <v>-707898.77642691147</v>
      </c>
      <c r="E39" s="650"/>
      <c r="F39" s="652"/>
      <c r="G39" s="652"/>
    </row>
    <row r="40" spans="1:7" ht="69.75" customHeight="1">
      <c r="A40" s="689">
        <v>18</v>
      </c>
      <c r="B40" s="501" t="s">
        <v>192</v>
      </c>
      <c r="D40" s="690">
        <f>138601113-D42-D21</f>
        <v>4551838.6399999913</v>
      </c>
      <c r="E40" s="725"/>
      <c r="F40" s="2"/>
    </row>
    <row r="41" spans="1:7">
      <c r="E41" s="528"/>
      <c r="F41" s="2"/>
    </row>
    <row r="42" spans="1:7">
      <c r="A42">
        <v>19</v>
      </c>
      <c r="B42" t="s">
        <v>38</v>
      </c>
      <c r="D42" s="527">
        <v>125899891.10000001</v>
      </c>
      <c r="E42" s="528"/>
      <c r="F42" s="2"/>
    </row>
    <row r="43" spans="1:7">
      <c r="D43" s="530"/>
      <c r="E43" s="529"/>
      <c r="F43" s="2"/>
    </row>
    <row r="44" spans="1:7" s="510" customFormat="1">
      <c r="A44">
        <v>20</v>
      </c>
      <c r="B44" s="287" t="s">
        <v>449</v>
      </c>
      <c r="C44" s="287"/>
      <c r="D44" s="558">
        <f>+D21+D28+D40+D42</f>
        <v>138601113</v>
      </c>
      <c r="F44" s="855"/>
    </row>
    <row r="45" spans="1:7">
      <c r="A45" s="284">
        <v>21</v>
      </c>
      <c r="B45" s="287" t="s">
        <v>642</v>
      </c>
      <c r="D45" s="530"/>
      <c r="E45" s="668"/>
      <c r="F45" s="2"/>
    </row>
    <row r="46" spans="1:7" s="510" customFormat="1">
      <c r="A46" s="582"/>
      <c r="B46" s="287"/>
      <c r="C46"/>
      <c r="D46" s="518"/>
      <c r="E46" s="722"/>
      <c r="F46" s="582"/>
    </row>
    <row r="47" spans="1:7">
      <c r="A47" s="2"/>
      <c r="B47" s="287"/>
      <c r="C47" s="2"/>
      <c r="D47" s="528"/>
      <c r="E47" s="668"/>
      <c r="F47" s="2"/>
    </row>
    <row r="48" spans="1:7">
      <c r="B48" s="713"/>
      <c r="D48" s="723"/>
      <c r="E48" s="712"/>
      <c r="F48" s="988"/>
    </row>
    <row r="49" spans="5:6">
      <c r="E49" s="667"/>
      <c r="F49" s="988"/>
    </row>
    <row r="50" spans="5:6">
      <c r="E50" s="712"/>
      <c r="F50" s="988"/>
    </row>
    <row r="51" spans="5:6">
      <c r="E51" s="667"/>
      <c r="F51" s="989"/>
    </row>
    <row r="52" spans="5:6">
      <c r="E52" s="667"/>
      <c r="F52" s="988"/>
    </row>
    <row r="53" spans="5:6">
      <c r="E53" s="667"/>
    </row>
    <row r="54" spans="5:6">
      <c r="E54" s="667"/>
    </row>
    <row r="55" spans="5:6">
      <c r="E55" s="667"/>
    </row>
    <row r="56" spans="5:6">
      <c r="E56" s="667"/>
    </row>
    <row r="57" spans="5:6">
      <c r="E57" s="667"/>
    </row>
    <row r="58" spans="5:6">
      <c r="E58" s="667"/>
    </row>
    <row r="59" spans="5:6">
      <c r="E59" s="667"/>
    </row>
    <row r="60" spans="5:6">
      <c r="E60" s="667"/>
    </row>
    <row r="61" spans="5:6">
      <c r="E61" s="667"/>
    </row>
    <row r="62" spans="5:6">
      <c r="E62" s="667"/>
    </row>
    <row r="63" spans="5:6">
      <c r="E63" s="667"/>
    </row>
    <row r="64" spans="5:6">
      <c r="E64" s="667"/>
    </row>
    <row r="65" spans="5:5">
      <c r="E65" s="667"/>
    </row>
    <row r="66" spans="5:5">
      <c r="E66" s="667"/>
    </row>
    <row r="67" spans="5:5">
      <c r="E67" s="667"/>
    </row>
    <row r="68" spans="5:5">
      <c r="E68" s="667"/>
    </row>
  </sheetData>
  <customSheetViews>
    <customSheetView guid="{DD59B418-F201-4517-876C-F4216587CC56}" showPageBreaks="1" fitToPage="1" printArea="1" showRuler="0">
      <selection activeCell="B31" sqref="B31"/>
      <pageMargins left="0.5" right="0.5" top="1" bottom="1" header="0.5" footer="0.5"/>
      <pageSetup scale="68" orientation="portrait" r:id="rId1"/>
      <headerFooter alignWithMargins="0"/>
    </customSheetView>
    <customSheetView guid="{6FDC2004-56D4-4E4C-BEEF-80DB64AD0DBB}" scale="60" showPageBreaks="1" fitToPage="1" printArea="1" view="pageBreakPreview" showRuler="0" topLeftCell="A46">
      <selection activeCell="B25" sqref="B25"/>
      <pageMargins left="0.5" right="0.5" top="1" bottom="1" header="0.5" footer="0.5"/>
      <pageSetup scale="68" orientation="portrait" r:id="rId2"/>
      <headerFooter alignWithMargins="0">
        <oddHeader>&amp;R&amp;12Page &amp;P of &amp;N</oddHeader>
      </headerFooter>
    </customSheetView>
    <customSheetView guid="{4F5BB44A-5460-4358-BCFE-B7FB945BAE1D}" showPageBreaks="1" fitToPage="1" printArea="1" showRuler="0" topLeftCell="A31">
      <selection activeCell="C33" sqref="C33"/>
      <pageMargins left="0.5" right="0.5" top="1" bottom="1" header="0.5" footer="0.5"/>
      <pageSetup scale="71" orientation="portrait" r:id="rId3"/>
      <headerFooter alignWithMargins="0">
        <oddHeader>&amp;R&amp;12Page &amp;P of &amp;N</oddHeader>
      </headerFooter>
    </customSheetView>
    <customSheetView guid="{C0EA0F9F-7310-4201-82C9-7B8FC8DB9137}" showPageBreaks="1" fitToPage="1" printArea="1" showRuler="0" topLeftCell="A26">
      <selection activeCell="C32" sqref="C32"/>
      <pageMargins left="0.5" right="0.5" top="1" bottom="1" header="0.5" footer="0.5"/>
      <pageSetup scale="71" orientation="portrait" r:id="rId4"/>
      <headerFooter alignWithMargins="0">
        <oddHeader>&amp;R&amp;14Page &amp;P of &amp;N</oddHeader>
      </headerFooter>
    </customSheetView>
    <customSheetView guid="{3BDD6235-B127-4929-8311-BDAF7BB89818}" showPageBreaks="1" fitToPage="1" printArea="1" showRuler="0">
      <selection sqref="A1:D1"/>
      <pageMargins left="0.5" right="0.5" top="1" bottom="1" header="0.5" footer="0.5"/>
      <pageSetup scale="68" orientation="portrait" r:id="rId5"/>
      <headerFooter alignWithMargins="0">
        <oddHeader>&amp;R&amp;12Page &amp;P of &amp;N</oddHeader>
      </headerFooter>
    </customSheetView>
    <customSheetView guid="{4C8E812F-DAB5-4C49-9682-E5A34DC8C1B4}" showPageBreaks="1" fitToPage="1" printArea="1" showRuler="0" topLeftCell="A12">
      <selection activeCell="B28" sqref="B28"/>
      <pageMargins left="0.5" right="0.5" top="1" bottom="1" header="0.5" footer="0.5"/>
      <pageSetup scale="71" orientation="portrait" r:id="rId6"/>
      <headerFooter alignWithMargins="0">
        <oddHeader>&amp;R&amp;12Page &amp;P of &amp;N</oddHeader>
      </headerFooter>
    </customSheetView>
  </customSheetViews>
  <mergeCells count="2">
    <mergeCell ref="A3:D3"/>
    <mergeCell ref="A1:D1"/>
  </mergeCells>
  <phoneticPr fontId="0" type="noConversion"/>
  <pageMargins left="0.5" right="0.5" top="1" bottom="1" header="0.5" footer="0.5"/>
  <pageSetup scale="67" orientation="portrait"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309"/>
  <sheetViews>
    <sheetView zoomScale="75" zoomScaleNormal="50" zoomScaleSheetLayoutView="66" workbookViewId="0">
      <selection sqref="A1:H1"/>
    </sheetView>
  </sheetViews>
  <sheetFormatPr defaultRowHeight="12.75"/>
  <cols>
    <col min="1" max="1" width="9.28515625" customWidth="1"/>
    <col min="2" max="2" width="3" customWidth="1"/>
    <col min="3" max="3" width="14" customWidth="1"/>
    <col min="4" max="4" width="2.42578125" customWidth="1"/>
    <col min="5" max="5" width="38.7109375" customWidth="1"/>
    <col min="6" max="6" width="28.42578125" customWidth="1"/>
    <col min="7" max="7" width="34.28515625" customWidth="1"/>
    <col min="8" max="8" width="3.85546875" customWidth="1"/>
    <col min="9" max="9" width="18" customWidth="1"/>
  </cols>
  <sheetData>
    <row r="1" spans="1:9" ht="18">
      <c r="A1" s="1185" t="str">
        <f>+'ATT H-3D'!A4</f>
        <v>Delmarva Power &amp; Light Company</v>
      </c>
      <c r="B1" s="1185"/>
      <c r="C1" s="1185"/>
      <c r="D1" s="1185"/>
      <c r="E1" s="1185"/>
      <c r="F1" s="1185"/>
      <c r="G1" s="1185"/>
      <c r="H1" s="1185"/>
    </row>
    <row r="2" spans="1:9" ht="18">
      <c r="A2" s="305"/>
      <c r="B2" s="494"/>
      <c r="C2" s="494"/>
      <c r="D2" s="494"/>
      <c r="E2" s="494"/>
      <c r="F2" s="494"/>
      <c r="G2" s="494"/>
      <c r="H2" s="494"/>
    </row>
    <row r="3" spans="1:9" ht="18">
      <c r="A3" s="1188" t="s">
        <v>471</v>
      </c>
      <c r="B3" s="1188"/>
      <c r="C3" s="1188"/>
      <c r="D3" s="1188"/>
      <c r="E3" s="1188"/>
      <c r="F3" s="1188"/>
      <c r="G3" s="1188"/>
      <c r="H3" s="1188"/>
      <c r="I3" s="319"/>
    </row>
    <row r="5" spans="1:9" s="58" customFormat="1" ht="15">
      <c r="B5" s="305"/>
    </row>
    <row r="6" spans="1:9" s="58" customFormat="1" ht="15"/>
    <row r="7" spans="1:9" s="58" customFormat="1" ht="15"/>
    <row r="8" spans="1:9" s="58" customFormat="1" ht="15">
      <c r="C8" s="58" t="s">
        <v>472</v>
      </c>
    </row>
    <row r="9" spans="1:9" s="58" customFormat="1" ht="15">
      <c r="A9" s="115" t="s">
        <v>68</v>
      </c>
      <c r="B9" s="115"/>
      <c r="E9" s="58" t="s">
        <v>473</v>
      </c>
      <c r="G9" s="64" t="s">
        <v>542</v>
      </c>
      <c r="I9" s="190">
        <f>+I55+I76</f>
        <v>76583858.397609949</v>
      </c>
    </row>
    <row r="10" spans="1:9" s="58" customFormat="1" ht="15">
      <c r="A10" s="115"/>
      <c r="B10" s="115"/>
    </row>
    <row r="11" spans="1:9" s="58" customFormat="1" ht="15">
      <c r="A11" s="115" t="s">
        <v>182</v>
      </c>
      <c r="B11" s="115"/>
      <c r="E11" s="58" t="str">
        <f>I11*10000&amp;" Basis Point increase in ROE"</f>
        <v>100 Basis Point increase in ROE</v>
      </c>
      <c r="I11" s="322">
        <v>0.01</v>
      </c>
    </row>
    <row r="12" spans="1:9" s="58" customFormat="1" ht="15">
      <c r="A12" s="115"/>
      <c r="B12" s="115"/>
      <c r="I12" s="322"/>
    </row>
    <row r="13" spans="1:9" s="64" customFormat="1" ht="15">
      <c r="A13" s="115"/>
      <c r="B13" s="115"/>
      <c r="C13" s="58"/>
      <c r="D13" s="58"/>
      <c r="E13" s="58"/>
      <c r="F13" s="58"/>
      <c r="G13" s="58"/>
      <c r="H13" s="58"/>
    </row>
    <row r="14" spans="1:9" s="64" customFormat="1" ht="15.75">
      <c r="A14" s="479" t="s">
        <v>396</v>
      </c>
      <c r="B14" s="157"/>
      <c r="C14" s="157"/>
      <c r="D14" s="157"/>
      <c r="E14" s="157"/>
      <c r="F14" s="157"/>
      <c r="G14" s="157"/>
      <c r="H14" s="157"/>
      <c r="I14" s="157"/>
    </row>
    <row r="15" spans="1:9" s="58" customFormat="1" ht="15">
      <c r="I15" s="319"/>
    </row>
    <row r="16" spans="1:9" s="58" customFormat="1" ht="15">
      <c r="A16" s="115">
        <f>+'ATT H-3D'!A109</f>
        <v>59</v>
      </c>
      <c r="C16" s="83" t="str">
        <f>+'ATT H-3D'!B109</f>
        <v>Rate Base</v>
      </c>
      <c r="D16" s="83"/>
      <c r="E16" s="83"/>
      <c r="G16" s="83" t="str">
        <f>+'ATT H-3D'!F109</f>
        <v>(Line 39 + 58)</v>
      </c>
      <c r="I16" s="190">
        <f>+'ATT H-3D'!H109</f>
        <v>662609382.83671069</v>
      </c>
    </row>
    <row r="17" spans="1:9" s="58" customFormat="1" ht="15">
      <c r="H17" s="83"/>
      <c r="I17" s="319"/>
    </row>
    <row r="18" spans="1:9" s="58" customFormat="1" ht="15.75">
      <c r="A18" s="31"/>
      <c r="B18" s="106" t="str">
        <f>+'ATT H-3D'!B178</f>
        <v>Long Term Interest</v>
      </c>
      <c r="C18" s="34"/>
      <c r="D18" s="34"/>
      <c r="E18" s="41"/>
      <c r="F18" s="22"/>
      <c r="H18" s="27"/>
    </row>
    <row r="19" spans="1:9" s="58" customFormat="1" ht="15.75">
      <c r="A19" s="31">
        <f>+'ATT H-3D'!A179</f>
        <v>100</v>
      </c>
      <c r="B19" s="106"/>
      <c r="C19" s="34" t="str">
        <f>+'ATT H-3D'!C179</f>
        <v>Long Term Interest</v>
      </c>
      <c r="D19" s="34"/>
      <c r="E19" s="41"/>
      <c r="F19" s="22"/>
      <c r="G19" s="27" t="str">
        <f>+'ATT H-3D'!F179</f>
        <v>p117.62c through 67c</v>
      </c>
      <c r="H19" s="27"/>
      <c r="I19" s="50">
        <f>+'ATT H-3D'!H179</f>
        <v>50839789</v>
      </c>
    </row>
    <row r="20" spans="1:9" s="58" customFormat="1" ht="15">
      <c r="A20" s="31">
        <f>+'ATT H-3D'!A180</f>
        <v>101</v>
      </c>
      <c r="B20" s="98"/>
      <c r="C20" s="495" t="str">
        <f>+'ATT H-3D'!C180</f>
        <v xml:space="preserve">    Less LTD Interest on Securitization Bonds</v>
      </c>
      <c r="D20" s="495"/>
      <c r="E20" s="496"/>
      <c r="F20" s="577"/>
      <c r="G20" s="142" t="str">
        <f>+'ATT H-3D'!F180</f>
        <v>Attachment 8</v>
      </c>
      <c r="H20" s="140"/>
      <c r="I20" s="276">
        <f>+'ATT H-3D'!H180</f>
        <v>0</v>
      </c>
    </row>
    <row r="21" spans="1:9" s="58" customFormat="1" ht="15.75">
      <c r="A21" s="6">
        <f>+'ATT H-3D'!A181</f>
        <v>102</v>
      </c>
      <c r="B21" s="33"/>
      <c r="C21" s="106" t="str">
        <f>+'ATT H-3D'!C181</f>
        <v>Long Term Interest</v>
      </c>
      <c r="D21" s="106"/>
      <c r="E21" s="41"/>
      <c r="F21" s="233"/>
      <c r="G21" s="27" t="str">
        <f>+'ATT H-3D'!F181</f>
        <v>"(Line 100 - line 101)"</v>
      </c>
      <c r="H21" s="27"/>
      <c r="I21" s="27">
        <f>+'ATT H-3D'!H181</f>
        <v>50839789</v>
      </c>
    </row>
    <row r="22" spans="1:9" s="58" customFormat="1" ht="15">
      <c r="A22" s="6"/>
      <c r="B22" s="33"/>
      <c r="C22" s="5"/>
      <c r="D22" s="5"/>
      <c r="E22" s="11"/>
      <c r="F22" s="116"/>
      <c r="G22" s="11"/>
      <c r="H22" s="5"/>
      <c r="I22" s="5"/>
    </row>
    <row r="23" spans="1:9" s="58" customFormat="1" ht="15.75">
      <c r="A23" s="33">
        <f>+'ATT H-3D'!A183</f>
        <v>103</v>
      </c>
      <c r="B23" s="14" t="str">
        <f>+'ATT H-3D'!B183</f>
        <v>Preferred Dividends</v>
      </c>
      <c r="C23" s="34"/>
      <c r="D23" s="34"/>
      <c r="E23" s="11"/>
      <c r="F23" s="21" t="str">
        <f>+'ATT H-3D'!E183</f>
        <v xml:space="preserve"> enter positive</v>
      </c>
      <c r="G23" s="5" t="str">
        <f>+'ATT H-3D'!F183</f>
        <v>p118.29c</v>
      </c>
      <c r="H23" s="5"/>
      <c r="I23" s="159">
        <f>+'ATT H-3D'!H183</f>
        <v>0</v>
      </c>
    </row>
    <row r="24" spans="1:9" s="58" customFormat="1" ht="15">
      <c r="A24" s="6"/>
      <c r="B24" s="33"/>
      <c r="C24" s="3"/>
      <c r="D24" s="3"/>
      <c r="E24" s="11"/>
      <c r="F24" s="21"/>
      <c r="G24" s="5"/>
      <c r="H24" s="5"/>
      <c r="I24" s="5"/>
    </row>
    <row r="25" spans="1:9" s="58" customFormat="1" ht="15.75">
      <c r="A25" s="6"/>
      <c r="B25" s="15" t="str">
        <f>+'ATT H-3D'!B185</f>
        <v>Common Stock</v>
      </c>
      <c r="C25" s="34"/>
      <c r="D25" s="34"/>
      <c r="E25" s="11"/>
      <c r="F25" s="21"/>
      <c r="G25" s="5"/>
      <c r="H25" s="5"/>
      <c r="I25" s="5"/>
    </row>
    <row r="26" spans="1:9" s="58" customFormat="1" ht="15">
      <c r="A26" s="6">
        <f>+'ATT H-3D'!A186</f>
        <v>104</v>
      </c>
      <c r="B26" s="33"/>
      <c r="C26" s="5" t="str">
        <f>+'ATT H-3D'!C186</f>
        <v>Proprietary Capital</v>
      </c>
      <c r="D26" s="5"/>
      <c r="E26" s="5"/>
      <c r="F26" s="21"/>
      <c r="G26" s="5" t="str">
        <f>+'ATT H-3D'!F186</f>
        <v>p112.16c</v>
      </c>
      <c r="H26" s="5"/>
      <c r="I26" s="10">
        <f>+'ATT H-3D'!H186</f>
        <v>1227904110</v>
      </c>
    </row>
    <row r="27" spans="1:9" s="58" customFormat="1" ht="15">
      <c r="A27" s="31">
        <f>+'ATT H-3D'!A187</f>
        <v>105</v>
      </c>
      <c r="B27" s="98"/>
      <c r="C27" s="12" t="str">
        <f>+'ATT H-3D'!C187</f>
        <v xml:space="preserve">    Less Preferred Stock</v>
      </c>
      <c r="D27" s="12"/>
      <c r="E27" s="12"/>
      <c r="F27" s="30" t="str">
        <f>+'ATT H-3D'!E187</f>
        <v>enter negative</v>
      </c>
      <c r="G27" s="77" t="str">
        <f>+'ATT H-3D'!F187</f>
        <v>(Line 114)</v>
      </c>
      <c r="H27" s="5"/>
      <c r="I27" s="12">
        <f>+'ATT H-3D'!H187</f>
        <v>0</v>
      </c>
    </row>
    <row r="28" spans="1:9" s="58" customFormat="1" ht="15">
      <c r="A28" s="6">
        <f>+'ATT H-3D'!A188</f>
        <v>106</v>
      </c>
      <c r="B28" s="98"/>
      <c r="C28" s="142" t="str">
        <f>+'ATT H-3D'!C188</f>
        <v xml:space="preserve">    Less Account 216.1</v>
      </c>
      <c r="D28" s="142"/>
      <c r="E28" s="142"/>
      <c r="F28" s="256" t="str">
        <f>+'ATT H-3D'!E188</f>
        <v>enter negative</v>
      </c>
      <c r="G28" s="142" t="str">
        <f>+'ATT H-3D'!F188</f>
        <v>p112.12c</v>
      </c>
      <c r="H28" s="140"/>
      <c r="I28" s="143">
        <f>+'ATT H-3D'!H188</f>
        <v>2177779</v>
      </c>
    </row>
    <row r="29" spans="1:9" s="58" customFormat="1" ht="15.75">
      <c r="A29" s="6">
        <f>+'ATT H-3D'!A189</f>
        <v>107</v>
      </c>
      <c r="B29" s="98"/>
      <c r="C29" s="165" t="str">
        <f>+'ATT H-3D'!C189</f>
        <v>Common Stock</v>
      </c>
      <c r="D29" s="165"/>
      <c r="E29" s="49"/>
      <c r="F29" s="215"/>
      <c r="G29" s="27" t="str">
        <f>+'ATT H-3D'!F189</f>
        <v>(Sum Lines 104 to 106)</v>
      </c>
      <c r="H29" s="160"/>
      <c r="I29" s="5">
        <f>+'ATT H-3D'!H189</f>
        <v>1230081889</v>
      </c>
    </row>
    <row r="30" spans="1:9" s="58" customFormat="1" ht="15">
      <c r="A30" s="6"/>
      <c r="B30" s="33"/>
      <c r="C30" s="3"/>
      <c r="D30" s="3"/>
      <c r="E30" s="11"/>
      <c r="F30" s="21"/>
      <c r="G30" s="5"/>
      <c r="H30" s="34"/>
      <c r="I30" s="5"/>
    </row>
    <row r="31" spans="1:9" s="58" customFormat="1" ht="15.75">
      <c r="A31" s="6"/>
      <c r="B31" s="15" t="str">
        <f>+'ATT H-3D'!B191</f>
        <v>Capitalization</v>
      </c>
      <c r="C31" s="34"/>
      <c r="D31" s="34"/>
      <c r="E31" s="11"/>
      <c r="F31" s="21"/>
      <c r="G31" s="5"/>
      <c r="H31" s="34"/>
      <c r="I31" s="5"/>
    </row>
    <row r="32" spans="1:9" s="58" customFormat="1" ht="15">
      <c r="A32" s="6">
        <f>+'ATT H-3D'!A192</f>
        <v>108</v>
      </c>
      <c r="B32" s="33"/>
      <c r="C32" s="3" t="str">
        <f>+'ATT H-3D'!C192</f>
        <v>Long Term Debt</v>
      </c>
      <c r="D32" s="3"/>
      <c r="E32" s="11"/>
      <c r="F32" s="6"/>
      <c r="G32" s="3" t="str">
        <f>+'ATT H-3D'!F192</f>
        <v>p112.17c through 21c</v>
      </c>
      <c r="H32" s="34"/>
      <c r="I32" s="10">
        <f>+'ATT H-3D'!H192</f>
        <v>1273230000</v>
      </c>
    </row>
    <row r="33" spans="1:9" s="58" customFormat="1" ht="15">
      <c r="A33" s="31">
        <f>+'ATT H-3D'!A193</f>
        <v>109</v>
      </c>
      <c r="B33" s="33"/>
      <c r="C33" s="3" t="str">
        <f>+'ATT H-3D'!C193</f>
        <v xml:space="preserve">      Less Loss on Reacquired Debt </v>
      </c>
      <c r="D33" s="3"/>
      <c r="E33" s="11"/>
      <c r="F33" s="21" t="str">
        <f>+'ATT H-3D'!E193</f>
        <v>enter negative</v>
      </c>
      <c r="G33" s="28" t="str">
        <f>+'ATT H-3D'!F193</f>
        <v>p111.81c</v>
      </c>
      <c r="H33" s="34"/>
      <c r="I33" s="10">
        <f>+'ATT H-3D'!H193</f>
        <v>-10083973</v>
      </c>
    </row>
    <row r="34" spans="1:9" s="58" customFormat="1" ht="15">
      <c r="A34" s="31">
        <f>+'ATT H-3D'!A194</f>
        <v>110</v>
      </c>
      <c r="B34" s="33"/>
      <c r="C34" s="3" t="str">
        <f>+'ATT H-3D'!C194</f>
        <v xml:space="preserve">      Plus Gain on Reacquired Debt</v>
      </c>
      <c r="D34" s="3"/>
      <c r="E34" s="11"/>
      <c r="F34" s="6" t="str">
        <f>+'ATT H-3D'!E194</f>
        <v>enter positive</v>
      </c>
      <c r="G34" s="54" t="str">
        <f>+'ATT H-3D'!F194</f>
        <v>p113.61c</v>
      </c>
      <c r="H34" s="34"/>
      <c r="I34" s="10">
        <f>+'ATT H-3D'!H194</f>
        <v>0</v>
      </c>
    </row>
    <row r="35" spans="1:9" s="58" customFormat="1" ht="15">
      <c r="A35" s="31">
        <f>+A34+1</f>
        <v>111</v>
      </c>
      <c r="B35" s="98"/>
      <c r="C35" s="28" t="s">
        <v>571</v>
      </c>
      <c r="D35" s="28"/>
      <c r="E35" s="29"/>
      <c r="F35" s="30" t="str">
        <f>+F33</f>
        <v>enter negative</v>
      </c>
      <c r="G35" s="54" t="s">
        <v>495</v>
      </c>
      <c r="H35" s="63"/>
      <c r="I35" s="10">
        <f>'ATT H-3D'!H195</f>
        <v>4090231.9629676146</v>
      </c>
    </row>
    <row r="36" spans="1:9" s="58" customFormat="1" ht="15">
      <c r="A36" s="31">
        <f>+A35+1</f>
        <v>112</v>
      </c>
      <c r="B36" s="98"/>
      <c r="C36" s="497" t="str">
        <f>+'ATT H-3D'!C196</f>
        <v xml:space="preserve">      Less LTD on Securitization Bonds</v>
      </c>
      <c r="D36" s="497"/>
      <c r="E36" s="577"/>
      <c r="F36" s="30" t="str">
        <f>+'ATT H-3D'!E196</f>
        <v>enter negative</v>
      </c>
      <c r="G36" s="142" t="str">
        <f>+'ATT H-3D'!F196</f>
        <v>Attachment 8</v>
      </c>
      <c r="H36" s="63"/>
      <c r="I36" s="10">
        <f>+'ATT H-3D'!H196</f>
        <v>0</v>
      </c>
    </row>
    <row r="37" spans="1:9" s="58" customFormat="1" ht="15">
      <c r="A37" s="31">
        <f>+'ATT H-3D'!A197</f>
        <v>113</v>
      </c>
      <c r="B37" s="98"/>
      <c r="C37" s="55" t="str">
        <f>+'ATT H-3D'!C197</f>
        <v>Total Long Term Debt</v>
      </c>
      <c r="D37" s="55"/>
      <c r="E37" s="640"/>
      <c r="F37" s="216"/>
      <c r="G37" s="49" t="str">
        <f>+'ATT H-3D'!F197</f>
        <v>(Sum Lines Lines 108 to 112)</v>
      </c>
      <c r="H37" s="67"/>
      <c r="I37" s="70">
        <f>+'ATT H-3D'!H197</f>
        <v>1267236258.9629676</v>
      </c>
    </row>
    <row r="38" spans="1:9" s="58" customFormat="1" ht="15">
      <c r="A38" s="6">
        <f>+'ATT H-3D'!A198</f>
        <v>114</v>
      </c>
      <c r="B38" s="33"/>
      <c r="C38" s="3" t="str">
        <f>+'ATT H-3D'!C198</f>
        <v>Preferred Stock</v>
      </c>
      <c r="D38" s="3"/>
      <c r="E38" s="11"/>
      <c r="F38" s="6"/>
      <c r="G38" s="3" t="str">
        <f>+'ATT H-3D'!F198</f>
        <v>p112.3c</v>
      </c>
      <c r="H38" s="34"/>
      <c r="I38" s="10">
        <f>+'ATT H-3D'!H198</f>
        <v>0</v>
      </c>
    </row>
    <row r="39" spans="1:9" s="58" customFormat="1" ht="15">
      <c r="A39" s="6">
        <f>+'ATT H-3D'!A199</f>
        <v>115</v>
      </c>
      <c r="B39" s="33"/>
      <c r="C39" s="3" t="str">
        <f>+'ATT H-3D'!C199</f>
        <v>Common Stock</v>
      </c>
      <c r="D39" s="3"/>
      <c r="E39" s="34"/>
      <c r="F39" s="115"/>
      <c r="G39" s="140" t="str">
        <f>+'ATT H-3D'!F199</f>
        <v>(Line 107)</v>
      </c>
      <c r="H39" s="34"/>
      <c r="I39" s="27">
        <f>+'ATT H-3D'!H199</f>
        <v>1230081889</v>
      </c>
    </row>
    <row r="40" spans="1:9" s="58" customFormat="1" ht="15.75">
      <c r="A40" s="6">
        <f>+'ATT H-3D'!A200</f>
        <v>116</v>
      </c>
      <c r="B40" s="33"/>
      <c r="C40" s="45" t="str">
        <f>+'ATT H-3D'!C200</f>
        <v>Total  Capitalization</v>
      </c>
      <c r="D40" s="45"/>
      <c r="E40" s="72"/>
      <c r="F40" s="217"/>
      <c r="G40" s="27" t="str">
        <f>+'ATT H-3D'!F200</f>
        <v>(Sum Lines 113 to 115)</v>
      </c>
      <c r="H40" s="37"/>
      <c r="I40" s="37">
        <f>+'ATT H-3D'!H200</f>
        <v>2497318147.9629679</v>
      </c>
    </row>
    <row r="41" spans="1:9" s="58" customFormat="1" ht="15">
      <c r="A41" s="6"/>
      <c r="B41" s="33"/>
      <c r="C41" s="3"/>
      <c r="D41" s="3"/>
      <c r="E41" s="34"/>
      <c r="F41" s="115"/>
      <c r="H41" s="5"/>
      <c r="I41" s="21"/>
    </row>
    <row r="42" spans="1:9" s="58" customFormat="1" ht="15">
      <c r="A42" s="98">
        <f>+'ATT H-3D'!A202</f>
        <v>117</v>
      </c>
      <c r="B42" s="33"/>
      <c r="C42" s="201" t="str">
        <f>+'ATT H-3D'!C202</f>
        <v>Debt %</v>
      </c>
      <c r="D42" s="201"/>
      <c r="E42" s="54" t="str">
        <f>+'ATT H-3D'!D202</f>
        <v>Total Long Term Debt</v>
      </c>
      <c r="F42" s="115"/>
      <c r="G42" s="27" t="str">
        <f>+'ATT H-3D'!F202</f>
        <v>(Line 113 / 116)</v>
      </c>
      <c r="H42" s="5"/>
      <c r="I42" s="727">
        <f>IF(I40&gt;0,I37/I40,0)</f>
        <v>0.50743885395484623</v>
      </c>
    </row>
    <row r="43" spans="1:9" s="58" customFormat="1" ht="15">
      <c r="A43" s="31">
        <f>+'ATT H-3D'!A203</f>
        <v>118</v>
      </c>
      <c r="B43" s="33"/>
      <c r="C43" s="201" t="str">
        <f>+'ATT H-3D'!C203</f>
        <v>Preferred %</v>
      </c>
      <c r="D43" s="201"/>
      <c r="E43" s="3" t="str">
        <f>+'ATT H-3D'!D203</f>
        <v>Preferred Stock</v>
      </c>
      <c r="F43" s="115"/>
      <c r="G43" s="27" t="str">
        <f>+'ATT H-3D'!F203</f>
        <v>(Line 114 / 116)</v>
      </c>
      <c r="H43" s="5"/>
      <c r="I43" s="727">
        <f>IF(I40&gt;0,I38/I40,0)</f>
        <v>0</v>
      </c>
    </row>
    <row r="44" spans="1:9" s="58" customFormat="1" ht="15">
      <c r="A44" s="31">
        <f>+'ATT H-3D'!A204</f>
        <v>119</v>
      </c>
      <c r="B44" s="33"/>
      <c r="C44" s="201" t="str">
        <f>+'ATT H-3D'!C204</f>
        <v>Common %</v>
      </c>
      <c r="D44" s="201"/>
      <c r="E44" s="3" t="str">
        <f>+'ATT H-3D'!D204</f>
        <v>Common Stock</v>
      </c>
      <c r="F44" s="115"/>
      <c r="G44" s="27" t="str">
        <f>+'ATT H-3D'!F204</f>
        <v>(Line 115 / 116)</v>
      </c>
      <c r="H44" s="5"/>
      <c r="I44" s="727">
        <f>IF(I40&gt;0,I39/I40,0)</f>
        <v>0.49256114604515361</v>
      </c>
    </row>
    <row r="45" spans="1:9" s="58" customFormat="1" ht="15">
      <c r="A45" s="31"/>
      <c r="B45" s="33"/>
      <c r="C45" s="202"/>
      <c r="D45" s="202"/>
      <c r="E45" s="34"/>
      <c r="F45" s="115"/>
      <c r="G45" s="5"/>
      <c r="H45" s="5"/>
      <c r="I45" s="21"/>
    </row>
    <row r="46" spans="1:9" s="58" customFormat="1" ht="15">
      <c r="A46" s="98">
        <f>+'ATT H-3D'!A206</f>
        <v>120</v>
      </c>
      <c r="B46" s="33"/>
      <c r="C46" s="202" t="str">
        <f>+'ATT H-3D'!C206</f>
        <v>Debt Cost</v>
      </c>
      <c r="D46" s="202"/>
      <c r="E46" s="54" t="str">
        <f>+'ATT H-3D'!D206</f>
        <v>Total Long Term Debt</v>
      </c>
      <c r="F46" s="115"/>
      <c r="G46" s="27" t="str">
        <f>+'ATT H-3D'!F206</f>
        <v>(Line 102 / 113)</v>
      </c>
      <c r="H46" s="5"/>
      <c r="I46" s="23">
        <f>IF(I37&gt;0,I21/I37,0)</f>
        <v>4.0118635053580556E-2</v>
      </c>
    </row>
    <row r="47" spans="1:9" s="58" customFormat="1" ht="15">
      <c r="A47" s="31">
        <f>+'ATT H-3D'!A207</f>
        <v>121</v>
      </c>
      <c r="B47" s="33"/>
      <c r="C47" s="202" t="str">
        <f>+'ATT H-3D'!C207</f>
        <v>Preferred Cost</v>
      </c>
      <c r="D47" s="202"/>
      <c r="E47" s="3" t="str">
        <f>+'ATT H-3D'!D207</f>
        <v>Preferred Stock</v>
      </c>
      <c r="F47" s="115"/>
      <c r="G47" s="27" t="str">
        <f>+'ATT H-3D'!F207</f>
        <v>(Line 103 / 114)</v>
      </c>
      <c r="H47" s="5"/>
      <c r="I47" s="23">
        <f>IF(I38&gt;0,I23/I38,0)</f>
        <v>0</v>
      </c>
    </row>
    <row r="48" spans="1:9" s="58" customFormat="1" ht="15">
      <c r="A48" s="31">
        <f>+'ATT H-3D'!A208</f>
        <v>122</v>
      </c>
      <c r="B48" s="33"/>
      <c r="C48" s="202" t="str">
        <f>+'ATT H-3D'!C208</f>
        <v>Common Cost</v>
      </c>
      <c r="D48" s="202"/>
      <c r="E48" s="3" t="str">
        <f>+'ATT H-3D'!D208</f>
        <v>Common Stock</v>
      </c>
      <c r="F48" s="671" t="s">
        <v>468</v>
      </c>
      <c r="G48" s="660" t="s">
        <v>474</v>
      </c>
      <c r="H48" s="5"/>
      <c r="I48" s="686">
        <f>+'ATT H-3D'!H208+0.01</f>
        <v>0.11499999999999999</v>
      </c>
    </row>
    <row r="49" spans="1:9" s="58" customFormat="1" ht="15">
      <c r="A49" s="31"/>
      <c r="B49" s="33"/>
      <c r="C49" s="202"/>
      <c r="D49" s="202"/>
      <c r="E49" s="34"/>
      <c r="F49" s="115"/>
      <c r="G49" s="5"/>
      <c r="H49" s="5"/>
      <c r="I49" s="34"/>
    </row>
    <row r="50" spans="1:9" s="58" customFormat="1" ht="15">
      <c r="A50" s="98">
        <f>+'ATT H-3D'!A210</f>
        <v>123</v>
      </c>
      <c r="B50" s="33"/>
      <c r="C50" s="201" t="str">
        <f>+'ATT H-3D'!C210</f>
        <v>Weighted Cost of Debt</v>
      </c>
      <c r="D50" s="201"/>
      <c r="E50" s="54" t="str">
        <f>+'ATT H-3D'!D210</f>
        <v>Total Long Term Debt (WCLTD)</v>
      </c>
      <c r="F50" s="115"/>
      <c r="G50" s="27" t="str">
        <f>+'ATT H-3D'!F210</f>
        <v>(Line 117 * 120)</v>
      </c>
      <c r="H50" s="32"/>
      <c r="I50" s="23">
        <f>I46*I42</f>
        <v>2.0357754193821638E-2</v>
      </c>
    </row>
    <row r="51" spans="1:9" s="58" customFormat="1" ht="15">
      <c r="A51" s="31">
        <f>+'ATT H-3D'!A211</f>
        <v>124</v>
      </c>
      <c r="B51" s="33"/>
      <c r="C51" s="201" t="str">
        <f>+'ATT H-3D'!C211</f>
        <v>Weighted Cost of Preferred</v>
      </c>
      <c r="D51" s="201"/>
      <c r="E51" s="3" t="str">
        <f>+'ATT H-3D'!D211</f>
        <v>Preferred Stock</v>
      </c>
      <c r="F51" s="115"/>
      <c r="G51" s="27" t="str">
        <f>+'ATT H-3D'!F211</f>
        <v>(Line 118 * 121)</v>
      </c>
      <c r="H51" s="93"/>
      <c r="I51" s="23">
        <f>I47*I43</f>
        <v>0</v>
      </c>
    </row>
    <row r="52" spans="1:9" s="58" customFormat="1" ht="15">
      <c r="A52" s="31">
        <f>+'ATT H-3D'!A212</f>
        <v>125</v>
      </c>
      <c r="B52" s="204"/>
      <c r="C52" s="205" t="str">
        <f>+'ATT H-3D'!C212</f>
        <v>Weighted Cost of Common</v>
      </c>
      <c r="D52" s="205"/>
      <c r="E52" s="206" t="str">
        <f>+'ATT H-3D'!D212</f>
        <v>Common Stock</v>
      </c>
      <c r="F52" s="230"/>
      <c r="G52" s="140" t="str">
        <f>+'ATT H-3D'!F212</f>
        <v>(Line 119 * 122)</v>
      </c>
      <c r="H52" s="141"/>
      <c r="I52" s="207">
        <f>I48*I44</f>
        <v>5.664453179519266E-2</v>
      </c>
    </row>
    <row r="53" spans="1:9" s="58" customFormat="1" ht="15.75">
      <c r="A53" s="6">
        <f>+'ATT H-3D'!A213</f>
        <v>126</v>
      </c>
      <c r="B53" s="105" t="str">
        <f>+'ATT H-3D'!B213</f>
        <v>Total Return ( R )</v>
      </c>
      <c r="C53" s="105"/>
      <c r="D53" s="105"/>
      <c r="E53" s="161"/>
      <c r="F53" s="234"/>
      <c r="G53" s="27" t="str">
        <f>+'ATT H-3D'!F213</f>
        <v>(Sum Lines 123 to 125)</v>
      </c>
      <c r="H53" s="107"/>
      <c r="I53" s="97">
        <f>SUM(I50:I52)</f>
        <v>7.7002285989014291E-2</v>
      </c>
    </row>
    <row r="54" spans="1:9" s="58" customFormat="1" ht="15.75">
      <c r="A54" s="13"/>
      <c r="B54" s="13"/>
      <c r="C54" s="105"/>
      <c r="D54" s="105"/>
      <c r="E54" s="161"/>
      <c r="F54" s="234"/>
      <c r="G54" s="106"/>
      <c r="H54" s="107"/>
      <c r="I54" s="97"/>
    </row>
    <row r="55" spans="1:9" s="58" customFormat="1" ht="16.5" thickBot="1">
      <c r="A55" s="33">
        <f>+'ATT H-3D'!A215</f>
        <v>127</v>
      </c>
      <c r="B55" s="144" t="str">
        <f>+'ATT H-3D'!B215</f>
        <v>Investment Return = Rate Base * Rate of Return</v>
      </c>
      <c r="C55" s="139"/>
      <c r="D55" s="139"/>
      <c r="E55" s="137"/>
      <c r="F55" s="235"/>
      <c r="G55" s="48" t="str">
        <f>+'ATT H-3D'!F215</f>
        <v>(Line 59 * 126)</v>
      </c>
      <c r="H55" s="145"/>
      <c r="I55" s="48">
        <f>+I53*I16</f>
        <v>51022437.196196653</v>
      </c>
    </row>
    <row r="56" spans="1:9" s="58" customFormat="1" ht="15.75" thickTop="1">
      <c r="A56" s="31"/>
      <c r="B56" s="33"/>
      <c r="C56" s="3"/>
      <c r="D56" s="3"/>
      <c r="E56" s="34"/>
      <c r="F56" s="115"/>
      <c r="G56" s="5"/>
      <c r="H56" s="5"/>
      <c r="I56" s="49"/>
    </row>
    <row r="57" spans="1:9" s="58" customFormat="1" ht="15.75">
      <c r="A57" s="178" t="str">
        <f>'ATT H-3D'!A217</f>
        <v xml:space="preserve">Composite Income Taxes                                                                                                       </v>
      </c>
      <c r="B57" s="154"/>
      <c r="C57" s="155"/>
      <c r="D57" s="155"/>
      <c r="E57" s="156"/>
      <c r="F57" s="429"/>
      <c r="G57" s="157"/>
      <c r="H57" s="157"/>
      <c r="I57" s="600"/>
    </row>
    <row r="58" spans="1:9" s="58" customFormat="1" ht="15.75">
      <c r="A58" s="31"/>
      <c r="B58" s="33"/>
      <c r="C58" s="26"/>
      <c r="D58" s="26"/>
      <c r="E58" s="63"/>
      <c r="F58" s="21"/>
      <c r="G58" s="34"/>
      <c r="H58" s="34"/>
      <c r="I58" s="49"/>
    </row>
    <row r="59" spans="1:9" s="58" customFormat="1" ht="15.75">
      <c r="A59" s="31"/>
      <c r="B59" s="167" t="str">
        <f>'ATT H-3D'!B219</f>
        <v>Income Tax Rates</v>
      </c>
      <c r="C59" s="34"/>
      <c r="D59" s="34"/>
      <c r="E59" s="34"/>
      <c r="F59" s="21"/>
      <c r="G59" s="5"/>
      <c r="H59" s="18"/>
      <c r="I59" s="49"/>
    </row>
    <row r="60" spans="1:9" s="58" customFormat="1" ht="15">
      <c r="A60" s="31">
        <f>'ATT H-3D'!A220</f>
        <v>128</v>
      </c>
      <c r="B60" s="33"/>
      <c r="C60" s="34" t="str">
        <f>'ATT H-3D'!C220</f>
        <v>FIT=Federal Income Tax Rate</v>
      </c>
      <c r="D60" s="34"/>
      <c r="E60" s="608"/>
      <c r="F60" s="115"/>
      <c r="G60" s="34"/>
      <c r="H60" s="35"/>
      <c r="I60" s="344">
        <f>+'ATT H-3D'!H220</f>
        <v>0.35</v>
      </c>
    </row>
    <row r="61" spans="1:9" s="58" customFormat="1" ht="15">
      <c r="A61" s="31">
        <f>'ATT H-3D'!A221</f>
        <v>129</v>
      </c>
      <c r="B61" s="33"/>
      <c r="C61" s="35" t="str">
        <f>'ATT H-3D'!C221</f>
        <v>SIT=State Income Tax Rate or Composite</v>
      </c>
      <c r="D61" s="35"/>
      <c r="E61" s="193"/>
      <c r="F61" s="244"/>
      <c r="G61" s="34"/>
      <c r="H61" s="35"/>
      <c r="I61" s="344">
        <f>+'ATT H-3D'!H221</f>
        <v>8.5558999999999996E-2</v>
      </c>
    </row>
    <row r="62" spans="1:9" s="58" customFormat="1" ht="15">
      <c r="A62" s="31">
        <f>'ATT H-3D'!A222</f>
        <v>130</v>
      </c>
      <c r="B62" s="33"/>
      <c r="C62" s="35" t="str">
        <f>'ATT H-3D'!C222</f>
        <v>p</v>
      </c>
      <c r="D62" s="35"/>
      <c r="E62" s="35" t="str">
        <f>'ATT H-3D'!D222</f>
        <v>(percent of federal income tax deductible for state purposes)</v>
      </c>
      <c r="F62" s="115"/>
      <c r="G62" s="34" t="str">
        <f>'ATT H-3D'!F222</f>
        <v>Per State Tax Code</v>
      </c>
      <c r="H62" s="35"/>
      <c r="I62" s="344">
        <f>+'ATT H-3D'!H222</f>
        <v>0</v>
      </c>
    </row>
    <row r="63" spans="1:9" s="58" customFormat="1" ht="15">
      <c r="A63" s="31">
        <f>'ATT H-3D'!A223</f>
        <v>131</v>
      </c>
      <c r="B63" s="33"/>
      <c r="C63" s="35" t="str">
        <f>'ATT H-3D'!C223</f>
        <v>T</v>
      </c>
      <c r="D63" s="35"/>
      <c r="E63" s="17" t="str">
        <f>'ATT H-3D'!D223</f>
        <v xml:space="preserve">     T=1 - {[(1 - SIT) * (1 - FIT)] / (1 - SIT * FIT * p)} =</v>
      </c>
      <c r="F63" s="115"/>
      <c r="G63" s="34"/>
      <c r="H63" s="35"/>
      <c r="I63" s="344">
        <f>+'ATT H-3D'!H223</f>
        <v>0.40561334999999998</v>
      </c>
    </row>
    <row r="64" spans="1:9" s="58" customFormat="1" ht="15">
      <c r="A64" s="31">
        <f>'ATT H-3D'!A224</f>
        <v>132</v>
      </c>
      <c r="B64" s="33"/>
      <c r="C64" s="35" t="str">
        <f>'ATT H-3D'!C224</f>
        <v>T/ (1-T)</v>
      </c>
      <c r="D64" s="35"/>
      <c r="E64" s="24"/>
      <c r="F64" s="115"/>
      <c r="G64" s="34"/>
      <c r="H64" s="35"/>
      <c r="I64" s="344">
        <f>+'ATT H-3D'!H224</f>
        <v>0.68240656145288592</v>
      </c>
    </row>
    <row r="65" spans="1:9" s="58" customFormat="1" ht="15">
      <c r="A65" s="31"/>
      <c r="B65" s="33"/>
      <c r="C65" s="34"/>
      <c r="D65" s="34"/>
      <c r="E65" s="34"/>
      <c r="F65" s="16"/>
      <c r="G65" s="17"/>
      <c r="H65" s="18"/>
      <c r="I65" s="19"/>
    </row>
    <row r="66" spans="1:9" s="58" customFormat="1" ht="15.75">
      <c r="A66" s="31"/>
      <c r="B66" s="167" t="str">
        <f>'ATT H-3D'!B226</f>
        <v>ITC Adjustment</v>
      </c>
      <c r="C66" s="3"/>
      <c r="D66" s="3"/>
      <c r="E66" s="34"/>
      <c r="F66" s="244"/>
      <c r="G66" s="5"/>
      <c r="H66" s="18"/>
      <c r="I66" s="275"/>
    </row>
    <row r="67" spans="1:9" s="58" customFormat="1" ht="15">
      <c r="A67" s="31">
        <f>'ATT H-3D'!A227</f>
        <v>133</v>
      </c>
      <c r="B67" s="33"/>
      <c r="C67" s="28" t="str">
        <f>'ATT H-3D'!C227</f>
        <v>Amortized Investment Tax Credit</v>
      </c>
      <c r="D67" s="28"/>
      <c r="E67" s="34"/>
      <c r="F67" s="30" t="str">
        <f>'ATT H-3D'!E227</f>
        <v>enter negative</v>
      </c>
      <c r="G67" s="4" t="str">
        <f>'ATT H-3D'!F227</f>
        <v>Attachment 1</v>
      </c>
      <c r="H67" s="18"/>
      <c r="I67" s="678">
        <f>+'ATT H-3D'!H227</f>
        <v>-86997</v>
      </c>
    </row>
    <row r="68" spans="1:9" s="58" customFormat="1" ht="15">
      <c r="A68" s="31">
        <f>'ATT H-3D'!A228</f>
        <v>134</v>
      </c>
      <c r="B68" s="33"/>
      <c r="C68" s="3" t="str">
        <f>'ATT H-3D'!C228</f>
        <v>T/(1-T)</v>
      </c>
      <c r="D68" s="3"/>
      <c r="E68" s="34"/>
      <c r="F68" s="6"/>
      <c r="G68" s="27" t="str">
        <f>'ATT H-3D'!F228</f>
        <v>(Line 132)</v>
      </c>
      <c r="H68" s="18"/>
      <c r="I68" s="679">
        <f>+'ATT H-3D'!H228</f>
        <v>0.68240656145288592</v>
      </c>
    </row>
    <row r="69" spans="1:9" s="58" customFormat="1" ht="15.75">
      <c r="A69" s="31">
        <f>'ATT H-3D'!A229</f>
        <v>135</v>
      </c>
      <c r="B69" s="99"/>
      <c r="C69" s="118" t="str">
        <f>'ATT H-3D'!C229</f>
        <v>Net Plant Allocation Factor</v>
      </c>
      <c r="D69" s="118"/>
      <c r="E69" s="119"/>
      <c r="F69" s="204"/>
      <c r="G69" s="140" t="str">
        <f>'ATT H-3D'!F229</f>
        <v>(Line 18)</v>
      </c>
      <c r="H69" s="102"/>
      <c r="I69" s="162">
        <f>+'ATT H-3D'!H35</f>
        <v>0.35172204588946998</v>
      </c>
    </row>
    <row r="70" spans="1:9" s="58" customFormat="1" ht="15.75">
      <c r="A70" s="31">
        <f>'ATT H-3D'!A230</f>
        <v>136</v>
      </c>
      <c r="B70" s="33"/>
      <c r="C70" s="172" t="str">
        <f>'ATT H-3D'!C230</f>
        <v>ITC Adjustment Allocated to Transmission</v>
      </c>
      <c r="D70" s="172"/>
      <c r="E70" s="67"/>
      <c r="F70" s="670" t="s">
        <v>469</v>
      </c>
      <c r="G70" s="27" t="str">
        <f>'ATT H-3D'!F230</f>
        <v>(Line 133 * (1 + 134) * 135)</v>
      </c>
      <c r="H70" s="104"/>
      <c r="I70" s="91">
        <f>+I67*(1+I68)*I69</f>
        <v>-51479.559351217293</v>
      </c>
    </row>
    <row r="71" spans="1:9" s="58" customFormat="1" ht="15.75">
      <c r="A71" s="31"/>
      <c r="B71" s="33"/>
      <c r="C71" s="198"/>
      <c r="D71" s="198"/>
      <c r="E71" s="101"/>
      <c r="F71" s="281"/>
      <c r="G71" s="278"/>
      <c r="H71" s="102"/>
      <c r="I71" s="279"/>
    </row>
    <row r="72" spans="1:9" s="58" customFormat="1" ht="15.75">
      <c r="A72" s="31"/>
      <c r="B72" s="33"/>
      <c r="C72" s="198"/>
      <c r="D72" s="198"/>
      <c r="E72" s="101"/>
      <c r="F72" s="281"/>
      <c r="G72" s="278"/>
      <c r="H72" s="102"/>
      <c r="I72" s="280"/>
    </row>
    <row r="73" spans="1:9" ht="15.75">
      <c r="A73" s="31"/>
      <c r="B73" s="33"/>
      <c r="C73" s="34"/>
      <c r="D73" s="34"/>
      <c r="E73" s="34"/>
      <c r="F73" s="16"/>
      <c r="G73" s="17"/>
      <c r="H73" s="18"/>
      <c r="I73" s="277"/>
    </row>
    <row r="74" spans="1:9" ht="15.75">
      <c r="A74" s="31">
        <f>'ATT H-3D'!A234</f>
        <v>137</v>
      </c>
      <c r="B74" s="1" t="str">
        <f>'ATT H-3D'!B234</f>
        <v xml:space="preserve">Income Tax Component = </v>
      </c>
      <c r="C74" s="58"/>
      <c r="D74" s="58"/>
      <c r="F74" s="11" t="str">
        <f>'ATT H-3D'!D234</f>
        <v xml:space="preserve">     CIT=(T/1-T) * Investment Return * (1-(WCLTD/R)) =</v>
      </c>
      <c r="G74" s="27"/>
      <c r="H74" s="34"/>
      <c r="I74" s="338">
        <f>+I64*I55*(1-(I50/I53))</f>
        <v>25612900.760764521</v>
      </c>
    </row>
    <row r="75" spans="1:9" ht="15.75">
      <c r="A75" s="31"/>
      <c r="B75" s="33"/>
      <c r="C75" s="100"/>
      <c r="D75" s="100"/>
      <c r="E75" s="101"/>
      <c r="F75" s="236"/>
      <c r="G75" s="102"/>
      <c r="H75" s="102"/>
      <c r="I75" s="80"/>
    </row>
    <row r="76" spans="1:9" ht="16.5" thickBot="1">
      <c r="A76" s="31">
        <f>'ATT H-3D'!A236</f>
        <v>138</v>
      </c>
      <c r="B76" s="144" t="str">
        <f>'ATT H-3D'!B236</f>
        <v>Total Income Taxes</v>
      </c>
      <c r="C76" s="144"/>
      <c r="D76" s="144"/>
      <c r="E76" s="137"/>
      <c r="F76" s="220"/>
      <c r="G76" s="48" t="str">
        <f>'ATT H-3D'!F236</f>
        <v>(Line 136 + 137)</v>
      </c>
      <c r="H76" s="166"/>
      <c r="I76" s="203">
        <f>+I74+I70</f>
        <v>25561421.201413304</v>
      </c>
    </row>
    <row r="77" spans="1:9" ht="15.75" thickTop="1">
      <c r="A77" s="31"/>
      <c r="B77" s="33"/>
      <c r="C77" s="17"/>
      <c r="D77" s="17"/>
      <c r="E77" s="34"/>
      <c r="F77" s="115"/>
      <c r="G77" s="20"/>
      <c r="H77" s="8"/>
    </row>
    <row r="78" spans="1:9" ht="15">
      <c r="A78" s="31"/>
    </row>
    <row r="79" spans="1:9" ht="15">
      <c r="A79" s="31"/>
    </row>
    <row r="80" spans="1:9" ht="15">
      <c r="A80" s="31"/>
    </row>
    <row r="81" spans="1:1" ht="15">
      <c r="A81" s="31"/>
    </row>
    <row r="82" spans="1:1" ht="15">
      <c r="A82" s="31"/>
    </row>
    <row r="83" spans="1:1" ht="15">
      <c r="A83" s="31"/>
    </row>
    <row r="84" spans="1:1" ht="15">
      <c r="A84" s="31"/>
    </row>
    <row r="85" spans="1:1" ht="15">
      <c r="A85" s="31"/>
    </row>
    <row r="86" spans="1:1" ht="15">
      <c r="A86" s="31"/>
    </row>
    <row r="87" spans="1:1" ht="15">
      <c r="A87" s="31"/>
    </row>
    <row r="88" spans="1:1" ht="15">
      <c r="A88" s="31"/>
    </row>
    <row r="89" spans="1:1" ht="15">
      <c r="A89" s="31"/>
    </row>
    <row r="90" spans="1:1" ht="15">
      <c r="A90" s="31"/>
    </row>
    <row r="91" spans="1:1" ht="15">
      <c r="A91" s="31"/>
    </row>
    <row r="92" spans="1:1" ht="15">
      <c r="A92" s="31"/>
    </row>
    <row r="93" spans="1:1" ht="15">
      <c r="A93" s="31"/>
    </row>
    <row r="94" spans="1:1" ht="15">
      <c r="A94" s="31"/>
    </row>
    <row r="95" spans="1:1" ht="15">
      <c r="A95" s="31"/>
    </row>
    <row r="301" spans="1:7">
      <c r="A301" s="475"/>
      <c r="B301" s="475"/>
      <c r="C301" s="475"/>
      <c r="D301" s="475"/>
      <c r="E301" s="475"/>
      <c r="F301" s="475"/>
      <c r="G301" s="475"/>
    </row>
    <row r="302" spans="1:7">
      <c r="A302" s="475"/>
      <c r="B302" s="475"/>
      <c r="C302" s="475"/>
      <c r="D302" s="475"/>
      <c r="E302" s="475"/>
      <c r="F302" s="475"/>
      <c r="G302" s="475"/>
    </row>
    <row r="303" spans="1:7">
      <c r="A303" s="475"/>
      <c r="B303" s="475"/>
      <c r="C303" s="475"/>
      <c r="D303" s="475"/>
      <c r="E303" s="475"/>
      <c r="F303" s="475"/>
      <c r="G303" s="475"/>
    </row>
    <row r="304" spans="1:7">
      <c r="A304" s="475"/>
      <c r="B304" s="475"/>
      <c r="C304" s="475"/>
      <c r="D304" s="475"/>
      <c r="E304" s="475"/>
      <c r="F304" s="475"/>
      <c r="G304" s="475"/>
    </row>
    <row r="305" spans="1:7">
      <c r="A305" s="475"/>
      <c r="B305" s="475"/>
      <c r="C305" s="475"/>
      <c r="D305" s="475"/>
      <c r="E305" s="475"/>
      <c r="F305" s="475"/>
      <c r="G305" s="475"/>
    </row>
    <row r="306" spans="1:7">
      <c r="A306" s="475"/>
      <c r="B306" s="475"/>
      <c r="C306" s="475"/>
      <c r="D306" s="475"/>
      <c r="E306" s="475"/>
      <c r="F306" s="475"/>
      <c r="G306" s="475"/>
    </row>
    <row r="307" spans="1:7">
      <c r="A307" s="475"/>
      <c r="B307" s="475"/>
      <c r="C307" s="475"/>
      <c r="D307" s="475"/>
      <c r="E307" s="475"/>
      <c r="F307" s="475"/>
      <c r="G307" s="475"/>
    </row>
    <row r="308" spans="1:7">
      <c r="A308" s="475"/>
      <c r="B308" s="475"/>
      <c r="C308" s="475"/>
      <c r="D308" s="475"/>
      <c r="E308" s="475"/>
      <c r="F308" s="475"/>
      <c r="G308" s="475"/>
    </row>
    <row r="309" spans="1:7">
      <c r="A309" s="475"/>
      <c r="B309" s="475"/>
      <c r="C309" s="475"/>
      <c r="D309" s="475"/>
      <c r="E309" s="475"/>
      <c r="F309" s="475"/>
      <c r="G309" s="475"/>
    </row>
  </sheetData>
  <customSheetViews>
    <customSheetView guid="{DD59B418-F201-4517-876C-F4216587CC56}" scale="75" showPageBreaks="1" fitToPage="1" printArea="1" showRuler="0" topLeftCell="A189">
      <pageMargins left="0.5" right="0.5" top="0.5" bottom="0.5" header="0.5" footer="0.5"/>
      <printOptions horizontalCentered="1"/>
      <pageSetup scale="60" orientation="portrait" r:id="rId1"/>
      <headerFooter alignWithMargins="0"/>
    </customSheetView>
    <customSheetView guid="{6FDC2004-56D4-4E4C-BEEF-80DB64AD0DBB}" scale="66" showPageBreaks="1" fitToPage="1" printArea="1" view="pageBreakPreview" showRuler="0">
      <selection sqref="A1:H1"/>
      <pageMargins left="0.5" right="0.5" top="0.5" bottom="0.5" header="0.5" footer="0.5"/>
      <printOptions horizontalCentered="1"/>
      <pageSetup scale="60" orientation="portrait" r:id="rId2"/>
      <headerFooter alignWithMargins="0">
        <oddHeader>&amp;R&amp;12Page &amp;P of &amp;N</oddHeader>
      </headerFooter>
    </customSheetView>
    <customSheetView guid="{4F5BB44A-5460-4358-BCFE-B7FB945BAE1D}" scale="75" showPageBreaks="1" fitToPage="1" printArea="1" showRuler="0">
      <selection sqref="A1:H1"/>
      <pageMargins left="0.5" right="0.5" top="0.5" bottom="0.5" header="0.5" footer="0.5"/>
      <printOptions horizontalCentered="1"/>
      <pageSetup scale="62" orientation="portrait" r:id="rId3"/>
      <headerFooter alignWithMargins="0">
        <oddHeader>&amp;R&amp;12Page &amp;P of &amp;N</oddHeader>
      </headerFooter>
    </customSheetView>
    <customSheetView guid="{C0EA0F9F-7310-4201-82C9-7B8FC8DB9137}" scale="75" showPageBreaks="1" fitToPage="1" printArea="1" showRuler="0">
      <selection activeCell="F36" sqref="F36"/>
      <pageMargins left="0.5" right="0.5" top="0.5" bottom="0.5" header="0.5" footer="0.5"/>
      <printOptions horizontalCentered="1"/>
      <pageSetup scale="62" orientation="portrait" r:id="rId4"/>
      <headerFooter alignWithMargins="0">
        <oddHeader>&amp;R&amp;14Page &amp;P of &amp;N</oddHeader>
      </headerFooter>
    </customSheetView>
    <customSheetView guid="{3BDD6235-B127-4929-8311-BDAF7BB89818}" scale="75" showPageBreaks="1" fitToPage="1" printArea="1" showRuler="0">
      <selection sqref="A1:H1"/>
      <pageMargins left="0.5" right="0.5" top="0.5" bottom="0.5" header="0.5" footer="0.5"/>
      <printOptions horizontalCentered="1"/>
      <pageSetup scale="60" orientation="portrait" r:id="rId5"/>
      <headerFooter alignWithMargins="0">
        <oddHeader>&amp;R&amp;12Page &amp;P of &amp;N</oddHeader>
      </headerFooter>
    </customSheetView>
    <customSheetView guid="{4C8E812F-DAB5-4C49-9682-E5A34DC8C1B4}" scale="75" showPageBreaks="1" fitToPage="1" printArea="1" showRuler="0">
      <selection activeCell="G9" sqref="G9"/>
      <pageMargins left="0.5" right="0.5" top="0.5" bottom="0.5" header="0.5" footer="0.5"/>
      <printOptions horizontalCentered="1"/>
      <pageSetup scale="62" orientation="portrait" r:id="rId6"/>
      <headerFooter alignWithMargins="0">
        <oddHeader>&amp;R&amp;12Page &amp;P of &amp;N</oddHeader>
      </headerFooter>
    </customSheetView>
  </customSheetViews>
  <mergeCells count="2">
    <mergeCell ref="A3:H3"/>
    <mergeCell ref="A1:H1"/>
  </mergeCells>
  <phoneticPr fontId="0" type="noConversion"/>
  <printOptions horizontalCentered="1"/>
  <pageMargins left="0.5" right="0.5" top="0.5" bottom="0.5" header="0.5" footer="0.5"/>
  <pageSetup scale="62" orientation="portrait"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264"/>
  <sheetViews>
    <sheetView zoomScaleNormal="100" zoomScaleSheetLayoutView="75" workbookViewId="0"/>
  </sheetViews>
  <sheetFormatPr defaultRowHeight="12.75"/>
  <cols>
    <col min="1" max="1" width="6.42578125" customWidth="1"/>
    <col min="2" max="2" width="4.28515625" customWidth="1"/>
    <col min="3" max="3" width="63.28515625" customWidth="1"/>
    <col min="4" max="4" width="22.5703125" customWidth="1"/>
    <col min="5" max="5" width="14.140625" customWidth="1"/>
    <col min="6" max="6" width="19.5703125" customWidth="1"/>
    <col min="7" max="7" width="15.140625" customWidth="1"/>
    <col min="8" max="8" width="15.28515625" customWidth="1"/>
    <col min="9" max="9" width="14.28515625" customWidth="1"/>
    <col min="10" max="10" width="18.7109375" customWidth="1"/>
    <col min="11" max="11" width="18.28515625" customWidth="1"/>
    <col min="12" max="12" width="15.42578125" customWidth="1"/>
    <col min="13" max="16" width="9.7109375" customWidth="1"/>
    <col min="17" max="17" width="13.42578125" customWidth="1"/>
  </cols>
  <sheetData>
    <row r="1" spans="1:17" ht="21" customHeight="1">
      <c r="A1" s="367"/>
      <c r="B1" s="361"/>
      <c r="D1" s="245"/>
      <c r="E1" s="246"/>
      <c r="F1" s="247"/>
      <c r="G1" s="482" t="str">
        <f>+'ATT H-3D'!A4</f>
        <v>Delmarva Power &amp; Light Company</v>
      </c>
      <c r="H1" s="294"/>
      <c r="I1" s="294"/>
      <c r="J1" s="294"/>
      <c r="K1" s="294"/>
      <c r="L1" s="294"/>
      <c r="M1" s="294"/>
      <c r="N1" s="294"/>
      <c r="O1" s="294"/>
      <c r="P1" s="294"/>
      <c r="Q1" s="294"/>
    </row>
    <row r="2" spans="1:17" ht="21" customHeight="1">
      <c r="A2" s="449"/>
      <c r="B2" s="361"/>
      <c r="D2" s="245"/>
      <c r="E2" s="246"/>
      <c r="F2" s="247"/>
      <c r="H2" s="294"/>
      <c r="I2" s="294"/>
      <c r="J2" s="294"/>
      <c r="K2" s="294"/>
      <c r="L2" s="294"/>
      <c r="M2" s="294"/>
      <c r="N2" s="294"/>
      <c r="O2" s="294"/>
      <c r="P2" s="294"/>
      <c r="Q2" s="483"/>
    </row>
    <row r="3" spans="1:17" ht="21" customHeight="1">
      <c r="A3" s="449"/>
      <c r="B3" s="361"/>
      <c r="D3" s="245"/>
      <c r="E3" s="246"/>
      <c r="F3" s="247"/>
      <c r="G3" s="611" t="s">
        <v>586</v>
      </c>
      <c r="H3" s="294"/>
      <c r="I3" s="294"/>
      <c r="J3" s="294"/>
      <c r="K3" s="294"/>
      <c r="L3" s="294"/>
      <c r="M3" s="294"/>
      <c r="N3" s="294"/>
      <c r="O3" s="294"/>
      <c r="P3" s="294"/>
      <c r="Q3" s="483"/>
    </row>
    <row r="4" spans="1:17" ht="21" thickBot="1">
      <c r="A4" s="404" t="s">
        <v>385</v>
      </c>
      <c r="B4" s="364"/>
      <c r="D4" s="245"/>
      <c r="E4" s="246"/>
      <c r="F4" s="247"/>
      <c r="G4" s="294"/>
      <c r="H4" s="294"/>
      <c r="I4" s="294"/>
      <c r="J4" s="294"/>
      <c r="K4" s="294"/>
      <c r="L4" s="294"/>
      <c r="M4" s="294"/>
      <c r="N4" s="294"/>
      <c r="O4" s="294"/>
      <c r="P4" s="294"/>
      <c r="Q4" s="294"/>
    </row>
    <row r="5" spans="1:17" ht="26.25">
      <c r="A5" s="1200" t="s">
        <v>611</v>
      </c>
      <c r="B5" s="1201"/>
      <c r="C5" s="1201"/>
      <c r="D5" s="1201"/>
      <c r="E5" s="1201"/>
      <c r="F5" s="1202"/>
      <c r="G5" s="578" t="s">
        <v>319</v>
      </c>
      <c r="H5" s="425" t="s">
        <v>316</v>
      </c>
      <c r="I5" s="425" t="s">
        <v>320</v>
      </c>
      <c r="J5" s="1189" t="s">
        <v>279</v>
      </c>
      <c r="K5" s="1224"/>
      <c r="L5" s="1224"/>
      <c r="M5" s="1224"/>
      <c r="N5" s="1224"/>
      <c r="O5" s="1224"/>
      <c r="P5" s="1224"/>
      <c r="Q5" s="1225"/>
    </row>
    <row r="6" spans="1:17" ht="15.75">
      <c r="A6" s="377"/>
      <c r="B6" s="373" t="s">
        <v>167</v>
      </c>
      <c r="C6" s="245"/>
      <c r="D6" s="366"/>
      <c r="E6" s="351"/>
      <c r="F6" s="378"/>
      <c r="G6" s="419"/>
      <c r="H6" s="295"/>
      <c r="I6" s="295"/>
      <c r="J6" s="1243"/>
      <c r="K6" s="1217"/>
      <c r="L6" s="1217"/>
      <c r="M6" s="1217"/>
      <c r="N6" s="1217"/>
      <c r="O6" s="1217"/>
      <c r="P6" s="1217"/>
      <c r="Q6" s="1218"/>
    </row>
    <row r="7" spans="1:17" ht="15.75" customHeight="1">
      <c r="A7" s="381">
        <f>+'ATT H-3D'!A24</f>
        <v>10</v>
      </c>
      <c r="B7" s="366"/>
      <c r="C7" s="363" t="str">
        <f>+'ATT H-3D'!C24</f>
        <v>Accumulated Intangible Amortization</v>
      </c>
      <c r="D7" s="245"/>
      <c r="E7" s="393" t="str">
        <f>+'ATT H-3D'!E24</f>
        <v>(Note A)</v>
      </c>
      <c r="F7" s="391" t="str">
        <f>+'ATT H-3D'!F24</f>
        <v>p200.21c</v>
      </c>
      <c r="G7" s="579">
        <v>28654568</v>
      </c>
      <c r="H7" s="531">
        <v>9955634</v>
      </c>
      <c r="I7" s="531">
        <f>G7-H7</f>
        <v>18698934</v>
      </c>
      <c r="J7" s="1233" t="s">
        <v>487</v>
      </c>
      <c r="K7" s="1234"/>
      <c r="L7" s="1234"/>
      <c r="M7" s="1234"/>
      <c r="N7" s="1234"/>
      <c r="O7" s="1234"/>
      <c r="P7" s="1234"/>
      <c r="Q7" s="1193"/>
    </row>
    <row r="8" spans="1:17" ht="15.75">
      <c r="A8" s="381">
        <f>+'ATT H-3D'!A25</f>
        <v>11</v>
      </c>
      <c r="B8" s="366"/>
      <c r="C8" s="363" t="str">
        <f>+'ATT H-3D'!C25</f>
        <v>Accumulated Common Amortization - Electric</v>
      </c>
      <c r="D8" s="245"/>
      <c r="E8" s="393" t="str">
        <f>+'ATT H-3D'!E25</f>
        <v>(Note A)</v>
      </c>
      <c r="F8" s="391" t="str">
        <f>+'ATT H-3D'!F25</f>
        <v>p356</v>
      </c>
      <c r="G8" s="720">
        <v>17457635</v>
      </c>
      <c r="H8" s="575">
        <v>14161633</v>
      </c>
      <c r="I8" s="575">
        <f>G8-H8</f>
        <v>3296002</v>
      </c>
      <c r="J8" s="1233" t="s">
        <v>487</v>
      </c>
      <c r="K8" s="1234"/>
      <c r="L8" s="1234"/>
      <c r="M8" s="1234"/>
      <c r="N8" s="1234"/>
      <c r="O8" s="1234"/>
      <c r="P8" s="1234"/>
      <c r="Q8" s="1193"/>
    </row>
    <row r="9" spans="1:17" ht="15.75">
      <c r="A9" s="381">
        <f>+'ATT H-3D'!A26</f>
        <v>12</v>
      </c>
      <c r="B9" s="245"/>
      <c r="C9" s="363" t="str">
        <f>+'ATT H-3D'!C26</f>
        <v>Accumulated Common Plant Depreciation - Electric</v>
      </c>
      <c r="D9" s="245"/>
      <c r="E9" s="393" t="str">
        <f>+'ATT H-3D'!E26</f>
        <v>(Note A)</v>
      </c>
      <c r="F9" s="391" t="str">
        <f>+'ATT H-3D'!F26</f>
        <v>p356</v>
      </c>
      <c r="G9" s="579">
        <v>63363565</v>
      </c>
      <c r="H9" s="531">
        <v>51400525</v>
      </c>
      <c r="I9" s="531">
        <f>G9-H9</f>
        <v>11963040</v>
      </c>
      <c r="J9" s="1233" t="s">
        <v>487</v>
      </c>
      <c r="K9" s="1234"/>
      <c r="L9" s="1234"/>
      <c r="M9" s="1234"/>
      <c r="N9" s="1234"/>
      <c r="O9" s="1234"/>
      <c r="P9" s="1234"/>
      <c r="Q9" s="1193"/>
    </row>
    <row r="10" spans="1:17" ht="15.75">
      <c r="A10" s="377"/>
      <c r="B10" s="373" t="s">
        <v>116</v>
      </c>
      <c r="C10" s="245"/>
      <c r="D10" s="245"/>
      <c r="E10" s="359"/>
      <c r="F10" s="382"/>
      <c r="G10" s="419"/>
      <c r="H10" s="295"/>
      <c r="I10" s="295"/>
      <c r="J10" s="543"/>
      <c r="K10" s="544"/>
      <c r="L10" s="544"/>
      <c r="M10" s="544"/>
      <c r="N10" s="544"/>
      <c r="O10" s="544"/>
      <c r="P10" s="544"/>
      <c r="Q10" s="580"/>
    </row>
    <row r="11" spans="1:17" ht="15.75">
      <c r="A11" s="381">
        <f>+'ATT H-3D'!A46</f>
        <v>24</v>
      </c>
      <c r="B11" s="361"/>
      <c r="C11" s="363" t="str">
        <f>+'ATT H-3D'!C46</f>
        <v>Common Plant (Electric Only)</v>
      </c>
      <c r="D11" s="245"/>
      <c r="E11" s="393" t="str">
        <f>+'ATT H-3D'!E46</f>
        <v>(Notes A &amp; B)</v>
      </c>
      <c r="F11" s="391" t="str">
        <f>+'ATT H-3D'!F46</f>
        <v>p356</v>
      </c>
      <c r="G11" s="579">
        <v>108569975</v>
      </c>
      <c r="H11" s="531">
        <v>88071964</v>
      </c>
      <c r="I11" s="531">
        <f>G11-H11</f>
        <v>20498011</v>
      </c>
      <c r="J11" s="1233" t="s">
        <v>487</v>
      </c>
      <c r="K11" s="1234"/>
      <c r="L11" s="1234"/>
      <c r="M11" s="1234"/>
      <c r="N11" s="1234"/>
      <c r="O11" s="1234"/>
      <c r="P11" s="1234"/>
      <c r="Q11" s="1193"/>
    </row>
    <row r="12" spans="1:17" ht="15.75">
      <c r="A12" s="383"/>
      <c r="B12" s="355" t="s">
        <v>242</v>
      </c>
      <c r="C12" s="386"/>
      <c r="D12" s="350"/>
      <c r="E12" s="549"/>
      <c r="F12" s="379"/>
      <c r="G12" s="419"/>
      <c r="H12" s="295"/>
      <c r="I12" s="295"/>
      <c r="J12" s="543"/>
      <c r="K12" s="544"/>
      <c r="L12" s="544"/>
      <c r="M12" s="544"/>
      <c r="N12" s="544"/>
      <c r="O12" s="544"/>
      <c r="P12" s="544"/>
      <c r="Q12" s="580"/>
    </row>
    <row r="13" spans="1:17" ht="15.75" customHeight="1">
      <c r="A13" s="381">
        <f>+'ATT H-3D'!A75</f>
        <v>41</v>
      </c>
      <c r="B13" s="350"/>
      <c r="C13" s="363" t="str">
        <f>+'ATT H-3D'!C75</f>
        <v>Accumulated Investment Tax Credit Account No. 255</v>
      </c>
      <c r="D13" s="358"/>
      <c r="E13" s="393" t="str">
        <f>+'ATT H-3D'!E75</f>
        <v>(Notes A &amp; I)</v>
      </c>
      <c r="F13" s="391" t="str">
        <f>+'ATT H-3D'!F75</f>
        <v>p266.h</v>
      </c>
      <c r="G13" s="579">
        <v>3692906</v>
      </c>
      <c r="H13" s="531">
        <v>3340468</v>
      </c>
      <c r="I13" s="531">
        <f>G13-H13</f>
        <v>352438</v>
      </c>
      <c r="J13" s="1233" t="s">
        <v>487</v>
      </c>
      <c r="K13" s="1234"/>
      <c r="L13" s="1234"/>
      <c r="M13" s="1234"/>
      <c r="N13" s="1234"/>
      <c r="O13" s="1234"/>
      <c r="P13" s="1234"/>
      <c r="Q13" s="1193"/>
    </row>
    <row r="14" spans="1:17" ht="15.75">
      <c r="A14" s="381"/>
      <c r="B14" s="355" t="s">
        <v>98</v>
      </c>
      <c r="C14" s="360"/>
      <c r="D14" s="350"/>
      <c r="E14" s="352"/>
      <c r="F14" s="548"/>
      <c r="G14" s="419"/>
      <c r="H14" s="295"/>
      <c r="I14" s="295"/>
      <c r="J14" s="543"/>
      <c r="K14" s="544"/>
      <c r="L14" s="544"/>
      <c r="M14" s="544"/>
      <c r="N14" s="544"/>
      <c r="O14" s="544"/>
      <c r="P14" s="544"/>
      <c r="Q14" s="580"/>
    </row>
    <row r="15" spans="1:17" ht="15.75" customHeight="1">
      <c r="A15" s="383">
        <f>+'ATT H-3D'!A91</f>
        <v>47</v>
      </c>
      <c r="B15" s="350"/>
      <c r="C15" s="360" t="str">
        <f>+'ATT H-3D'!C91</f>
        <v>Undistributed Stores Exp</v>
      </c>
      <c r="D15" s="353"/>
      <c r="E15" s="352" t="str">
        <f>+'ATT H-3D'!E91</f>
        <v>(Note A)</v>
      </c>
      <c r="F15" s="390" t="str">
        <f>+'ATT H-3D'!F91</f>
        <v>p227.6c &amp; 16.c</v>
      </c>
      <c r="G15" s="579">
        <v>1309738</v>
      </c>
      <c r="H15" s="575">
        <f>G15*0.96973</f>
        <v>1270092.23074</v>
      </c>
      <c r="I15" s="575">
        <f>G15-H15</f>
        <v>39645.769259999972</v>
      </c>
      <c r="J15" s="1240" t="s">
        <v>777</v>
      </c>
      <c r="K15" s="1241"/>
      <c r="L15" s="1241"/>
      <c r="M15" s="1241"/>
      <c r="N15" s="1241"/>
      <c r="O15" s="1241"/>
      <c r="P15" s="1241"/>
      <c r="Q15" s="1242"/>
    </row>
    <row r="16" spans="1:17" ht="15.75">
      <c r="A16" s="381"/>
      <c r="B16" s="373" t="s">
        <v>88</v>
      </c>
      <c r="C16" s="360"/>
      <c r="D16" s="353"/>
      <c r="E16" s="359"/>
      <c r="F16" s="390"/>
      <c r="G16" s="419"/>
      <c r="H16" s="295"/>
      <c r="I16" s="295"/>
      <c r="J16" s="543"/>
      <c r="K16" s="544"/>
      <c r="L16" s="544"/>
      <c r="M16" s="544"/>
      <c r="N16" s="544"/>
      <c r="O16" s="544"/>
      <c r="P16" s="544"/>
      <c r="Q16" s="580"/>
    </row>
    <row r="17" spans="1:17" ht="15.75">
      <c r="A17" s="381">
        <f>+'ATT H-3D'!A119</f>
        <v>65</v>
      </c>
      <c r="B17" s="373"/>
      <c r="C17" s="363" t="str">
        <f>+'ATT H-3D'!C119</f>
        <v xml:space="preserve">     Plus Transmission Lease Payments</v>
      </c>
      <c r="D17" s="353"/>
      <c r="E17" s="393" t="str">
        <f>+'ATT H-3D'!E119</f>
        <v>(Note A)</v>
      </c>
      <c r="F17" s="391" t="str">
        <f>+'ATT H-3D'!F119</f>
        <v>p200.3.c</v>
      </c>
      <c r="G17" s="419"/>
      <c r="H17" s="295"/>
      <c r="I17" s="295"/>
      <c r="J17" s="543"/>
      <c r="K17" s="544"/>
      <c r="L17" s="544"/>
      <c r="M17" s="544"/>
      <c r="N17" s="544"/>
      <c r="O17" s="544"/>
      <c r="P17" s="544"/>
      <c r="Q17" s="580"/>
    </row>
    <row r="18" spans="1:17" ht="15.75">
      <c r="A18" s="381">
        <f>+'ATT H-3D'!A123</f>
        <v>67</v>
      </c>
      <c r="B18" s="372"/>
      <c r="C18" s="363" t="str">
        <f>+'ATT H-3D'!C123</f>
        <v>Common Plant O&amp;M</v>
      </c>
      <c r="D18" s="353"/>
      <c r="E18" s="393" t="str">
        <f>+'ATT H-3D'!E123</f>
        <v>(Note A)</v>
      </c>
      <c r="F18" s="391" t="str">
        <f>+'ATT H-3D'!F123</f>
        <v>p356</v>
      </c>
      <c r="G18" s="579">
        <v>0</v>
      </c>
      <c r="H18" s="531">
        <v>0</v>
      </c>
      <c r="I18" s="531">
        <v>0</v>
      </c>
      <c r="J18" s="1233"/>
      <c r="K18" s="1234"/>
      <c r="L18" s="1234"/>
      <c r="M18" s="1234"/>
      <c r="N18" s="1234"/>
      <c r="O18" s="1234"/>
      <c r="P18" s="1234"/>
      <c r="Q18" s="1193"/>
    </row>
    <row r="19" spans="1:17" ht="15.75">
      <c r="A19" s="377"/>
      <c r="B19" s="368" t="s">
        <v>60</v>
      </c>
      <c r="C19" s="386"/>
      <c r="D19" s="245"/>
      <c r="E19" s="374"/>
      <c r="F19" s="379"/>
      <c r="G19" s="419"/>
      <c r="H19" s="295"/>
      <c r="I19" s="295"/>
      <c r="J19" s="1216"/>
      <c r="K19" s="1216"/>
      <c r="L19" s="1216"/>
      <c r="M19" s="1216"/>
      <c r="N19" s="1216"/>
      <c r="O19" s="1216"/>
      <c r="P19" s="1216"/>
      <c r="Q19" s="1239"/>
    </row>
    <row r="20" spans="1:17" ht="15.75" customHeight="1">
      <c r="A20" s="376">
        <f>+'ATT H-3D'!A156</f>
        <v>88</v>
      </c>
      <c r="B20" s="392"/>
      <c r="C20" s="364" t="str">
        <f>+'ATT H-3D'!C156</f>
        <v>Intangible Amortization</v>
      </c>
      <c r="D20" s="353"/>
      <c r="E20" s="398" t="str">
        <f>+'ATT H-3D'!E156</f>
        <v>(Note A)</v>
      </c>
      <c r="F20" s="394" t="str">
        <f>+'ATT H-3D'!F156</f>
        <v>p336.1d&amp;e</v>
      </c>
      <c r="G20" s="579">
        <v>136005</v>
      </c>
      <c r="H20" s="575">
        <v>136005</v>
      </c>
      <c r="I20" s="575">
        <f>G20-H20</f>
        <v>0</v>
      </c>
      <c r="J20" s="1233" t="s">
        <v>528</v>
      </c>
      <c r="K20" s="1234"/>
      <c r="L20" s="1234"/>
      <c r="M20" s="1234"/>
      <c r="N20" s="1234"/>
      <c r="O20" s="1234"/>
      <c r="P20" s="1234"/>
      <c r="Q20" s="1193"/>
    </row>
    <row r="21" spans="1:17" ht="15.75">
      <c r="A21" s="376">
        <f>+'ATT H-3D'!A161</f>
        <v>92</v>
      </c>
      <c r="B21" s="384"/>
      <c r="C21" s="364" t="str">
        <f>+'ATT H-3D'!C161</f>
        <v>Common Depreciation - Electric Only</v>
      </c>
      <c r="D21" s="353"/>
      <c r="E21" s="398" t="str">
        <f>+'ATT H-3D'!E161</f>
        <v>(Note A)</v>
      </c>
      <c r="F21" s="394" t="str">
        <f>+'ATT H-3D'!F161</f>
        <v>p336.11.b</v>
      </c>
      <c r="G21" s="720">
        <v>3738403</v>
      </c>
      <c r="H21" s="575">
        <v>3738403</v>
      </c>
      <c r="I21" s="531">
        <f>G21-H21</f>
        <v>0</v>
      </c>
      <c r="J21" s="1237" t="s">
        <v>527</v>
      </c>
      <c r="K21" s="1237"/>
      <c r="L21" s="1237"/>
      <c r="M21" s="1237"/>
      <c r="N21" s="1237"/>
      <c r="O21" s="1237"/>
      <c r="P21" s="1237"/>
      <c r="Q21" s="1238"/>
    </row>
    <row r="22" spans="1:17" ht="16.5" thickBot="1">
      <c r="A22" s="399">
        <f>+'ATT H-3D'!A162</f>
        <v>93</v>
      </c>
      <c r="B22" s="405"/>
      <c r="C22" s="406" t="str">
        <f>+'ATT H-3D'!C162</f>
        <v>Common Amortization - Electric Only</v>
      </c>
      <c r="D22" s="403"/>
      <c r="E22" s="407" t="str">
        <f>+'ATT H-3D'!E162</f>
        <v>(Note A)</v>
      </c>
      <c r="F22" s="411" t="str">
        <f>+'ATT H-3D'!F162</f>
        <v>p356 or p336.11d</v>
      </c>
      <c r="G22" s="581">
        <v>0</v>
      </c>
      <c r="H22" s="576">
        <f>G22</f>
        <v>0</v>
      </c>
      <c r="I22" s="532">
        <v>0</v>
      </c>
      <c r="J22" s="1235" t="s">
        <v>527</v>
      </c>
      <c r="K22" s="1235"/>
      <c r="L22" s="1235"/>
      <c r="M22" s="1235"/>
      <c r="N22" s="1235"/>
      <c r="O22" s="1235"/>
      <c r="P22" s="1235"/>
      <c r="Q22" s="1236"/>
    </row>
    <row r="23" spans="1:17">
      <c r="G23" s="834"/>
      <c r="H23" s="294"/>
      <c r="I23" s="294"/>
      <c r="J23" s="294"/>
      <c r="K23" s="294"/>
      <c r="L23" s="294"/>
      <c r="M23" s="294"/>
      <c r="N23" s="294"/>
      <c r="O23" s="294"/>
      <c r="P23" s="294"/>
      <c r="Q23" s="294"/>
    </row>
    <row r="24" spans="1:17">
      <c r="G24" s="294"/>
      <c r="H24" s="294"/>
      <c r="I24" s="294"/>
      <c r="J24" s="294"/>
      <c r="K24" s="294"/>
      <c r="L24" s="294"/>
      <c r="M24" s="294"/>
      <c r="N24" s="294"/>
      <c r="O24" s="294"/>
      <c r="P24" s="294"/>
      <c r="Q24" s="294"/>
    </row>
    <row r="25" spans="1:17" ht="21" thickBot="1">
      <c r="A25" s="404" t="s">
        <v>386</v>
      </c>
      <c r="G25" s="294"/>
      <c r="H25" s="294"/>
      <c r="I25" s="294"/>
      <c r="J25" s="294"/>
      <c r="K25" s="294"/>
      <c r="L25" s="294"/>
      <c r="M25" s="294"/>
      <c r="N25" s="294"/>
      <c r="O25" s="294"/>
      <c r="P25" s="294"/>
      <c r="Q25" s="294"/>
    </row>
    <row r="26" spans="1:17" ht="50.25" customHeight="1">
      <c r="A26" s="1200" t="s">
        <v>611</v>
      </c>
      <c r="B26" s="1201"/>
      <c r="C26" s="1201"/>
      <c r="D26" s="1201"/>
      <c r="E26" s="1201"/>
      <c r="F26" s="1202"/>
      <c r="G26" s="425" t="s">
        <v>319</v>
      </c>
      <c r="H26" s="425" t="s">
        <v>321</v>
      </c>
      <c r="I26" s="425" t="s">
        <v>382</v>
      </c>
      <c r="J26" s="1189" t="s">
        <v>279</v>
      </c>
      <c r="K26" s="1224"/>
      <c r="L26" s="1224"/>
      <c r="M26" s="1224"/>
      <c r="N26" s="1224"/>
      <c r="O26" s="1224"/>
      <c r="P26" s="1224"/>
      <c r="Q26" s="1225"/>
    </row>
    <row r="27" spans="1:17" ht="33.75" customHeight="1">
      <c r="A27" s="381">
        <f>+'ATT H-3D'!A51</f>
        <v>28</v>
      </c>
      <c r="B27" s="372"/>
      <c r="C27" s="355" t="str">
        <f>+'ATT H-3D'!C51</f>
        <v>Plant Held for Future Use (Including Land)</v>
      </c>
      <c r="D27" s="397"/>
      <c r="E27" s="393" t="str">
        <f>+'ATT H-3D'!E51</f>
        <v>(Note C)</v>
      </c>
      <c r="F27" s="385" t="str">
        <f>+'ATT H-3D'!F51</f>
        <v>p214</v>
      </c>
      <c r="G27" s="531">
        <v>3240849</v>
      </c>
      <c r="H27" s="531">
        <v>0</v>
      </c>
      <c r="I27" s="531">
        <f>G27-H27</f>
        <v>3240849</v>
      </c>
      <c r="J27" s="1217" t="s">
        <v>518</v>
      </c>
      <c r="K27" s="1217"/>
      <c r="L27" s="1217"/>
      <c r="M27" s="1217"/>
      <c r="N27" s="1217"/>
      <c r="O27" s="1217"/>
      <c r="P27" s="1217"/>
      <c r="Q27" s="1218"/>
    </row>
    <row r="28" spans="1:17" ht="15.75" hidden="1" customHeight="1">
      <c r="A28" s="381"/>
      <c r="B28" s="373" t="s">
        <v>86</v>
      </c>
      <c r="C28" s="350"/>
      <c r="D28" s="353"/>
      <c r="E28" s="354"/>
      <c r="F28" s="379"/>
      <c r="G28" s="295"/>
      <c r="H28" s="295"/>
      <c r="I28" s="295"/>
      <c r="J28" s="1216"/>
      <c r="K28" s="1217"/>
      <c r="L28" s="1217"/>
      <c r="M28" s="1217"/>
      <c r="N28" s="1217"/>
      <c r="O28" s="1217"/>
      <c r="P28" s="1217"/>
      <c r="Q28" s="1218"/>
    </row>
    <row r="29" spans="1:17" ht="16.5" hidden="1" customHeight="1">
      <c r="A29" s="381">
        <v>73</v>
      </c>
      <c r="B29" s="384"/>
      <c r="C29" s="363" t="s">
        <v>219</v>
      </c>
      <c r="D29" s="352"/>
      <c r="E29" s="374" t="s">
        <v>185</v>
      </c>
      <c r="F29" s="385" t="s">
        <v>59</v>
      </c>
      <c r="G29" s="531" t="s">
        <v>774</v>
      </c>
      <c r="H29" s="531" t="s">
        <v>774</v>
      </c>
      <c r="I29" s="531" t="s">
        <v>774</v>
      </c>
      <c r="J29" s="1217" t="s">
        <v>775</v>
      </c>
      <c r="K29" s="1217"/>
      <c r="L29" s="1217"/>
      <c r="M29" s="1217"/>
      <c r="N29" s="1217"/>
      <c r="O29" s="1217"/>
      <c r="P29" s="1217"/>
      <c r="Q29" s="1218"/>
    </row>
    <row r="30" spans="1:17" ht="15.75">
      <c r="A30" s="381"/>
      <c r="B30" s="384"/>
      <c r="C30" s="363"/>
      <c r="D30" s="353"/>
      <c r="E30" s="393"/>
      <c r="F30" s="385"/>
      <c r="G30" s="295"/>
      <c r="H30" s="348"/>
      <c r="I30" s="295"/>
      <c r="J30" s="295">
        <v>1</v>
      </c>
      <c r="K30" s="295"/>
      <c r="L30" s="295"/>
      <c r="M30" s="295"/>
      <c r="N30" s="295"/>
      <c r="O30" s="295"/>
      <c r="P30" s="295"/>
      <c r="Q30" s="417"/>
    </row>
    <row r="31" spans="1:17" ht="15.75">
      <c r="A31" s="381"/>
      <c r="B31" s="384"/>
      <c r="C31" s="363"/>
      <c r="D31" s="353"/>
      <c r="E31" s="393"/>
      <c r="F31" s="385"/>
      <c r="G31" s="295"/>
      <c r="H31" s="537"/>
      <c r="I31" s="295"/>
      <c r="J31" s="295">
        <v>2</v>
      </c>
      <c r="K31" s="295"/>
      <c r="L31" s="295"/>
      <c r="M31" s="295"/>
      <c r="N31" s="295"/>
      <c r="O31" s="295"/>
      <c r="P31" s="295"/>
      <c r="Q31" s="417"/>
    </row>
    <row r="32" spans="1:17" ht="15.75">
      <c r="A32" s="381"/>
      <c r="B32" s="384"/>
      <c r="C32" s="363"/>
      <c r="D32" s="353"/>
      <c r="E32" s="393"/>
      <c r="F32" s="385"/>
      <c r="G32" s="295"/>
      <c r="H32" s="537"/>
      <c r="I32" s="295"/>
      <c r="J32" s="295">
        <v>3</v>
      </c>
      <c r="K32" s="295"/>
      <c r="L32" s="295"/>
      <c r="M32" s="295"/>
      <c r="N32" s="295"/>
      <c r="O32" s="295"/>
      <c r="P32" s="295"/>
      <c r="Q32" s="417"/>
    </row>
    <row r="33" spans="1:17" ht="15.75">
      <c r="A33" s="381"/>
      <c r="B33" s="384"/>
      <c r="C33" s="363"/>
      <c r="D33" s="353"/>
      <c r="E33" s="393"/>
      <c r="F33" s="385"/>
      <c r="G33" s="295"/>
      <c r="H33" s="537"/>
      <c r="I33" s="295"/>
      <c r="J33" s="295">
        <v>4</v>
      </c>
      <c r="K33" s="295"/>
      <c r="L33" s="295"/>
      <c r="M33" s="295"/>
      <c r="N33" s="295"/>
      <c r="O33" s="295"/>
      <c r="P33" s="295"/>
      <c r="Q33" s="417"/>
    </row>
    <row r="34" spans="1:17" ht="13.5" thickBot="1">
      <c r="A34" s="326"/>
      <c r="B34" s="327"/>
      <c r="C34" s="327"/>
      <c r="D34" s="536"/>
      <c r="E34" s="327"/>
      <c r="F34" s="328"/>
      <c r="G34" s="418"/>
      <c r="H34" s="538"/>
      <c r="I34" s="418"/>
      <c r="J34" s="418">
        <v>5</v>
      </c>
      <c r="K34" s="418"/>
      <c r="L34" s="418"/>
      <c r="M34" s="418"/>
      <c r="N34" s="418"/>
      <c r="O34" s="418"/>
      <c r="P34" s="418"/>
      <c r="Q34" s="423"/>
    </row>
    <row r="35" spans="1:17" ht="21" thickBot="1">
      <c r="A35" s="404" t="s">
        <v>395</v>
      </c>
      <c r="G35" s="294"/>
      <c r="H35" s="294"/>
      <c r="I35" s="294"/>
      <c r="J35" s="294"/>
      <c r="K35" s="294"/>
      <c r="L35" s="294"/>
      <c r="M35" s="294"/>
      <c r="N35" s="294"/>
      <c r="O35" s="294"/>
      <c r="P35" s="294"/>
      <c r="Q35" s="294"/>
    </row>
    <row r="36" spans="1:17" ht="61.5" customHeight="1">
      <c r="A36" s="1200" t="s">
        <v>611</v>
      </c>
      <c r="B36" s="1201"/>
      <c r="C36" s="1201"/>
      <c r="D36" s="1201"/>
      <c r="E36" s="1201"/>
      <c r="F36" s="1202"/>
      <c r="G36" s="425" t="str">
        <f>+G26</f>
        <v>Form 1 Amount</v>
      </c>
      <c r="H36" s="425" t="s">
        <v>383</v>
      </c>
      <c r="I36" s="425" t="s">
        <v>322</v>
      </c>
      <c r="J36" s="1189" t="s">
        <v>279</v>
      </c>
      <c r="K36" s="1224"/>
      <c r="L36" s="1224"/>
      <c r="M36" s="1224"/>
      <c r="N36" s="1224"/>
      <c r="O36" s="1224"/>
      <c r="P36" s="1224"/>
      <c r="Q36" s="1225"/>
    </row>
    <row r="37" spans="1:17" ht="15.75">
      <c r="A37" s="377"/>
      <c r="B37" s="373" t="s">
        <v>167</v>
      </c>
      <c r="C37" s="386"/>
      <c r="D37" s="366"/>
      <c r="E37" s="351"/>
      <c r="F37" s="378"/>
      <c r="G37" s="295"/>
      <c r="H37" s="295"/>
      <c r="I37" s="295"/>
      <c r="J37" s="1216"/>
      <c r="K37" s="1217"/>
      <c r="L37" s="1217"/>
      <c r="M37" s="1217"/>
      <c r="N37" s="1217"/>
      <c r="O37" s="1217"/>
      <c r="P37" s="1217"/>
      <c r="Q37" s="1218"/>
    </row>
    <row r="38" spans="1:17" ht="15.75">
      <c r="A38" s="381">
        <f>+'ATT H-3D'!A19</f>
        <v>6</v>
      </c>
      <c r="B38" s="366"/>
      <c r="C38" s="363" t="str">
        <f>+'ATT H-3D'!C19</f>
        <v>Electric Plant in Service</v>
      </c>
      <c r="D38" s="245"/>
      <c r="E38" s="393" t="str">
        <f>+'ATT H-3D'!E19</f>
        <v>(Note B)</v>
      </c>
      <c r="F38" s="385" t="s">
        <v>7</v>
      </c>
      <c r="G38" s="569">
        <v>3431003839</v>
      </c>
      <c r="H38" s="454">
        <v>0</v>
      </c>
      <c r="I38" s="531">
        <v>0</v>
      </c>
      <c r="J38" s="1217" t="s">
        <v>770</v>
      </c>
      <c r="K38" s="1217"/>
      <c r="L38" s="1217"/>
      <c r="M38" s="1217"/>
      <c r="N38" s="1217"/>
      <c r="O38" s="1217"/>
      <c r="P38" s="1217"/>
      <c r="Q38" s="1218"/>
    </row>
    <row r="39" spans="1:17" ht="15.75">
      <c r="A39" s="377"/>
      <c r="B39" s="373" t="s">
        <v>116</v>
      </c>
      <c r="C39" s="386"/>
      <c r="D39" s="245"/>
      <c r="E39" s="359"/>
      <c r="F39" s="550"/>
      <c r="G39" s="569"/>
      <c r="H39" s="295"/>
      <c r="I39" s="295"/>
      <c r="J39" s="1217"/>
      <c r="K39" s="1217"/>
      <c r="L39" s="1217"/>
      <c r="M39" s="1217"/>
      <c r="N39" s="1217"/>
      <c r="O39" s="1217"/>
      <c r="P39" s="1217"/>
      <c r="Q39" s="1218"/>
    </row>
    <row r="40" spans="1:17" ht="15.75">
      <c r="A40" s="381">
        <f>+'ATT H-3D'!A40</f>
        <v>19</v>
      </c>
      <c r="B40" s="361"/>
      <c r="C40" s="363" t="str">
        <f>+'ATT H-3D'!C40</f>
        <v>Transmission Plant In Service</v>
      </c>
      <c r="D40" s="245"/>
      <c r="E40" s="393" t="str">
        <f>+'ATT H-3D'!E40</f>
        <v>(Note B)</v>
      </c>
      <c r="F40" s="385" t="str">
        <f>+'ATT H-3D'!F40</f>
        <v>p207.58.g</v>
      </c>
      <c r="G40" s="569">
        <v>1207860962</v>
      </c>
      <c r="H40" s="454">
        <v>0</v>
      </c>
      <c r="I40" s="454">
        <v>0</v>
      </c>
      <c r="J40" s="1217" t="s">
        <v>487</v>
      </c>
      <c r="K40" s="1217"/>
      <c r="L40" s="1217"/>
      <c r="M40" s="1217"/>
      <c r="N40" s="1217"/>
      <c r="O40" s="1217"/>
      <c r="P40" s="1217"/>
      <c r="Q40" s="1218"/>
    </row>
    <row r="41" spans="1:17" ht="15.75">
      <c r="A41" s="377">
        <f>+'ATT H-3D'!A46</f>
        <v>24</v>
      </c>
      <c r="B41" s="366"/>
      <c r="C41" s="386" t="str">
        <f>+'ATT H-3D'!C46</f>
        <v>Common Plant (Electric Only)</v>
      </c>
      <c r="D41" s="366"/>
      <c r="E41" s="374" t="str">
        <f>+'ATT H-3D'!E46</f>
        <v>(Notes A &amp; B)</v>
      </c>
      <c r="F41" s="551" t="str">
        <f>+'ATT H-3D'!F46</f>
        <v>p356</v>
      </c>
      <c r="G41" s="569">
        <v>88071964</v>
      </c>
      <c r="H41" s="454">
        <v>0</v>
      </c>
      <c r="I41" s="454">
        <v>0</v>
      </c>
      <c r="J41" s="1217"/>
      <c r="K41" s="1217"/>
      <c r="L41" s="1217"/>
      <c r="M41" s="1217"/>
      <c r="N41" s="1217"/>
      <c r="O41" s="1217"/>
      <c r="P41" s="1217"/>
      <c r="Q41" s="1218"/>
    </row>
    <row r="42" spans="1:17" ht="15.75">
      <c r="A42" s="381"/>
      <c r="B42" s="373" t="s">
        <v>100</v>
      </c>
      <c r="C42" s="355"/>
      <c r="D42" s="356"/>
      <c r="E42" s="389"/>
      <c r="F42" s="552"/>
      <c r="G42" s="295"/>
      <c r="H42" s="295"/>
      <c r="I42" s="295"/>
      <c r="J42" s="295"/>
      <c r="K42" s="295"/>
      <c r="L42" s="295"/>
      <c r="M42" s="295"/>
      <c r="N42" s="295"/>
      <c r="O42" s="295"/>
      <c r="P42" s="295"/>
      <c r="Q42" s="417"/>
    </row>
    <row r="43" spans="1:17" ht="16.5" thickBot="1">
      <c r="A43" s="399">
        <f>+'ATT H-3D'!A57</f>
        <v>30</v>
      </c>
      <c r="B43" s="400"/>
      <c r="C43" s="406" t="str">
        <f>+'ATT H-3D'!C57</f>
        <v>Transmission Accumulated Depreciation</v>
      </c>
      <c r="D43" s="401"/>
      <c r="E43" s="407" t="str">
        <f>+'ATT H-3D'!E57</f>
        <v>(Note B)</v>
      </c>
      <c r="F43" s="408" t="str">
        <f>+'ATT H-3D'!F57</f>
        <v>p219.25.c</v>
      </c>
      <c r="G43" s="570">
        <v>322619784</v>
      </c>
      <c r="H43" s="456">
        <v>0</v>
      </c>
      <c r="I43" s="456">
        <v>0</v>
      </c>
      <c r="J43" s="1222" t="s">
        <v>487</v>
      </c>
      <c r="K43" s="1222"/>
      <c r="L43" s="1222"/>
      <c r="M43" s="1222"/>
      <c r="N43" s="1222"/>
      <c r="O43" s="1222"/>
      <c r="P43" s="1222"/>
      <c r="Q43" s="1223"/>
    </row>
    <row r="44" spans="1:17">
      <c r="G44" s="294"/>
      <c r="H44" s="294"/>
      <c r="I44" s="294"/>
      <c r="J44" s="294"/>
      <c r="K44" s="294"/>
      <c r="L44" s="294"/>
      <c r="M44" s="294"/>
      <c r="N44" s="294"/>
      <c r="O44" s="294"/>
      <c r="P44" s="294"/>
      <c r="Q44" s="294"/>
    </row>
    <row r="45" spans="1:17">
      <c r="G45" s="294"/>
      <c r="H45" s="294"/>
      <c r="I45" s="294"/>
      <c r="J45" s="294"/>
      <c r="K45" s="294"/>
      <c r="L45" s="294"/>
      <c r="M45" s="294"/>
      <c r="N45" s="294"/>
      <c r="O45" s="294"/>
      <c r="P45" s="294"/>
      <c r="Q45" s="294"/>
    </row>
    <row r="46" spans="1:17" ht="21" thickBot="1">
      <c r="A46" s="404" t="s">
        <v>387</v>
      </c>
      <c r="G46" s="294"/>
      <c r="H46" s="294"/>
      <c r="I46" s="294"/>
      <c r="J46" s="294"/>
      <c r="K46" s="294"/>
      <c r="L46" s="294"/>
      <c r="M46" s="294"/>
      <c r="N46" s="294"/>
      <c r="O46" s="294"/>
      <c r="P46" s="294"/>
      <c r="Q46" s="294"/>
    </row>
    <row r="47" spans="1:17" ht="18">
      <c r="A47" s="1200" t="s">
        <v>611</v>
      </c>
      <c r="B47" s="1201"/>
      <c r="C47" s="1201"/>
      <c r="D47" s="1201"/>
      <c r="E47" s="1201"/>
      <c r="F47" s="1202"/>
      <c r="G47" s="425" t="str">
        <f>+G36</f>
        <v>Form 1 Amount</v>
      </c>
      <c r="H47" s="425" t="s">
        <v>317</v>
      </c>
      <c r="I47" s="425"/>
      <c r="J47" s="1189" t="s">
        <v>279</v>
      </c>
      <c r="K47" s="1224"/>
      <c r="L47" s="1224"/>
      <c r="M47" s="1224"/>
      <c r="N47" s="1224"/>
      <c r="O47" s="1224"/>
      <c r="P47" s="1224"/>
      <c r="Q47" s="1225"/>
    </row>
    <row r="48" spans="1:17" ht="15.75">
      <c r="A48" s="381"/>
      <c r="B48" s="373" t="s">
        <v>88</v>
      </c>
      <c r="C48" s="353"/>
      <c r="D48" s="353"/>
      <c r="E48" s="380"/>
      <c r="F48" s="390"/>
      <c r="G48" s="295"/>
      <c r="H48" s="295"/>
      <c r="I48" s="295"/>
      <c r="J48" s="1216"/>
      <c r="K48" s="1217"/>
      <c r="L48" s="1217"/>
      <c r="M48" s="1217"/>
      <c r="N48" s="1217"/>
      <c r="O48" s="1217"/>
      <c r="P48" s="1217"/>
      <c r="Q48" s="1218"/>
    </row>
    <row r="49" spans="1:17" ht="16.5" thickBot="1">
      <c r="A49" s="399">
        <f>+'ATT H-3D'!A130</f>
        <v>73</v>
      </c>
      <c r="B49" s="402"/>
      <c r="C49" s="406" t="str">
        <f>+'ATT H-3D'!C130</f>
        <v xml:space="preserve">    Less EPRI Dues</v>
      </c>
      <c r="D49" s="410"/>
      <c r="E49" s="407" t="str">
        <f>+'ATT H-3D'!E130</f>
        <v>(Note D)</v>
      </c>
      <c r="F49" s="408" t="str">
        <f>+'ATT H-3D'!F130</f>
        <v>p352-353</v>
      </c>
      <c r="G49" s="848">
        <v>136301</v>
      </c>
      <c r="H49" s="848">
        <f>G49</f>
        <v>136301</v>
      </c>
      <c r="I49" s="456"/>
      <c r="J49" s="1222" t="s">
        <v>487</v>
      </c>
      <c r="K49" s="1222"/>
      <c r="L49" s="1222"/>
      <c r="M49" s="1222"/>
      <c r="N49" s="1222"/>
      <c r="O49" s="1222"/>
      <c r="P49" s="1222"/>
      <c r="Q49" s="1223"/>
    </row>
    <row r="50" spans="1:17">
      <c r="G50" s="294"/>
      <c r="H50" s="294"/>
      <c r="I50" s="294"/>
      <c r="J50" s="294"/>
      <c r="K50" s="294"/>
      <c r="L50" s="294"/>
      <c r="M50" s="294"/>
      <c r="N50" s="294"/>
      <c r="O50" s="294"/>
      <c r="P50" s="294"/>
      <c r="Q50" s="294"/>
    </row>
    <row r="51" spans="1:17">
      <c r="G51" s="294"/>
      <c r="H51" s="294"/>
      <c r="I51" s="294"/>
      <c r="J51" s="294"/>
      <c r="K51" s="294"/>
      <c r="L51" s="294"/>
      <c r="M51" s="294"/>
      <c r="N51" s="294"/>
      <c r="O51" s="294"/>
      <c r="P51" s="294"/>
      <c r="Q51" s="294"/>
    </row>
    <row r="52" spans="1:17" ht="21" thickBot="1">
      <c r="A52" s="404" t="s">
        <v>388</v>
      </c>
      <c r="G52" s="294"/>
      <c r="H52" s="294"/>
      <c r="I52" s="294"/>
      <c r="J52" s="294"/>
      <c r="K52" s="294"/>
      <c r="L52" s="294"/>
      <c r="M52" s="294"/>
      <c r="N52" s="294"/>
      <c r="O52" s="294"/>
      <c r="P52" s="294"/>
      <c r="Q52" s="294"/>
    </row>
    <row r="53" spans="1:17" ht="39">
      <c r="A53" s="1200" t="s">
        <v>611</v>
      </c>
      <c r="B53" s="1201"/>
      <c r="C53" s="1201"/>
      <c r="D53" s="1201"/>
      <c r="E53" s="1201"/>
      <c r="F53" s="1202"/>
      <c r="G53" s="425" t="s">
        <v>319</v>
      </c>
      <c r="H53" s="425" t="s">
        <v>321</v>
      </c>
      <c r="I53" s="425" t="s">
        <v>382</v>
      </c>
      <c r="J53" s="1189" t="s">
        <v>279</v>
      </c>
      <c r="K53" s="1224"/>
      <c r="L53" s="1224"/>
      <c r="M53" s="1224"/>
      <c r="N53" s="1224"/>
      <c r="O53" s="1224"/>
      <c r="P53" s="1224"/>
      <c r="Q53" s="1225"/>
    </row>
    <row r="54" spans="1:17" ht="15.75">
      <c r="A54" s="381"/>
      <c r="B54" s="373" t="s">
        <v>88</v>
      </c>
      <c r="C54" s="353"/>
      <c r="D54" s="353"/>
      <c r="E54" s="380"/>
      <c r="F54" s="390"/>
      <c r="G54" s="295"/>
      <c r="H54" s="295"/>
      <c r="I54" s="295"/>
      <c r="J54" s="295"/>
      <c r="K54" s="295"/>
      <c r="L54" s="295"/>
      <c r="M54" s="295"/>
      <c r="N54" s="295"/>
      <c r="O54" s="295"/>
      <c r="P54" s="295"/>
      <c r="Q54" s="417"/>
    </row>
    <row r="55" spans="1:17" ht="15.75">
      <c r="A55" s="381">
        <f>+'ATT H-3D'!A127</f>
        <v>70</v>
      </c>
      <c r="B55" s="372"/>
      <c r="C55" s="363" t="str">
        <f>+'ATT H-3D'!C127</f>
        <v xml:space="preserve">    Less Regulatory Commission Exp Account 928</v>
      </c>
      <c r="D55" s="356"/>
      <c r="E55" s="393" t="str">
        <f>+'ATT H-3D'!E127</f>
        <v>(Note E)</v>
      </c>
      <c r="F55" s="385" t="str">
        <f>+'ATT H-3D'!F127</f>
        <v>p323.189b</v>
      </c>
      <c r="G55" s="579">
        <v>3651224</v>
      </c>
      <c r="H55" s="575">
        <f>190738+132102+7805+488+6354+3200</f>
        <v>340687</v>
      </c>
      <c r="I55" s="575">
        <f>G55-H55</f>
        <v>3310537</v>
      </c>
      <c r="J55" s="675" t="s">
        <v>773</v>
      </c>
      <c r="K55" s="675"/>
      <c r="L55" s="675"/>
      <c r="M55" s="675"/>
      <c r="N55" s="675"/>
      <c r="O55" s="675"/>
      <c r="P55" s="675"/>
      <c r="Q55" s="676"/>
    </row>
    <row r="56" spans="1:17" ht="15.75">
      <c r="A56" s="381"/>
      <c r="B56" s="373" t="s">
        <v>86</v>
      </c>
      <c r="C56" s="360"/>
      <c r="D56" s="353"/>
      <c r="E56" s="389"/>
      <c r="F56" s="551"/>
      <c r="G56" s="348"/>
      <c r="H56" s="585"/>
      <c r="I56" s="348"/>
      <c r="J56" s="295"/>
      <c r="K56" s="295"/>
      <c r="L56" s="295"/>
      <c r="M56" s="295"/>
      <c r="N56" s="295"/>
      <c r="O56" s="295"/>
      <c r="P56" s="295"/>
      <c r="Q56" s="417"/>
    </row>
    <row r="57" spans="1:17" ht="16.5" thickBot="1">
      <c r="A57" s="399">
        <f>+'ATT H-3D'!A136</f>
        <v>77</v>
      </c>
      <c r="B57" s="405"/>
      <c r="C57" s="406" t="str">
        <f>+'ATT H-3D'!C136</f>
        <v>Regulatory Commission Exp Account 928</v>
      </c>
      <c r="D57" s="409"/>
      <c r="E57" s="407" t="str">
        <f>+'ATT H-3D'!E136</f>
        <v>(Note G)</v>
      </c>
      <c r="F57" s="408" t="str">
        <f>+'ATT H-3D'!F136</f>
        <v>p323.189b</v>
      </c>
      <c r="G57" s="532">
        <f>G55</f>
        <v>3651224</v>
      </c>
      <c r="H57" s="532">
        <f>H55</f>
        <v>340687</v>
      </c>
      <c r="I57" s="532">
        <f>G57-H57</f>
        <v>3310537</v>
      </c>
      <c r="J57" s="1222" t="s">
        <v>773</v>
      </c>
      <c r="K57" s="1222"/>
      <c r="L57" s="1222"/>
      <c r="M57" s="1222"/>
      <c r="N57" s="1222"/>
      <c r="O57" s="1222"/>
      <c r="P57" s="1222"/>
      <c r="Q57" s="1223"/>
    </row>
    <row r="58" spans="1:17">
      <c r="G58" s="569"/>
      <c r="H58" s="294"/>
      <c r="I58" s="294"/>
      <c r="J58" s="294"/>
      <c r="K58" s="294"/>
      <c r="L58" s="294"/>
      <c r="M58" s="294"/>
      <c r="N58" s="294"/>
      <c r="O58" s="294"/>
      <c r="P58" s="294"/>
      <c r="Q58" s="294"/>
    </row>
    <row r="59" spans="1:17">
      <c r="G59" s="294"/>
      <c r="H59" s="294"/>
      <c r="I59" s="294"/>
      <c r="J59" s="294"/>
      <c r="K59" s="294"/>
      <c r="L59" s="294"/>
      <c r="M59" s="294"/>
      <c r="N59" s="294"/>
      <c r="O59" s="294"/>
      <c r="P59" s="294"/>
      <c r="Q59" s="294"/>
    </row>
    <row r="60" spans="1:17" ht="21" thickBot="1">
      <c r="A60" s="404" t="s">
        <v>389</v>
      </c>
      <c r="G60" s="294"/>
      <c r="H60" s="294"/>
      <c r="I60" s="294"/>
      <c r="J60" s="294"/>
      <c r="K60" s="294"/>
      <c r="L60" s="294"/>
      <c r="M60" s="294"/>
      <c r="N60" s="294"/>
      <c r="O60" s="294"/>
      <c r="P60" s="294"/>
      <c r="Q60" s="294"/>
    </row>
    <row r="61" spans="1:17" ht="26.25">
      <c r="A61" s="1200" t="s">
        <v>611</v>
      </c>
      <c r="B61" s="1201"/>
      <c r="C61" s="1201"/>
      <c r="D61" s="1201"/>
      <c r="E61" s="1201"/>
      <c r="F61" s="1202"/>
      <c r="G61" s="425" t="s">
        <v>319</v>
      </c>
      <c r="H61" s="425" t="s">
        <v>323</v>
      </c>
      <c r="I61" s="425" t="s">
        <v>384</v>
      </c>
      <c r="J61" s="1189" t="s">
        <v>279</v>
      </c>
      <c r="K61" s="1224"/>
      <c r="L61" s="1224"/>
      <c r="M61" s="1224"/>
      <c r="N61" s="1224"/>
      <c r="O61" s="1224"/>
      <c r="P61" s="1224"/>
      <c r="Q61" s="1225"/>
    </row>
    <row r="62" spans="1:17" ht="15.75">
      <c r="A62" s="381"/>
      <c r="B62" s="373" t="s">
        <v>86</v>
      </c>
      <c r="C62" s="350"/>
      <c r="D62" s="353"/>
      <c r="E62" s="354"/>
      <c r="F62" s="379"/>
      <c r="G62" s="295"/>
      <c r="H62" s="295"/>
      <c r="I62" s="295"/>
      <c r="J62" s="295"/>
      <c r="K62" s="295"/>
      <c r="L62" s="295"/>
      <c r="M62" s="295"/>
      <c r="N62" s="295"/>
      <c r="O62" s="295"/>
      <c r="P62" s="295"/>
      <c r="Q62" s="417"/>
    </row>
    <row r="63" spans="1:17" ht="16.5" thickBot="1">
      <c r="A63" s="412">
        <f>+'ATT H-3D'!A141</f>
        <v>81</v>
      </c>
      <c r="B63" s="405"/>
      <c r="C63" s="553" t="str">
        <f>+'ATT H-3D'!C141</f>
        <v>General Advertising Exp Account 930.1</v>
      </c>
      <c r="D63" s="403"/>
      <c r="E63" s="555" t="str">
        <f>+'ATT H-3D'!E141</f>
        <v>(Note F)</v>
      </c>
      <c r="F63" s="554" t="str">
        <f>+'ATT H-3D'!F141</f>
        <v>p323.191b</v>
      </c>
      <c r="G63" s="586">
        <v>161759</v>
      </c>
      <c r="H63" s="587">
        <v>0</v>
      </c>
      <c r="I63" s="587">
        <f>G63</f>
        <v>161759</v>
      </c>
      <c r="J63" s="1229" t="s">
        <v>488</v>
      </c>
      <c r="K63" s="1229"/>
      <c r="L63" s="1229"/>
      <c r="M63" s="1229"/>
      <c r="N63" s="1229"/>
      <c r="O63" s="1229"/>
      <c r="P63" s="1229"/>
      <c r="Q63" s="1230"/>
    </row>
    <row r="64" spans="1:17" ht="15.75">
      <c r="A64" s="361"/>
      <c r="B64" s="384"/>
      <c r="C64" s="363"/>
      <c r="D64" s="353"/>
      <c r="E64" s="352"/>
      <c r="F64" s="363"/>
      <c r="G64" s="348"/>
      <c r="H64" s="348"/>
      <c r="I64" s="348"/>
      <c r="J64" s="421"/>
      <c r="K64" s="420"/>
      <c r="L64" s="420"/>
      <c r="M64" s="420"/>
      <c r="N64" s="420"/>
      <c r="O64" s="420"/>
      <c r="P64" s="420"/>
      <c r="Q64" s="420"/>
    </row>
    <row r="65" spans="1:21">
      <c r="G65" s="294"/>
      <c r="H65" s="294"/>
      <c r="I65" s="294"/>
      <c r="J65" s="294"/>
      <c r="K65" s="294"/>
      <c r="L65" s="294"/>
      <c r="M65" s="294"/>
      <c r="N65" s="294"/>
      <c r="O65" s="294"/>
      <c r="P65" s="294"/>
      <c r="Q65" s="294"/>
    </row>
    <row r="66" spans="1:21" ht="21" thickBot="1">
      <c r="A66" s="404" t="s">
        <v>318</v>
      </c>
      <c r="G66" s="294"/>
      <c r="H66" s="294"/>
      <c r="I66" s="294"/>
      <c r="J66" s="294"/>
      <c r="K66" s="294"/>
      <c r="L66" s="294"/>
      <c r="M66" s="294"/>
      <c r="N66" s="294"/>
      <c r="O66" s="294"/>
      <c r="P66" s="294"/>
      <c r="Q66" s="294"/>
    </row>
    <row r="67" spans="1:21" ht="18">
      <c r="A67" s="1200" t="s">
        <v>611</v>
      </c>
      <c r="B67" s="1201"/>
      <c r="C67" s="1201"/>
      <c r="D67" s="1201"/>
      <c r="E67" s="1201"/>
      <c r="F67" s="1202"/>
      <c r="G67" s="425" t="s">
        <v>325</v>
      </c>
      <c r="H67" s="425" t="s">
        <v>326</v>
      </c>
      <c r="I67" s="425" t="s">
        <v>327</v>
      </c>
      <c r="J67" s="425" t="s">
        <v>328</v>
      </c>
      <c r="K67" s="425" t="s">
        <v>329</v>
      </c>
      <c r="L67" s="1189" t="s">
        <v>279</v>
      </c>
      <c r="M67" s="1224"/>
      <c r="N67" s="1224"/>
      <c r="O67" s="1224"/>
      <c r="P67" s="1224"/>
      <c r="Q67" s="1225"/>
    </row>
    <row r="68" spans="1:21" ht="15.75">
      <c r="A68" s="376" t="s">
        <v>66</v>
      </c>
      <c r="B68" s="365" t="s">
        <v>132</v>
      </c>
      <c r="C68" s="245"/>
      <c r="D68" s="245"/>
      <c r="E68" s="354"/>
      <c r="F68" s="375"/>
      <c r="G68" s="295"/>
      <c r="H68" s="295"/>
      <c r="I68" s="295"/>
      <c r="J68" s="295"/>
      <c r="K68" s="295"/>
      <c r="L68" s="295"/>
      <c r="M68" s="295"/>
      <c r="N68" s="295"/>
      <c r="O68" s="295"/>
      <c r="P68" s="295"/>
      <c r="Q68" s="417"/>
      <c r="U68" s="584"/>
    </row>
    <row r="69" spans="1:21" ht="15.75">
      <c r="A69" s="376"/>
      <c r="B69" s="365"/>
      <c r="C69" s="245"/>
      <c r="D69" s="245"/>
      <c r="E69" s="354"/>
      <c r="F69" s="375"/>
      <c r="G69" s="571" t="s">
        <v>510</v>
      </c>
      <c r="H69" s="348" t="s">
        <v>511</v>
      </c>
      <c r="I69" s="348" t="s">
        <v>512</v>
      </c>
      <c r="J69" s="348" t="s">
        <v>513</v>
      </c>
      <c r="K69" s="348" t="s">
        <v>808</v>
      </c>
      <c r="L69" s="1216" t="s">
        <v>324</v>
      </c>
      <c r="M69" s="1231"/>
      <c r="N69" s="1231"/>
      <c r="O69" s="1231"/>
      <c r="P69" s="1231"/>
      <c r="Q69" s="1232"/>
    </row>
    <row r="70" spans="1:21" ht="16.5" thickBot="1">
      <c r="A70" s="412">
        <f>+'ATT H-3D'!A221</f>
        <v>129</v>
      </c>
      <c r="B70" s="400"/>
      <c r="C70" s="553" t="str">
        <f>+'ATT H-3D'!C221</f>
        <v>SIT=State Income Tax Rate or Composite</v>
      </c>
      <c r="D70" s="413"/>
      <c r="E70" s="555" t="str">
        <f>+'ATT H-3D'!E221</f>
        <v>(Note I)</v>
      </c>
      <c r="F70" s="721">
        <v>8.5558999999999996E-2</v>
      </c>
      <c r="G70" s="704">
        <v>8.2500000000000004E-2</v>
      </c>
      <c r="H70" s="705">
        <v>9.9900000000000003E-2</v>
      </c>
      <c r="I70" s="706">
        <v>0.06</v>
      </c>
      <c r="J70" s="707">
        <v>8.6999999999999994E-2</v>
      </c>
      <c r="K70" s="708">
        <v>6.5000000000000002E-2</v>
      </c>
      <c r="L70" s="1227" t="s">
        <v>857</v>
      </c>
      <c r="M70" s="1227"/>
      <c r="N70" s="1227"/>
      <c r="O70" s="1227"/>
      <c r="P70" s="1227"/>
      <c r="Q70" s="1228"/>
    </row>
    <row r="71" spans="1:21">
      <c r="G71" s="294"/>
      <c r="H71" s="294"/>
      <c r="I71" s="294"/>
      <c r="J71" s="294"/>
      <c r="K71" s="294"/>
      <c r="L71" s="294"/>
      <c r="M71" s="294"/>
      <c r="N71" s="294"/>
      <c r="O71" s="294"/>
      <c r="P71" s="294"/>
      <c r="Q71" s="294"/>
    </row>
    <row r="72" spans="1:21">
      <c r="G72" s="294"/>
      <c r="H72" s="294"/>
      <c r="I72" s="294"/>
      <c r="J72" s="294"/>
      <c r="K72" s="294"/>
      <c r="L72" s="294"/>
      <c r="M72" s="294"/>
      <c r="N72" s="294"/>
      <c r="O72" s="294"/>
      <c r="P72" s="294"/>
      <c r="Q72" s="294"/>
    </row>
    <row r="73" spans="1:21" ht="21" thickBot="1">
      <c r="A73" s="404" t="s">
        <v>390</v>
      </c>
      <c r="G73" s="294"/>
      <c r="H73" s="294"/>
      <c r="I73" s="294"/>
      <c r="J73" s="294"/>
      <c r="K73" s="294"/>
      <c r="L73" s="294"/>
      <c r="M73" s="294"/>
      <c r="N73" s="294"/>
      <c r="O73" s="294"/>
      <c r="P73" s="294"/>
      <c r="Q73" s="294"/>
    </row>
    <row r="74" spans="1:21" ht="26.25">
      <c r="A74" s="1200" t="s">
        <v>611</v>
      </c>
      <c r="B74" s="1201"/>
      <c r="C74" s="1201"/>
      <c r="D74" s="1201"/>
      <c r="E74" s="1201"/>
      <c r="F74" s="1202"/>
      <c r="G74" s="425" t="s">
        <v>319</v>
      </c>
      <c r="H74" s="425" t="s">
        <v>330</v>
      </c>
      <c r="I74" s="425" t="s">
        <v>331</v>
      </c>
      <c r="J74" s="1189" t="s">
        <v>279</v>
      </c>
      <c r="K74" s="1224"/>
      <c r="L74" s="1224"/>
      <c r="M74" s="1224"/>
      <c r="N74" s="1224"/>
      <c r="O74" s="1224"/>
      <c r="P74" s="1224"/>
      <c r="Q74" s="1225"/>
    </row>
    <row r="75" spans="1:21" ht="15.75">
      <c r="A75" s="381"/>
      <c r="B75" s="373" t="s">
        <v>86</v>
      </c>
      <c r="C75" s="350"/>
      <c r="D75" s="353"/>
      <c r="E75" s="354"/>
      <c r="F75" s="379"/>
      <c r="G75" s="295"/>
      <c r="H75" s="295"/>
      <c r="I75" s="295"/>
      <c r="J75" s="295"/>
      <c r="K75" s="295"/>
      <c r="L75" s="295"/>
      <c r="M75" s="295"/>
      <c r="N75" s="295"/>
      <c r="O75" s="295"/>
      <c r="P75" s="295"/>
      <c r="Q75" s="417"/>
    </row>
    <row r="76" spans="1:21" ht="16.5" thickBot="1">
      <c r="A76" s="412">
        <f>+'ATT H-3D'!A137</f>
        <v>78</v>
      </c>
      <c r="B76" s="405"/>
      <c r="C76" s="553" t="str">
        <f>+'ATT H-3D'!C137</f>
        <v>General Advertising Exp Account 930.1</v>
      </c>
      <c r="D76" s="414"/>
      <c r="E76" s="555" t="str">
        <f>+'ATT H-3D'!E137</f>
        <v>(Note K)</v>
      </c>
      <c r="F76" s="554" t="str">
        <f>+'ATT H-3D'!F137</f>
        <v>p323.191b</v>
      </c>
      <c r="G76" s="572">
        <f>+G63</f>
        <v>161759</v>
      </c>
      <c r="H76" s="456">
        <v>0</v>
      </c>
      <c r="I76" s="556">
        <f>G76-H76</f>
        <v>161759</v>
      </c>
      <c r="J76" s="1226" t="str">
        <f>+J63</f>
        <v>None</v>
      </c>
      <c r="K76" s="1222"/>
      <c r="L76" s="1222"/>
      <c r="M76" s="1222"/>
      <c r="N76" s="1222"/>
      <c r="O76" s="1222"/>
      <c r="P76" s="1222"/>
      <c r="Q76" s="1223"/>
    </row>
    <row r="77" spans="1:21">
      <c r="G77" s="294"/>
      <c r="H77" s="294"/>
      <c r="I77" s="294"/>
      <c r="J77" s="294"/>
      <c r="K77" s="294"/>
      <c r="L77" s="294"/>
      <c r="M77" s="294"/>
      <c r="N77" s="294"/>
      <c r="O77" s="294"/>
      <c r="P77" s="294"/>
      <c r="Q77" s="294"/>
    </row>
    <row r="78" spans="1:21">
      <c r="G78" s="294"/>
      <c r="H78" s="294"/>
      <c r="I78" s="294"/>
      <c r="J78" s="294"/>
      <c r="K78" s="294"/>
      <c r="L78" s="294"/>
      <c r="M78" s="294"/>
      <c r="N78" s="294"/>
      <c r="O78" s="294"/>
      <c r="P78" s="294"/>
      <c r="Q78" s="294"/>
    </row>
    <row r="79" spans="1:21" ht="21" thickBot="1">
      <c r="A79" s="404" t="s">
        <v>392</v>
      </c>
      <c r="G79" s="294"/>
      <c r="H79" s="294"/>
      <c r="I79" s="294"/>
      <c r="J79" s="294"/>
      <c r="K79" s="294"/>
      <c r="L79" s="294"/>
      <c r="M79" s="294"/>
      <c r="N79" s="294"/>
      <c r="O79" s="294"/>
      <c r="P79" s="294"/>
      <c r="Q79" s="294"/>
    </row>
    <row r="80" spans="1:21" ht="39">
      <c r="A80" s="1200" t="s">
        <v>611</v>
      </c>
      <c r="B80" s="1201"/>
      <c r="C80" s="1201"/>
      <c r="D80" s="1201"/>
      <c r="E80" s="1201"/>
      <c r="F80" s="1202"/>
      <c r="G80" s="425" t="str">
        <f>+C82</f>
        <v>Excluded Transmission Facilities</v>
      </c>
      <c r="H80" s="1189" t="s">
        <v>333</v>
      </c>
      <c r="I80" s="1214"/>
      <c r="J80" s="1214"/>
      <c r="K80" s="1214"/>
      <c r="L80" s="1214"/>
      <c r="M80" s="1214"/>
      <c r="N80" s="1214"/>
      <c r="O80" s="1214"/>
      <c r="P80" s="1214"/>
      <c r="Q80" s="1215"/>
    </row>
    <row r="81" spans="1:17" ht="18">
      <c r="A81" s="395"/>
      <c r="B81" s="349" t="s">
        <v>90</v>
      </c>
      <c r="C81" s="369"/>
      <c r="D81" s="370"/>
      <c r="E81" s="371"/>
      <c r="F81" s="396"/>
      <c r="G81" s="295"/>
      <c r="H81" s="295"/>
      <c r="I81" s="295"/>
      <c r="J81" s="295"/>
      <c r="K81" s="295"/>
      <c r="L81" s="295"/>
      <c r="M81" s="295"/>
      <c r="N81" s="295"/>
      <c r="O81" s="295"/>
      <c r="P81" s="295"/>
      <c r="Q81" s="417"/>
    </row>
    <row r="82" spans="1:17" ht="18">
      <c r="A82" s="381">
        <f>+'ATT H-3D'!A255</f>
        <v>149</v>
      </c>
      <c r="B82" s="372"/>
      <c r="C82" s="363" t="str">
        <f>+'ATT H-3D'!C255</f>
        <v>Excluded Transmission Facilities</v>
      </c>
      <c r="D82" s="370"/>
      <c r="E82" s="393" t="str">
        <f>+'ATT H-3D'!E255</f>
        <v>(Note M)</v>
      </c>
      <c r="F82" s="385" t="str">
        <f>+'ATT H-3D'!F255</f>
        <v>Attachment 5</v>
      </c>
      <c r="G82" s="442">
        <v>0</v>
      </c>
      <c r="H82" s="1216" t="s">
        <v>335</v>
      </c>
      <c r="I82" s="1217"/>
      <c r="J82" s="1217"/>
      <c r="K82" s="1217"/>
      <c r="L82" s="1217"/>
      <c r="M82" s="1217"/>
      <c r="N82" s="1217"/>
      <c r="O82" s="1217"/>
      <c r="P82" s="1217"/>
      <c r="Q82" s="1218"/>
    </row>
    <row r="83" spans="1:17" ht="18">
      <c r="A83" s="381"/>
      <c r="B83" s="372"/>
      <c r="C83" s="357"/>
      <c r="D83" s="370"/>
      <c r="E83" s="359"/>
      <c r="F83" s="382"/>
      <c r="G83" s="295"/>
      <c r="H83" s="295"/>
      <c r="I83" s="295"/>
      <c r="J83" s="295"/>
      <c r="K83" s="295"/>
      <c r="L83" s="295"/>
      <c r="M83" s="295"/>
      <c r="N83" s="295"/>
      <c r="O83" s="348"/>
      <c r="P83" s="295"/>
      <c r="Q83" s="417"/>
    </row>
    <row r="84" spans="1:17" ht="18">
      <c r="A84" s="381"/>
      <c r="B84" s="372"/>
      <c r="C84" s="357" t="s">
        <v>531</v>
      </c>
      <c r="D84" s="370"/>
      <c r="E84" s="359"/>
      <c r="F84" s="382"/>
      <c r="G84" s="348" t="s">
        <v>332</v>
      </c>
      <c r="H84" s="1216" t="s">
        <v>488</v>
      </c>
      <c r="I84" s="1217"/>
      <c r="J84" s="1217"/>
      <c r="K84" s="1217"/>
      <c r="L84" s="1217"/>
      <c r="M84" s="1217"/>
      <c r="N84" s="1217"/>
      <c r="O84" s="1217"/>
      <c r="P84" s="1217"/>
      <c r="Q84" s="1218"/>
    </row>
    <row r="85" spans="1:17" ht="18">
      <c r="A85" s="381"/>
      <c r="B85" s="372">
        <v>1</v>
      </c>
      <c r="C85" s="357" t="s">
        <v>455</v>
      </c>
      <c r="D85" s="370"/>
      <c r="E85" s="359"/>
      <c r="F85" s="382"/>
      <c r="G85" s="599"/>
      <c r="H85" s="1216"/>
      <c r="I85" s="1217"/>
      <c r="J85" s="1217"/>
      <c r="K85" s="1217"/>
      <c r="L85" s="1217"/>
      <c r="M85" s="1217"/>
      <c r="N85" s="1217"/>
      <c r="O85" s="1217"/>
      <c r="P85" s="1217"/>
      <c r="Q85" s="1218"/>
    </row>
    <row r="86" spans="1:17" ht="18">
      <c r="A86" s="381"/>
      <c r="B86" s="372"/>
      <c r="C86" s="357" t="s">
        <v>456</v>
      </c>
      <c r="D86" s="370"/>
      <c r="E86" s="359"/>
      <c r="F86" s="382"/>
      <c r="G86" s="599"/>
      <c r="H86" s="421"/>
      <c r="I86" s="420"/>
      <c r="J86" s="420"/>
      <c r="K86" s="420"/>
      <c r="L86" s="420"/>
      <c r="M86" s="420"/>
      <c r="N86" s="420"/>
      <c r="O86" s="420"/>
      <c r="P86" s="420"/>
      <c r="Q86" s="592"/>
    </row>
    <row r="87" spans="1:17" ht="18">
      <c r="A87" s="381"/>
      <c r="B87" s="372">
        <v>2</v>
      </c>
      <c r="C87" s="357" t="s">
        <v>532</v>
      </c>
      <c r="D87" s="370"/>
      <c r="E87" s="359"/>
      <c r="F87" s="382"/>
      <c r="G87" s="348" t="s">
        <v>593</v>
      </c>
      <c r="H87" s="1216"/>
      <c r="I87" s="1217"/>
      <c r="J87" s="1217"/>
      <c r="K87" s="1217"/>
      <c r="L87" s="1217"/>
      <c r="M87" s="1217"/>
      <c r="N87" s="1217"/>
      <c r="O87" s="1217"/>
      <c r="P87" s="1217"/>
      <c r="Q87" s="1218"/>
    </row>
    <row r="88" spans="1:17" ht="18">
      <c r="A88" s="381"/>
      <c r="B88" s="372"/>
      <c r="C88" s="357" t="s">
        <v>533</v>
      </c>
      <c r="D88" s="663" t="s">
        <v>536</v>
      </c>
      <c r="E88" s="359"/>
      <c r="F88" s="382"/>
      <c r="G88" s="348" t="str">
        <f>+G84</f>
        <v>Enter $</v>
      </c>
      <c r="H88" s="1216"/>
      <c r="I88" s="1217"/>
      <c r="J88" s="1217"/>
      <c r="K88" s="1217"/>
      <c r="L88" s="1217"/>
      <c r="M88" s="1217"/>
      <c r="N88" s="1217"/>
      <c r="O88" s="1217"/>
      <c r="P88" s="1217"/>
      <c r="Q88" s="1218"/>
    </row>
    <row r="89" spans="1:17" ht="15.75">
      <c r="A89" s="682"/>
      <c r="B89" s="664" t="s">
        <v>68</v>
      </c>
      <c r="C89" s="357" t="s">
        <v>534</v>
      </c>
      <c r="D89" s="665">
        <v>1000000</v>
      </c>
      <c r="E89" s="475"/>
      <c r="F89" s="666"/>
      <c r="G89" s="599"/>
      <c r="H89" s="1216"/>
      <c r="I89" s="1217"/>
      <c r="J89" s="1217"/>
      <c r="K89" s="1217"/>
      <c r="L89" s="1217"/>
      <c r="M89" s="1217"/>
      <c r="N89" s="1217"/>
      <c r="O89" s="1217"/>
      <c r="P89" s="1217"/>
      <c r="Q89" s="1218"/>
    </row>
    <row r="90" spans="1:17" ht="15.75">
      <c r="A90" s="682"/>
      <c r="B90" s="664" t="s">
        <v>182</v>
      </c>
      <c r="C90" s="357" t="s">
        <v>591</v>
      </c>
      <c r="D90" s="665">
        <v>500000</v>
      </c>
      <c r="E90" s="475"/>
      <c r="F90" s="666"/>
      <c r="G90" s="599"/>
      <c r="H90" s="1216"/>
      <c r="I90" s="1217"/>
      <c r="J90" s="1217"/>
      <c r="K90" s="1217"/>
      <c r="L90" s="1217"/>
      <c r="M90" s="1217"/>
      <c r="N90" s="1217"/>
      <c r="O90" s="1217"/>
      <c r="P90" s="1217"/>
      <c r="Q90" s="1218"/>
    </row>
    <row r="91" spans="1:17" ht="15.75">
      <c r="A91" s="682"/>
      <c r="B91" s="664" t="s">
        <v>46</v>
      </c>
      <c r="C91" s="357" t="s">
        <v>592</v>
      </c>
      <c r="D91" s="665">
        <v>400000</v>
      </c>
      <c r="E91" s="475"/>
      <c r="F91" s="666"/>
      <c r="G91" s="599"/>
      <c r="H91" s="1216"/>
      <c r="I91" s="1217"/>
      <c r="J91" s="1217"/>
      <c r="K91" s="1217"/>
      <c r="L91" s="1217"/>
      <c r="M91" s="1217"/>
      <c r="N91" s="1217"/>
      <c r="O91" s="1217"/>
      <c r="P91" s="1217"/>
      <c r="Q91" s="1218"/>
    </row>
    <row r="92" spans="1:17" ht="15.75">
      <c r="A92" s="682"/>
      <c r="B92" s="664" t="s">
        <v>69</v>
      </c>
      <c r="C92" s="357" t="s">
        <v>535</v>
      </c>
      <c r="D92" s="665">
        <f>+D89*(D91/(D90+D91))</f>
        <v>444444.44444444444</v>
      </c>
      <c r="E92" s="475"/>
      <c r="F92" s="666"/>
      <c r="G92" s="599"/>
      <c r="H92" s="1216"/>
      <c r="I92" s="1217"/>
      <c r="J92" s="1217"/>
      <c r="K92" s="1217"/>
      <c r="L92" s="1217"/>
      <c r="M92" s="1217"/>
      <c r="N92" s="1217"/>
      <c r="O92" s="1217"/>
      <c r="P92" s="1217"/>
      <c r="Q92" s="1218"/>
    </row>
    <row r="93" spans="1:17" ht="13.5" thickBot="1">
      <c r="A93" s="683"/>
      <c r="B93" s="536"/>
      <c r="C93" s="536"/>
      <c r="D93" s="327"/>
      <c r="E93" s="327"/>
      <c r="F93" s="328"/>
      <c r="G93" s="418"/>
      <c r="H93" s="418"/>
      <c r="I93" s="418"/>
      <c r="J93" s="418"/>
      <c r="K93" s="426" t="s">
        <v>334</v>
      </c>
      <c r="L93" s="418"/>
      <c r="M93" s="418"/>
      <c r="N93" s="418"/>
      <c r="O93" s="418"/>
      <c r="P93" s="418"/>
      <c r="Q93" s="423"/>
    </row>
    <row r="94" spans="1:17">
      <c r="A94" s="325"/>
      <c r="B94" s="325"/>
      <c r="C94" s="325"/>
      <c r="D94" s="325"/>
      <c r="E94" s="325"/>
      <c r="F94" s="325"/>
      <c r="G94" s="295"/>
      <c r="H94" s="295"/>
      <c r="I94" s="295"/>
      <c r="J94" s="295"/>
      <c r="K94" s="297"/>
      <c r="L94" s="295"/>
      <c r="M94" s="295"/>
      <c r="N94" s="295"/>
      <c r="O94" s="295"/>
      <c r="P94" s="295"/>
      <c r="Q94" s="295"/>
    </row>
    <row r="95" spans="1:17">
      <c r="A95" s="325"/>
      <c r="B95" s="325"/>
      <c r="C95" s="325"/>
      <c r="D95" s="325"/>
      <c r="E95" s="325"/>
      <c r="F95" s="325"/>
      <c r="G95" s="295"/>
      <c r="H95" s="295"/>
      <c r="I95" s="295"/>
      <c r="J95" s="295"/>
      <c r="K95" s="297"/>
      <c r="L95" s="295"/>
      <c r="M95" s="295"/>
      <c r="N95" s="295"/>
      <c r="O95" s="295"/>
      <c r="P95" s="295"/>
      <c r="Q95" s="295"/>
    </row>
    <row r="96" spans="1:17" ht="21" thickBot="1">
      <c r="A96" s="404" t="s">
        <v>393</v>
      </c>
      <c r="G96" s="294"/>
      <c r="H96" s="294"/>
      <c r="I96" s="294"/>
      <c r="J96" s="294"/>
      <c r="K96" s="294"/>
      <c r="L96" s="294"/>
      <c r="M96" s="294"/>
      <c r="N96" s="294"/>
      <c r="O96" s="294"/>
      <c r="P96" s="294"/>
      <c r="Q96" s="294"/>
    </row>
    <row r="97" spans="1:17" ht="26.25">
      <c r="A97" s="1200" t="s">
        <v>611</v>
      </c>
      <c r="B97" s="1201"/>
      <c r="C97" s="1201"/>
      <c r="D97" s="1201"/>
      <c r="E97" s="1201"/>
      <c r="F97" s="1202"/>
      <c r="G97" s="425" t="str">
        <f>+C99</f>
        <v>Outstanding Network Credits</v>
      </c>
      <c r="H97" s="1189" t="s">
        <v>337</v>
      </c>
      <c r="I97" s="1214"/>
      <c r="J97" s="1214"/>
      <c r="K97" s="1214"/>
      <c r="L97" s="1214"/>
      <c r="M97" s="1214"/>
      <c r="N97" s="1214"/>
      <c r="O97" s="1214"/>
      <c r="P97" s="1214"/>
      <c r="Q97" s="1215"/>
    </row>
    <row r="98" spans="1:17" ht="15.75">
      <c r="A98" s="387"/>
      <c r="B98" s="355" t="s">
        <v>304</v>
      </c>
      <c r="C98" s="388"/>
      <c r="D98" s="362"/>
      <c r="E98" s="389"/>
      <c r="F98" s="375"/>
      <c r="G98" s="348" t="s">
        <v>332</v>
      </c>
      <c r="H98" s="295"/>
      <c r="I98" s="295"/>
      <c r="J98" s="295"/>
      <c r="K98" s="295"/>
      <c r="L98" s="295"/>
      <c r="M98" s="295"/>
      <c r="N98" s="295"/>
      <c r="O98" s="295"/>
      <c r="P98" s="295"/>
      <c r="Q98" s="417"/>
    </row>
    <row r="99" spans="1:17" ht="15.75">
      <c r="A99" s="381">
        <f>+'ATT H-3D'!A103</f>
        <v>55</v>
      </c>
      <c r="B99" s="372"/>
      <c r="C99" s="363" t="str">
        <f>+'ATT H-3D'!C103</f>
        <v>Outstanding Network Credits</v>
      </c>
      <c r="D99" s="372"/>
      <c r="E99" s="393" t="str">
        <f>+'ATT H-3D'!E103</f>
        <v>(Note N)</v>
      </c>
      <c r="F99" s="385" t="str">
        <f>+'ATT H-3D'!F103</f>
        <v>From PJM</v>
      </c>
      <c r="G99" s="442">
        <v>0</v>
      </c>
      <c r="H99" s="1216" t="s">
        <v>336</v>
      </c>
      <c r="I99" s="1217"/>
      <c r="J99" s="1217"/>
      <c r="K99" s="1217"/>
      <c r="L99" s="1217"/>
      <c r="M99" s="1217"/>
      <c r="N99" s="1217"/>
      <c r="O99" s="1217"/>
      <c r="P99" s="1217"/>
      <c r="Q99" s="1218"/>
    </row>
    <row r="100" spans="1:17" ht="15.75">
      <c r="A100" s="381"/>
      <c r="B100" s="372"/>
      <c r="C100" s="363"/>
      <c r="D100" s="372"/>
      <c r="E100" s="393"/>
      <c r="F100" s="385"/>
      <c r="G100" s="295"/>
      <c r="H100" s="295"/>
      <c r="I100" s="295"/>
      <c r="J100" s="295"/>
      <c r="K100" s="295"/>
      <c r="L100" s="295"/>
      <c r="M100" s="295"/>
      <c r="N100" s="295"/>
      <c r="O100" s="348"/>
      <c r="P100" s="295"/>
      <c r="Q100" s="417"/>
    </row>
    <row r="101" spans="1:17" ht="15.75">
      <c r="A101" s="381"/>
      <c r="B101" s="372"/>
      <c r="C101" s="363"/>
      <c r="D101" s="372"/>
      <c r="E101" s="393"/>
      <c r="F101" s="385"/>
      <c r="H101" s="1216" t="s">
        <v>488</v>
      </c>
      <c r="I101" s="1217"/>
      <c r="J101" s="1217"/>
      <c r="K101" s="1217"/>
      <c r="L101" s="1217"/>
      <c r="M101" s="1217"/>
      <c r="N101" s="1217"/>
      <c r="O101" s="1217"/>
      <c r="P101" s="1217"/>
      <c r="Q101" s="1218"/>
    </row>
    <row r="102" spans="1:17" ht="15.75">
      <c r="A102" s="381"/>
      <c r="B102" s="372"/>
      <c r="C102" s="363"/>
      <c r="D102" s="372"/>
      <c r="E102" s="393"/>
      <c r="F102" s="385"/>
      <c r="G102" s="348"/>
      <c r="H102" s="1216"/>
      <c r="I102" s="1217"/>
      <c r="J102" s="1217"/>
      <c r="K102" s="1217"/>
      <c r="L102" s="1217"/>
      <c r="M102" s="1217"/>
      <c r="N102" s="1217"/>
      <c r="O102" s="1217"/>
      <c r="P102" s="1217"/>
      <c r="Q102" s="1218"/>
    </row>
    <row r="103" spans="1:17" ht="15.75">
      <c r="A103" s="381"/>
      <c r="B103" s="372"/>
      <c r="C103" s="363"/>
      <c r="D103" s="372"/>
      <c r="E103" s="393"/>
      <c r="F103" s="385"/>
      <c r="G103" s="348"/>
      <c r="H103" s="1216"/>
      <c r="I103" s="1217"/>
      <c r="J103" s="1217"/>
      <c r="K103" s="1217"/>
      <c r="L103" s="1217"/>
      <c r="M103" s="1217"/>
      <c r="N103" s="1217"/>
      <c r="O103" s="1217"/>
      <c r="P103" s="1217"/>
      <c r="Q103" s="1218"/>
    </row>
    <row r="104" spans="1:17" ht="15.75">
      <c r="A104" s="381">
        <f>+'ATT H-3D'!A104</f>
        <v>56</v>
      </c>
      <c r="B104" s="372"/>
      <c r="C104" s="363" t="str">
        <f>+'ATT H-3D'!C104</f>
        <v xml:space="preserve">    Less Accumulated Depreciation Associated with Facilities with Outstanding Network Credits</v>
      </c>
      <c r="D104" s="372"/>
      <c r="E104" s="393" t="str">
        <f>+'ATT H-3D'!E104</f>
        <v>(Note N)</v>
      </c>
      <c r="F104" s="385" t="str">
        <f>+'ATT H-3D'!F104</f>
        <v>From PJM</v>
      </c>
      <c r="G104" s="348">
        <v>0</v>
      </c>
      <c r="H104" s="1216"/>
      <c r="I104" s="1217"/>
      <c r="J104" s="1217"/>
      <c r="K104" s="1217"/>
      <c r="L104" s="1217"/>
      <c r="M104" s="1217"/>
      <c r="N104" s="1217"/>
      <c r="O104" s="1217"/>
      <c r="P104" s="1217"/>
      <c r="Q104" s="1218"/>
    </row>
    <row r="105" spans="1:17" ht="15.75">
      <c r="A105" s="381"/>
      <c r="B105" s="372"/>
      <c r="C105" s="372"/>
      <c r="D105" s="372"/>
      <c r="E105" s="393"/>
      <c r="F105" s="415"/>
      <c r="G105" s="348"/>
      <c r="H105" s="1216"/>
      <c r="I105" s="1217"/>
      <c r="J105" s="1217"/>
      <c r="K105" s="1217"/>
      <c r="L105" s="1217"/>
      <c r="M105" s="1217"/>
      <c r="N105" s="1217"/>
      <c r="O105" s="1217"/>
      <c r="P105" s="1217"/>
      <c r="Q105" s="1218"/>
    </row>
    <row r="106" spans="1:17" ht="15.75">
      <c r="A106" s="381"/>
      <c r="B106" s="372"/>
      <c r="C106" s="372"/>
      <c r="D106" s="372"/>
      <c r="E106" s="393"/>
      <c r="F106" s="415"/>
      <c r="G106" s="348"/>
      <c r="H106" s="1216" t="s">
        <v>488</v>
      </c>
      <c r="I106" s="1217"/>
      <c r="J106" s="1217"/>
      <c r="K106" s="1217"/>
      <c r="L106" s="1217"/>
      <c r="M106" s="1217"/>
      <c r="N106" s="1217"/>
      <c r="O106" s="1217"/>
      <c r="P106" s="1217"/>
      <c r="Q106" s="1218"/>
    </row>
    <row r="107" spans="1:17" ht="15.75">
      <c r="A107" s="381"/>
      <c r="B107" s="372"/>
      <c r="C107" s="372"/>
      <c r="D107" s="372"/>
      <c r="E107" s="393"/>
      <c r="F107" s="415"/>
      <c r="G107" s="348"/>
      <c r="H107" s="1216"/>
      <c r="I107" s="1217"/>
      <c r="J107" s="1217"/>
      <c r="K107" s="1217"/>
      <c r="L107" s="1217"/>
      <c r="M107" s="1217"/>
      <c r="N107" s="1217"/>
      <c r="O107" s="1217"/>
      <c r="P107" s="1217"/>
      <c r="Q107" s="1218"/>
    </row>
    <row r="108" spans="1:17" ht="16.5" thickBot="1">
      <c r="A108" s="399"/>
      <c r="B108" s="402"/>
      <c r="C108" s="402"/>
      <c r="D108" s="402"/>
      <c r="E108" s="407"/>
      <c r="F108" s="416"/>
      <c r="G108" s="418"/>
      <c r="H108" s="418"/>
      <c r="I108" s="418"/>
      <c r="J108" s="418"/>
      <c r="K108" s="426" t="s">
        <v>334</v>
      </c>
      <c r="L108" s="418"/>
      <c r="M108" s="418"/>
      <c r="N108" s="418"/>
      <c r="O108" s="418"/>
      <c r="P108" s="418"/>
      <c r="Q108" s="423"/>
    </row>
    <row r="109" spans="1:17" ht="15.75">
      <c r="A109" s="372"/>
      <c r="B109" s="372"/>
      <c r="C109" s="372"/>
      <c r="D109" s="372"/>
      <c r="E109" s="393"/>
      <c r="F109" s="372"/>
      <c r="G109" s="295"/>
      <c r="H109" s="295"/>
      <c r="I109" s="295"/>
      <c r="J109" s="295"/>
      <c r="K109" s="297"/>
      <c r="L109" s="295"/>
      <c r="M109" s="295"/>
      <c r="N109" s="295"/>
      <c r="O109" s="295"/>
      <c r="P109" s="295"/>
      <c r="Q109" s="295"/>
    </row>
    <row r="110" spans="1:17" ht="15.75">
      <c r="A110" s="372"/>
      <c r="B110" s="372"/>
      <c r="C110" s="372"/>
      <c r="D110" s="372"/>
      <c r="E110" s="393"/>
      <c r="F110" s="372"/>
      <c r="G110" s="295"/>
      <c r="H110" s="295"/>
      <c r="I110" s="295"/>
      <c r="J110" s="295"/>
      <c r="K110" s="297"/>
      <c r="L110" s="295"/>
      <c r="M110" s="295"/>
      <c r="N110" s="295"/>
      <c r="O110" s="295"/>
      <c r="P110" s="295"/>
      <c r="Q110" s="295"/>
    </row>
    <row r="111" spans="1:17" ht="21" thickBot="1">
      <c r="A111" s="404" t="s">
        <v>587</v>
      </c>
      <c r="G111" s="294"/>
      <c r="H111" s="294"/>
      <c r="I111" s="294"/>
      <c r="J111" s="294"/>
      <c r="K111" s="294"/>
      <c r="L111" s="294"/>
      <c r="M111" s="294"/>
      <c r="N111" s="294"/>
      <c r="O111" s="294"/>
      <c r="P111" s="294"/>
      <c r="Q111" s="294"/>
    </row>
    <row r="112" spans="1:17" ht="26.25">
      <c r="A112" s="1200" t="s">
        <v>611</v>
      </c>
      <c r="B112" s="1201"/>
      <c r="C112" s="1201"/>
      <c r="D112" s="1201"/>
      <c r="E112" s="1201"/>
      <c r="F112" s="1202"/>
      <c r="G112" s="425" t="s">
        <v>181</v>
      </c>
      <c r="H112" s="425" t="s">
        <v>588</v>
      </c>
      <c r="I112" s="425" t="s">
        <v>321</v>
      </c>
      <c r="J112" s="1189" t="s">
        <v>279</v>
      </c>
      <c r="K112" s="1224"/>
      <c r="L112" s="1224"/>
      <c r="M112" s="1224"/>
      <c r="N112" s="1224"/>
      <c r="O112" s="1224"/>
      <c r="P112" s="1224"/>
      <c r="Q112" s="1225"/>
    </row>
    <row r="113" spans="1:17" ht="15.75">
      <c r="A113" s="684">
        <f>+'ATT H-3D'!A84</f>
        <v>44</v>
      </c>
      <c r="B113" s="373" t="s">
        <v>75</v>
      </c>
      <c r="C113" s="350"/>
      <c r="D113" s="353"/>
      <c r="E113" s="380"/>
      <c r="F113" s="379"/>
      <c r="G113" s="598" t="s">
        <v>332</v>
      </c>
      <c r="H113" s="606"/>
      <c r="I113" s="606" t="s">
        <v>266</v>
      </c>
      <c r="J113" s="295"/>
      <c r="K113" s="295"/>
      <c r="L113" s="295"/>
      <c r="M113" s="295"/>
      <c r="N113" s="295"/>
      <c r="O113" s="295"/>
      <c r="P113" s="295"/>
      <c r="Q113" s="417"/>
    </row>
    <row r="114" spans="1:17" ht="15.75">
      <c r="A114" s="381"/>
      <c r="B114" s="373"/>
      <c r="C114" s="350" t="s">
        <v>589</v>
      </c>
      <c r="D114" s="353"/>
      <c r="E114" s="380"/>
      <c r="F114" s="379"/>
      <c r="G114" s="615">
        <v>0</v>
      </c>
      <c r="H114" s="612">
        <v>1</v>
      </c>
      <c r="I114" s="606">
        <f>+G114*H114</f>
        <v>0</v>
      </c>
      <c r="J114" s="295"/>
      <c r="K114" s="295"/>
      <c r="L114" s="295"/>
      <c r="M114" s="295"/>
      <c r="N114" s="295"/>
      <c r="O114" s="295"/>
      <c r="P114" s="295"/>
      <c r="Q114" s="417"/>
    </row>
    <row r="115" spans="1:17" ht="15.75">
      <c r="A115" s="381"/>
      <c r="B115" s="373"/>
      <c r="C115" s="350" t="s">
        <v>590</v>
      </c>
      <c r="D115" s="353"/>
      <c r="E115" s="380"/>
      <c r="F115" s="379"/>
      <c r="G115" s="615">
        <v>33460936.329999998</v>
      </c>
      <c r="H115" s="835">
        <f>+'ATT H-3D'!H16</f>
        <v>8.0514508226294385E-2</v>
      </c>
      <c r="I115" s="606">
        <f>+G115*H115</f>
        <v>2694090.8334012977</v>
      </c>
      <c r="J115" s="295"/>
      <c r="K115" s="295"/>
      <c r="L115" s="295"/>
      <c r="M115" s="295"/>
      <c r="N115" s="295"/>
      <c r="O115" s="295"/>
      <c r="P115" s="295"/>
      <c r="Q115" s="417"/>
    </row>
    <row r="116" spans="1:17" ht="15.75">
      <c r="A116" s="381"/>
      <c r="B116" s="373"/>
      <c r="C116" s="350" t="s">
        <v>257</v>
      </c>
      <c r="D116" s="353"/>
      <c r="E116" s="380"/>
      <c r="F116" s="379"/>
      <c r="G116" s="615">
        <v>2224249</v>
      </c>
      <c r="H116" s="835">
        <f>+'ATT H-3D'!H32</f>
        <v>0.34936689572563268</v>
      </c>
      <c r="I116" s="606">
        <f>+G116*H116</f>
        <v>777078.96845084277</v>
      </c>
      <c r="J116" s="295"/>
      <c r="K116" s="295"/>
      <c r="L116" s="295"/>
      <c r="M116" s="295"/>
      <c r="N116" s="295"/>
      <c r="O116" s="295"/>
      <c r="P116" s="295"/>
      <c r="Q116" s="417"/>
    </row>
    <row r="117" spans="1:17" ht="16.5" thickBot="1">
      <c r="A117" s="381"/>
      <c r="B117" s="373"/>
      <c r="C117" s="350" t="s">
        <v>331</v>
      </c>
      <c r="D117" s="353"/>
      <c r="E117" s="380"/>
      <c r="F117" s="379"/>
      <c r="G117" s="616"/>
      <c r="H117" s="613">
        <v>0</v>
      </c>
      <c r="I117" s="606">
        <f>+G117*H117</f>
        <v>0</v>
      </c>
      <c r="J117" s="295"/>
      <c r="K117" s="295"/>
      <c r="L117" s="295"/>
      <c r="M117" s="295"/>
      <c r="N117" s="295"/>
      <c r="O117" s="295"/>
      <c r="P117" s="295"/>
      <c r="Q117" s="417"/>
    </row>
    <row r="118" spans="1:17" ht="16.5" thickBot="1">
      <c r="A118" s="683"/>
      <c r="B118" s="405"/>
      <c r="C118" s="406" t="s">
        <v>604</v>
      </c>
      <c r="D118" s="414"/>
      <c r="E118" s="407"/>
      <c r="F118" s="554"/>
      <c r="G118" s="614">
        <f>SUM(G114:G117)</f>
        <v>35685185.329999998</v>
      </c>
      <c r="H118" s="545"/>
      <c r="I118" s="556">
        <f>SUM(I114:I117)</f>
        <v>3471169.8018521406</v>
      </c>
      <c r="J118" s="1226"/>
      <c r="K118" s="1222"/>
      <c r="L118" s="1222"/>
      <c r="M118" s="1222"/>
      <c r="N118" s="1222"/>
      <c r="O118" s="1222"/>
      <c r="P118" s="1222"/>
      <c r="Q118" s="1223"/>
    </row>
    <row r="119" spans="1:17" ht="15.75">
      <c r="A119" s="372"/>
      <c r="B119" s="372"/>
      <c r="C119" s="372"/>
      <c r="D119" s="372"/>
      <c r="E119" s="393"/>
      <c r="F119" s="372"/>
      <c r="G119" s="295"/>
      <c r="H119" s="295"/>
      <c r="I119" s="295"/>
      <c r="J119" s="295"/>
      <c r="K119" s="297"/>
      <c r="L119" s="295"/>
      <c r="M119" s="295"/>
      <c r="N119" s="295"/>
      <c r="O119" s="295"/>
      <c r="P119" s="295"/>
      <c r="Q119" s="295"/>
    </row>
    <row r="120" spans="1:17" ht="15.75">
      <c r="A120" s="372"/>
      <c r="B120" s="372"/>
      <c r="C120" s="372"/>
      <c r="D120" s="372"/>
      <c r="E120" s="393"/>
      <c r="F120" s="372"/>
      <c r="G120" s="295"/>
      <c r="H120" s="295"/>
      <c r="I120" s="295"/>
      <c r="J120" s="295"/>
      <c r="K120" s="297"/>
      <c r="L120" s="295"/>
      <c r="M120" s="295"/>
      <c r="N120" s="295"/>
      <c r="O120" s="295"/>
      <c r="P120" s="295"/>
      <c r="Q120" s="295"/>
    </row>
    <row r="121" spans="1:17" ht="21" thickBot="1">
      <c r="A121" s="404" t="s">
        <v>101</v>
      </c>
      <c r="G121" s="294"/>
      <c r="H121" s="294"/>
      <c r="I121" s="294"/>
      <c r="J121" s="294"/>
      <c r="K121" s="294"/>
      <c r="L121" s="294"/>
      <c r="M121" s="294"/>
      <c r="N121" s="294"/>
      <c r="O121" s="294"/>
      <c r="P121" s="294"/>
      <c r="Q121" s="294"/>
    </row>
    <row r="122" spans="1:17" ht="18">
      <c r="A122" s="1200" t="s">
        <v>611</v>
      </c>
      <c r="B122" s="1201"/>
      <c r="C122" s="1201"/>
      <c r="D122" s="1201"/>
      <c r="E122" s="1201"/>
      <c r="F122" s="1202"/>
      <c r="G122" s="425"/>
      <c r="H122" s="1189" t="s">
        <v>569</v>
      </c>
      <c r="I122" s="1214"/>
      <c r="J122" s="1214"/>
      <c r="K122" s="1214"/>
      <c r="L122" s="1214"/>
      <c r="M122" s="1214"/>
      <c r="N122" s="1214"/>
      <c r="O122" s="1214"/>
      <c r="P122" s="1214"/>
      <c r="Q122" s="1215"/>
    </row>
    <row r="123" spans="1:17" ht="15.75">
      <c r="A123" s="685">
        <f>+'ATT H-3D'!A87</f>
        <v>45</v>
      </c>
      <c r="B123" s="355" t="s">
        <v>101</v>
      </c>
      <c r="C123" s="388"/>
      <c r="D123" s="362"/>
      <c r="E123" s="389"/>
      <c r="F123" s="375"/>
      <c r="G123" s="295"/>
      <c r="H123" s="295"/>
      <c r="I123" s="295"/>
      <c r="J123" s="295"/>
      <c r="K123" s="295"/>
      <c r="L123" s="295"/>
      <c r="M123" s="295"/>
      <c r="N123" s="295"/>
      <c r="O123" s="295"/>
      <c r="P123" s="295"/>
      <c r="Q123" s="417"/>
    </row>
    <row r="124" spans="1:17" ht="15.75">
      <c r="A124" s="381"/>
      <c r="B124" s="372"/>
      <c r="C124" s="325"/>
      <c r="D124" s="366"/>
      <c r="E124" s="366" t="s">
        <v>203</v>
      </c>
      <c r="F124" s="672" t="s">
        <v>286</v>
      </c>
      <c r="G124" s="442"/>
      <c r="H124" s="1216"/>
      <c r="I124" s="1217"/>
      <c r="J124" s="1217"/>
      <c r="K124" s="1217"/>
      <c r="L124" s="1217"/>
      <c r="M124" s="1217"/>
      <c r="N124" s="1217"/>
      <c r="O124" s="1217"/>
      <c r="P124" s="1217"/>
      <c r="Q124" s="1218"/>
    </row>
    <row r="125" spans="1:17" ht="15.75">
      <c r="A125" s="381"/>
      <c r="B125" s="372"/>
      <c r="C125" s="325" t="s">
        <v>475</v>
      </c>
      <c r="D125" s="622">
        <f>G125*H125</f>
        <v>0</v>
      </c>
      <c r="E125" s="623">
        <f>+D134</f>
        <v>6.8461486344818107E-2</v>
      </c>
      <c r="F125" s="596">
        <f>D125*E125</f>
        <v>0</v>
      </c>
      <c r="G125" s="624"/>
      <c r="H125" s="625"/>
      <c r="I125" s="420"/>
      <c r="J125" s="420"/>
      <c r="K125" s="420"/>
      <c r="L125" s="420"/>
      <c r="M125" s="420"/>
      <c r="N125" s="420"/>
      <c r="O125" s="420"/>
      <c r="P125" s="420"/>
      <c r="Q125" s="592"/>
    </row>
    <row r="126" spans="1:17" ht="15.75">
      <c r="A126" s="381"/>
      <c r="B126" s="372"/>
      <c r="C126" s="325"/>
      <c r="D126" s="715"/>
      <c r="E126" s="366"/>
      <c r="F126" s="385"/>
      <c r="G126" s="442"/>
      <c r="H126" s="421"/>
      <c r="I126" s="420"/>
      <c r="J126" s="420"/>
      <c r="K126" s="420"/>
      <c r="L126" s="420"/>
      <c r="M126" s="420"/>
      <c r="N126" s="420"/>
      <c r="O126" s="420"/>
      <c r="P126" s="420"/>
      <c r="Q126" s="592"/>
    </row>
    <row r="127" spans="1:17" ht="15.75">
      <c r="A127" s="381"/>
      <c r="B127" s="372"/>
      <c r="C127" s="325" t="s">
        <v>602</v>
      </c>
      <c r="D127" s="719">
        <v>10086110</v>
      </c>
      <c r="E127" s="605">
        <f>+E125</f>
        <v>6.8461486344818107E-2</v>
      </c>
      <c r="F127" s="596">
        <f>+E127*D127</f>
        <v>690510.0820373334</v>
      </c>
      <c r="G127" s="295"/>
      <c r="H127" s="1216"/>
      <c r="I127" s="1217"/>
      <c r="J127" s="1217"/>
      <c r="K127" s="1217"/>
      <c r="L127" s="1217"/>
      <c r="M127" s="1217"/>
      <c r="N127" s="1217"/>
      <c r="O127" s="1217"/>
      <c r="P127" s="1217"/>
      <c r="Q127" s="1218"/>
    </row>
    <row r="128" spans="1:17" ht="15.75">
      <c r="A128" s="381"/>
      <c r="B128" s="372"/>
      <c r="C128" s="604" t="s">
        <v>562</v>
      </c>
      <c r="D128" s="719">
        <v>205058619</v>
      </c>
      <c r="E128" s="605">
        <f>+E127</f>
        <v>6.8461486344818107E-2</v>
      </c>
      <c r="F128" s="596">
        <f>+E128*D128</f>
        <v>14038617.844555758</v>
      </c>
      <c r="G128" s="1022" t="s">
        <v>776</v>
      </c>
      <c r="H128" s="621"/>
      <c r="I128" s="662"/>
      <c r="J128" s="420"/>
      <c r="K128" s="420"/>
      <c r="L128" s="420"/>
      <c r="M128" s="420"/>
      <c r="N128" s="420"/>
      <c r="O128" s="420"/>
      <c r="P128" s="420"/>
      <c r="Q128" s="592"/>
    </row>
    <row r="129" spans="1:17" ht="15.75">
      <c r="A129" s="381"/>
      <c r="B129" s="372"/>
      <c r="C129" s="601"/>
      <c r="D129" s="602">
        <f>SUM(D127:D128)</f>
        <v>215144729</v>
      </c>
      <c r="E129" s="702">
        <f>E128</f>
        <v>6.8461486344818107E-2</v>
      </c>
      <c r="F129" s="603">
        <f>D129*E129</f>
        <v>14729127.926593091</v>
      </c>
      <c r="G129" s="348"/>
      <c r="H129" s="609"/>
      <c r="I129" s="420"/>
      <c r="J129" s="420"/>
      <c r="K129" s="420"/>
      <c r="L129" s="420"/>
      <c r="M129" s="420"/>
      <c r="N129" s="420"/>
      <c r="O129" s="420"/>
      <c r="P129" s="420"/>
      <c r="Q129" s="592"/>
    </row>
    <row r="130" spans="1:17" ht="15.75">
      <c r="A130" s="381"/>
      <c r="B130" s="372"/>
      <c r="C130" s="372"/>
      <c r="D130" s="372"/>
      <c r="E130" s="372"/>
      <c r="F130" s="415"/>
      <c r="G130" s="348"/>
      <c r="H130" s="1216"/>
      <c r="I130" s="1217"/>
      <c r="J130" s="1217"/>
      <c r="K130" s="1217"/>
      <c r="L130" s="1217"/>
      <c r="M130" s="1217"/>
      <c r="N130" s="1217"/>
      <c r="O130" s="1217"/>
      <c r="P130" s="1217"/>
      <c r="Q130" s="1218"/>
    </row>
    <row r="131" spans="1:17" ht="15.75">
      <c r="A131" s="381"/>
      <c r="B131" s="372"/>
      <c r="C131" s="363"/>
      <c r="D131" s="372"/>
      <c r="E131" s="595"/>
      <c r="F131" s="415"/>
      <c r="G131" s="348"/>
      <c r="H131" s="421"/>
      <c r="I131" s="420"/>
      <c r="J131" s="420"/>
      <c r="K131" s="420"/>
      <c r="L131" s="420"/>
      <c r="M131" s="420"/>
      <c r="N131" s="420"/>
      <c r="O131" s="420"/>
      <c r="P131" s="420"/>
      <c r="Q131" s="592"/>
    </row>
    <row r="132" spans="1:17" ht="15.75">
      <c r="A132" s="381"/>
      <c r="B132" s="372">
        <f>+'ATT H-3D'!A16</f>
        <v>5</v>
      </c>
      <c r="C132" s="363" t="str">
        <f>+'ATT H-3D'!B16</f>
        <v>Wages &amp; Salary Allocator</v>
      </c>
      <c r="D132" s="607">
        <f>+'ATT H-3D'!H16</f>
        <v>8.0514508226294385E-2</v>
      </c>
      <c r="E132" s="594"/>
      <c r="F132" s="593"/>
      <c r="G132" s="348"/>
      <c r="H132" s="421"/>
      <c r="I132" s="420"/>
      <c r="J132" s="420"/>
      <c r="K132" s="420"/>
      <c r="L132" s="420"/>
      <c r="M132" s="420"/>
      <c r="N132" s="420"/>
      <c r="O132" s="420"/>
      <c r="P132" s="420"/>
      <c r="Q132" s="592"/>
    </row>
    <row r="133" spans="1:17" ht="15.75">
      <c r="A133" s="381"/>
      <c r="B133" s="372"/>
      <c r="C133" s="363" t="s">
        <v>34</v>
      </c>
      <c r="D133" s="709">
        <v>0.85029999999999994</v>
      </c>
      <c r="E133" s="677" t="s">
        <v>25</v>
      </c>
      <c r="F133" s="415"/>
      <c r="G133" s="348"/>
      <c r="H133" s="1216"/>
      <c r="I133" s="1217"/>
      <c r="J133" s="1217"/>
      <c r="K133" s="1217"/>
      <c r="L133" s="1217"/>
      <c r="M133" s="1217"/>
      <c r="N133" s="1217"/>
      <c r="O133" s="1217"/>
      <c r="P133" s="1217"/>
      <c r="Q133" s="1218"/>
    </row>
    <row r="134" spans="1:17" ht="16.5" thickBot="1">
      <c r="A134" s="399"/>
      <c r="B134" s="402"/>
      <c r="C134" s="406" t="s">
        <v>563</v>
      </c>
      <c r="D134" s="661">
        <f>+D132*D133</f>
        <v>6.8461486344818107E-2</v>
      </c>
      <c r="E134" s="407"/>
      <c r="F134" s="416"/>
      <c r="G134" s="418"/>
      <c r="H134" s="418"/>
      <c r="I134" s="418"/>
      <c r="J134" s="418"/>
      <c r="K134" s="426" t="s">
        <v>334</v>
      </c>
      <c r="L134" s="418"/>
      <c r="M134" s="418"/>
      <c r="N134" s="418"/>
      <c r="O134" s="418"/>
      <c r="P134" s="418"/>
      <c r="Q134" s="423"/>
    </row>
    <row r="135" spans="1:17" ht="16.5" thickBot="1">
      <c r="A135" s="372"/>
      <c r="B135" s="372"/>
      <c r="C135" s="372"/>
      <c r="D135" s="372"/>
      <c r="E135" s="393"/>
      <c r="F135" s="372"/>
      <c r="G135" s="295"/>
      <c r="H135" s="295"/>
      <c r="I135" s="295"/>
      <c r="J135" s="295"/>
      <c r="K135" s="297"/>
      <c r="L135" s="295"/>
      <c r="M135" s="295"/>
      <c r="N135" s="295"/>
      <c r="O135" s="295"/>
      <c r="P135" s="295"/>
      <c r="Q135" s="295"/>
    </row>
    <row r="136" spans="1:17" ht="20.25">
      <c r="A136" s="626" t="s">
        <v>616</v>
      </c>
      <c r="B136" s="627"/>
      <c r="C136" s="627"/>
      <c r="D136" s="627"/>
      <c r="E136" s="628"/>
      <c r="F136" s="629"/>
      <c r="G136" s="450"/>
      <c r="H136" s="630"/>
      <c r="I136" s="630"/>
      <c r="J136" s="630"/>
      <c r="K136" s="631"/>
      <c r="L136" s="630"/>
      <c r="M136" s="630"/>
      <c r="N136" s="630"/>
      <c r="O136" s="630"/>
      <c r="P136" s="630"/>
      <c r="Q136" s="476"/>
    </row>
    <row r="137" spans="1:17" ht="18">
      <c r="A137" s="1245" t="s">
        <v>611</v>
      </c>
      <c r="B137" s="1246"/>
      <c r="C137" s="1246"/>
      <c r="D137" s="1246"/>
      <c r="E137" s="1246"/>
      <c r="F137" s="1247"/>
      <c r="G137" s="324" t="s">
        <v>608</v>
      </c>
      <c r="H137" s="295" t="s">
        <v>618</v>
      </c>
      <c r="I137" s="295" t="s">
        <v>579</v>
      </c>
      <c r="J137" s="295" t="s">
        <v>627</v>
      </c>
      <c r="K137" s="297"/>
      <c r="L137" s="295"/>
      <c r="M137" s="295"/>
      <c r="N137" s="295"/>
      <c r="O137" s="295"/>
      <c r="P137" s="295"/>
      <c r="Q137" s="417"/>
    </row>
    <row r="138" spans="1:17" ht="15.75">
      <c r="A138" s="381">
        <f>'ATT H-3D'!A115</f>
        <v>61</v>
      </c>
      <c r="B138" s="372"/>
      <c r="C138" s="372" t="str">
        <f>'ATT H-3D'!C115</f>
        <v>Less extraordinary property loss</v>
      </c>
      <c r="D138" s="372"/>
      <c r="E138" s="372"/>
      <c r="F138" s="415" t="str">
        <f>'ATT H-3D'!F115</f>
        <v>Attachment 5</v>
      </c>
      <c r="G138" s="632">
        <v>0</v>
      </c>
      <c r="H138" s="295"/>
      <c r="I138" s="295"/>
      <c r="J138" s="295"/>
      <c r="K138" s="297"/>
      <c r="L138" s="295"/>
      <c r="M138" s="295"/>
      <c r="N138" s="295"/>
      <c r="O138" s="295"/>
      <c r="P138" s="295"/>
      <c r="Q138" s="417"/>
    </row>
    <row r="139" spans="1:17" ht="16.5" thickBot="1">
      <c r="A139" s="399">
        <f>'ATT H-3D'!A116</f>
        <v>62</v>
      </c>
      <c r="B139" s="402"/>
      <c r="C139" s="402" t="str">
        <f>'ATT H-3D'!C116</f>
        <v>Plus amortized extraordinary property loss</v>
      </c>
      <c r="D139" s="402"/>
      <c r="E139" s="402"/>
      <c r="F139" s="416" t="str">
        <f>'ATT H-3D'!F116</f>
        <v>Attachment 5</v>
      </c>
      <c r="G139" s="422"/>
      <c r="H139" s="418">
        <v>5</v>
      </c>
      <c r="I139" s="633">
        <f>G138*1/H139</f>
        <v>0</v>
      </c>
      <c r="J139" s="633">
        <f>I139-ISPMT('ATT H-3D'!H213,1,'5 - Cost Support 1'!H139,'5 - Cost Support 1'!G138)</f>
        <v>0</v>
      </c>
      <c r="K139" s="426"/>
      <c r="L139" s="418"/>
      <c r="M139" s="418"/>
      <c r="N139" s="418"/>
      <c r="O139" s="418"/>
      <c r="P139" s="418"/>
      <c r="Q139" s="423"/>
    </row>
    <row r="140" spans="1:17" ht="15.75">
      <c r="A140" s="372"/>
      <c r="B140" s="372"/>
      <c r="C140" s="372"/>
      <c r="D140" s="372"/>
      <c r="E140" s="393"/>
      <c r="F140" s="372"/>
      <c r="G140" s="295"/>
      <c r="H140" s="295"/>
      <c r="I140" s="295"/>
      <c r="J140" s="295"/>
      <c r="K140" s="297"/>
      <c r="L140" s="295"/>
      <c r="M140" s="295"/>
      <c r="N140" s="295"/>
      <c r="O140" s="295"/>
      <c r="P140" s="295"/>
      <c r="Q140" s="295"/>
    </row>
    <row r="141" spans="1:17" ht="15.75">
      <c r="A141" s="372"/>
      <c r="B141" s="372"/>
      <c r="C141" s="372"/>
      <c r="D141" s="372"/>
      <c r="E141" s="393"/>
      <c r="F141" s="372"/>
      <c r="G141" s="295"/>
      <c r="H141" s="295"/>
      <c r="I141" s="295"/>
      <c r="J141" s="295"/>
      <c r="K141" s="297"/>
      <c r="L141" s="295"/>
      <c r="M141" s="295"/>
      <c r="N141" s="295"/>
      <c r="O141" s="295"/>
      <c r="P141" s="295"/>
      <c r="Q141" s="295"/>
    </row>
    <row r="142" spans="1:17" ht="21" thickBot="1">
      <c r="A142" s="404" t="s">
        <v>394</v>
      </c>
      <c r="G142" s="294"/>
      <c r="H142" s="294"/>
      <c r="I142" s="294"/>
      <c r="J142" s="294"/>
      <c r="K142" s="294"/>
      <c r="L142" s="294"/>
      <c r="M142" s="294"/>
      <c r="N142" s="294"/>
      <c r="O142" s="294"/>
      <c r="P142" s="294"/>
      <c r="Q142" s="294"/>
    </row>
    <row r="143" spans="1:17" ht="26.25">
      <c r="A143" s="1200" t="s">
        <v>611</v>
      </c>
      <c r="B143" s="1201"/>
      <c r="C143" s="1201"/>
      <c r="D143" s="1201"/>
      <c r="E143" s="1201"/>
      <c r="F143" s="1202"/>
      <c r="G143" s="425" t="str">
        <f>+C145</f>
        <v>Interest on Network Credits</v>
      </c>
      <c r="H143" s="1189" t="s">
        <v>339</v>
      </c>
      <c r="I143" s="1214"/>
      <c r="J143" s="1214"/>
      <c r="K143" s="1214"/>
      <c r="L143" s="1214"/>
      <c r="M143" s="1214"/>
      <c r="N143" s="1214"/>
      <c r="O143" s="1214"/>
      <c r="P143" s="1214"/>
      <c r="Q143" s="1215"/>
    </row>
    <row r="144" spans="1:17" ht="15.75">
      <c r="A144" s="381"/>
      <c r="B144" s="355" t="str">
        <f>+'ATT H-3D'!B261</f>
        <v>Revenue Credits &amp; Interest on Network Credits</v>
      </c>
      <c r="C144" s="372"/>
      <c r="D144" s="372"/>
      <c r="E144" s="372"/>
      <c r="F144" s="415"/>
      <c r="G144" s="295"/>
      <c r="H144" s="295"/>
      <c r="I144" s="295"/>
      <c r="J144" s="295"/>
      <c r="K144" s="295"/>
      <c r="L144" s="295"/>
      <c r="M144" s="295"/>
      <c r="N144" s="295"/>
      <c r="O144" s="295"/>
      <c r="P144" s="295"/>
      <c r="Q144" s="417"/>
    </row>
    <row r="145" spans="1:17" ht="15.75">
      <c r="A145" s="381">
        <f>+'ATT H-3D'!A263</f>
        <v>155</v>
      </c>
      <c r="B145" s="372"/>
      <c r="C145" s="363" t="str">
        <f>+'ATT H-3D'!C263</f>
        <v>Interest on Network Credits</v>
      </c>
      <c r="D145" s="372"/>
      <c r="E145" s="393" t="str">
        <f>+'ATT H-3D'!E263</f>
        <v>(Note N)</v>
      </c>
      <c r="F145" s="385" t="str">
        <f>+'ATT H-3D'!F263</f>
        <v>PJM Data</v>
      </c>
      <c r="G145" s="442">
        <v>0</v>
      </c>
      <c r="H145" s="1216" t="s">
        <v>336</v>
      </c>
      <c r="I145" s="1217"/>
      <c r="J145" s="1217"/>
      <c r="K145" s="1217"/>
      <c r="L145" s="1217"/>
      <c r="M145" s="1217"/>
      <c r="N145" s="1217"/>
      <c r="O145" s="1217"/>
      <c r="P145" s="1217"/>
      <c r="Q145" s="1218"/>
    </row>
    <row r="146" spans="1:17" ht="15.75">
      <c r="A146" s="381"/>
      <c r="B146" s="372"/>
      <c r="C146" s="372"/>
      <c r="D146" s="372"/>
      <c r="E146" s="393"/>
      <c r="F146" s="415"/>
      <c r="G146" s="295"/>
      <c r="H146" s="295"/>
      <c r="I146" s="295"/>
      <c r="J146" s="295"/>
      <c r="K146" s="295"/>
      <c r="L146" s="295"/>
      <c r="M146" s="295"/>
      <c r="N146" s="295"/>
      <c r="O146" s="348"/>
      <c r="P146" s="295"/>
      <c r="Q146" s="417"/>
    </row>
    <row r="147" spans="1:17" ht="15.75">
      <c r="A147" s="381"/>
      <c r="B147" s="372"/>
      <c r="C147" s="372"/>
      <c r="D147" s="372"/>
      <c r="E147" s="393"/>
      <c r="F147" s="415"/>
      <c r="G147" s="348" t="s">
        <v>332</v>
      </c>
      <c r="H147" s="1216" t="s">
        <v>488</v>
      </c>
      <c r="I147" s="1217"/>
      <c r="J147" s="1217"/>
      <c r="K147" s="1217"/>
      <c r="L147" s="1217"/>
      <c r="M147" s="1217"/>
      <c r="N147" s="1217"/>
      <c r="O147" s="1217"/>
      <c r="P147" s="1217"/>
      <c r="Q147" s="1218"/>
    </row>
    <row r="148" spans="1:17" ht="15.75">
      <c r="A148" s="381"/>
      <c r="B148" s="372"/>
      <c r="C148" s="372"/>
      <c r="D148" s="372"/>
      <c r="E148" s="393"/>
      <c r="F148" s="415"/>
      <c r="G148" s="348"/>
      <c r="H148" s="1216"/>
      <c r="I148" s="1217"/>
      <c r="J148" s="1217"/>
      <c r="K148" s="1217"/>
      <c r="L148" s="1217"/>
      <c r="M148" s="1217"/>
      <c r="N148" s="1217"/>
      <c r="O148" s="1217"/>
      <c r="P148" s="1217"/>
      <c r="Q148" s="1218"/>
    </row>
    <row r="149" spans="1:17" ht="15.75">
      <c r="A149" s="381"/>
      <c r="B149" s="372"/>
      <c r="C149" s="372"/>
      <c r="D149" s="372"/>
      <c r="E149" s="393"/>
      <c r="F149" s="415"/>
      <c r="G149" s="348"/>
      <c r="H149" s="1216"/>
      <c r="I149" s="1217"/>
      <c r="J149" s="1217"/>
      <c r="K149" s="1217"/>
      <c r="L149" s="1217"/>
      <c r="M149" s="1217"/>
      <c r="N149" s="1217"/>
      <c r="O149" s="1217"/>
      <c r="P149" s="1217"/>
      <c r="Q149" s="1218"/>
    </row>
    <row r="150" spans="1:17" ht="16.5" thickBot="1">
      <c r="A150" s="399"/>
      <c r="B150" s="402"/>
      <c r="C150" s="402"/>
      <c r="D150" s="402"/>
      <c r="E150" s="407"/>
      <c r="F150" s="416"/>
      <c r="G150" s="418"/>
      <c r="H150" s="418"/>
      <c r="I150" s="418"/>
      <c r="J150" s="418"/>
      <c r="K150" s="426" t="s">
        <v>334</v>
      </c>
      <c r="L150" s="418"/>
      <c r="M150" s="418"/>
      <c r="N150" s="418"/>
      <c r="O150" s="418"/>
      <c r="P150" s="418"/>
      <c r="Q150" s="423"/>
    </row>
    <row r="151" spans="1:17" ht="15.75">
      <c r="A151" s="372"/>
      <c r="B151" s="372"/>
      <c r="C151" s="372"/>
      <c r="D151" s="372"/>
      <c r="E151" s="393"/>
      <c r="F151" s="372"/>
      <c r="G151" s="295"/>
      <c r="H151" s="295"/>
      <c r="I151" s="295"/>
      <c r="J151" s="295"/>
      <c r="K151" s="297"/>
      <c r="L151" s="295"/>
      <c r="M151" s="295"/>
      <c r="N151" s="295"/>
      <c r="O151" s="295"/>
      <c r="P151" s="295"/>
      <c r="Q151" s="295"/>
    </row>
    <row r="152" spans="1:17" ht="21" thickBot="1">
      <c r="A152" s="404" t="str">
        <f>+'ATT H-3D'!C286</f>
        <v>Facility Credits under Section 30.9 of the PJM OATT and Facility Credits to Vineland per settlement in ER05-515</v>
      </c>
      <c r="G152" s="294"/>
      <c r="H152" s="294"/>
      <c r="I152" s="294"/>
      <c r="J152" s="294"/>
      <c r="K152" s="294"/>
      <c r="L152" s="294"/>
      <c r="M152" s="294"/>
      <c r="N152" s="294"/>
      <c r="O152" s="294"/>
      <c r="P152" s="294"/>
      <c r="Q152" s="294"/>
    </row>
    <row r="153" spans="1:17" ht="18">
      <c r="A153" s="1200" t="s">
        <v>611</v>
      </c>
      <c r="B153" s="1201"/>
      <c r="C153" s="1201"/>
      <c r="D153" s="1201"/>
      <c r="E153" s="1201"/>
      <c r="F153" s="1202"/>
      <c r="G153" s="425" t="s">
        <v>266</v>
      </c>
      <c r="H153" s="1189" t="s">
        <v>338</v>
      </c>
      <c r="I153" s="1214"/>
      <c r="J153" s="1214"/>
      <c r="K153" s="1214"/>
      <c r="L153" s="1214"/>
      <c r="M153" s="1214"/>
      <c r="N153" s="1214"/>
      <c r="O153" s="1214"/>
      <c r="P153" s="1214"/>
      <c r="Q153" s="1215"/>
    </row>
    <row r="154" spans="1:17" ht="15.75">
      <c r="A154" s="381"/>
      <c r="B154" s="368" t="str">
        <f>+'ATT H-3D'!C283</f>
        <v>Net Revenue Requirement</v>
      </c>
      <c r="C154" s="350"/>
      <c r="D154" s="350"/>
      <c r="E154" s="351"/>
      <c r="F154" s="379"/>
      <c r="G154" s="295"/>
      <c r="H154" s="295"/>
      <c r="I154" s="295"/>
      <c r="J154" s="295"/>
      <c r="K154" s="295"/>
      <c r="L154" s="295"/>
      <c r="M154" s="295"/>
      <c r="N154" s="295"/>
      <c r="O154" s="295"/>
      <c r="P154" s="295"/>
      <c r="Q154" s="417"/>
    </row>
    <row r="155" spans="1:17" ht="16.5" thickBot="1">
      <c r="A155" s="399">
        <f>+'ATT H-3D'!A286</f>
        <v>171</v>
      </c>
      <c r="B155" s="400"/>
      <c r="C155" s="406" t="str">
        <f>+'ATT H-3D'!C286</f>
        <v>Facility Credits under Section 30.9 of the PJM OATT and Facility Credits to Vineland per settlement in ER05-515</v>
      </c>
      <c r="D155" s="403"/>
      <c r="E155" s="402"/>
      <c r="F155" s="402" t="str">
        <f>+'ATT H-3D'!F286</f>
        <v xml:space="preserve">Attachment 5 </v>
      </c>
      <c r="G155" s="574">
        <v>0</v>
      </c>
      <c r="H155" s="1221"/>
      <c r="I155" s="1222"/>
      <c r="J155" s="1222"/>
      <c r="K155" s="1222"/>
      <c r="L155" s="1222"/>
      <c r="M155" s="1222"/>
      <c r="N155" s="1222"/>
      <c r="O155" s="1222"/>
      <c r="P155" s="1222"/>
      <c r="Q155" s="1223"/>
    </row>
    <row r="156" spans="1:17" ht="15.75">
      <c r="A156" s="372"/>
      <c r="B156" s="372"/>
      <c r="C156" s="372"/>
      <c r="D156" s="372"/>
      <c r="E156" s="393"/>
      <c r="F156" s="372"/>
      <c r="G156" s="295"/>
      <c r="H156" s="295"/>
      <c r="I156" s="295"/>
      <c r="J156" s="295"/>
      <c r="K156" s="297"/>
      <c r="L156" s="295"/>
      <c r="M156" s="295"/>
      <c r="N156" s="295"/>
      <c r="O156" s="295"/>
      <c r="P156" s="295"/>
      <c r="Q156" s="295"/>
    </row>
    <row r="157" spans="1:17">
      <c r="G157" s="294"/>
      <c r="H157" s="294"/>
      <c r="I157" s="294"/>
      <c r="J157" s="294"/>
      <c r="K157" s="294"/>
      <c r="L157" s="294"/>
      <c r="M157" s="294"/>
      <c r="N157" s="294"/>
      <c r="O157" s="294"/>
      <c r="P157" s="294"/>
      <c r="Q157" s="294"/>
    </row>
    <row r="158" spans="1:17" ht="21" thickBot="1">
      <c r="A158" s="404" t="s">
        <v>391</v>
      </c>
      <c r="G158" s="294"/>
      <c r="H158" s="294"/>
      <c r="I158" s="294"/>
      <c r="J158" s="294"/>
      <c r="K158" s="294"/>
      <c r="L158" s="294"/>
      <c r="M158" s="294"/>
      <c r="N158" s="294"/>
      <c r="O158" s="294"/>
      <c r="P158" s="294"/>
      <c r="Q158" s="294"/>
    </row>
    <row r="159" spans="1:17" ht="18">
      <c r="A159" s="1200" t="s">
        <v>611</v>
      </c>
      <c r="B159" s="1201"/>
      <c r="C159" s="1201"/>
      <c r="D159" s="1201"/>
      <c r="E159" s="1201"/>
      <c r="F159" s="1202"/>
      <c r="G159" s="425" t="str">
        <f>+C161</f>
        <v>1 CP Peak</v>
      </c>
      <c r="H159" s="1189" t="s">
        <v>338</v>
      </c>
      <c r="I159" s="1214"/>
      <c r="J159" s="1214"/>
      <c r="K159" s="1214"/>
      <c r="L159" s="1214"/>
      <c r="M159" s="1214"/>
      <c r="N159" s="1214"/>
      <c r="O159" s="1214"/>
      <c r="P159" s="1214"/>
      <c r="Q159" s="1215"/>
    </row>
    <row r="160" spans="1:17" ht="15.75">
      <c r="A160" s="381"/>
      <c r="B160" s="368" t="s">
        <v>313</v>
      </c>
      <c r="C160" s="350"/>
      <c r="D160" s="350"/>
      <c r="E160" s="351"/>
      <c r="F160" s="379"/>
      <c r="G160" s="295"/>
      <c r="H160" s="295"/>
      <c r="I160" s="295"/>
      <c r="J160" s="295"/>
      <c r="K160" s="295"/>
      <c r="L160" s="295"/>
      <c r="M160" s="295"/>
      <c r="N160" s="295"/>
      <c r="O160" s="295"/>
      <c r="P160" s="295"/>
      <c r="Q160" s="417"/>
    </row>
    <row r="161" spans="1:17" ht="16.5" thickBot="1">
      <c r="A161" s="399">
        <f>+'ATT H-3D'!A291</f>
        <v>173</v>
      </c>
      <c r="B161" s="400"/>
      <c r="C161" s="406" t="str">
        <f>+'ATT H-3D'!C291</f>
        <v>1 CP Peak</v>
      </c>
      <c r="D161" s="403"/>
      <c r="E161" s="407" t="str">
        <f>+'ATT H-3D'!E291</f>
        <v>(Note L)</v>
      </c>
      <c r="F161" s="408" t="str">
        <f>+'ATT H-3D'!F291</f>
        <v>PJM Data</v>
      </c>
      <c r="G161" s="836">
        <v>4114</v>
      </c>
      <c r="H161" s="1221" t="s">
        <v>487</v>
      </c>
      <c r="I161" s="1222"/>
      <c r="J161" s="1222"/>
      <c r="K161" s="1222"/>
      <c r="L161" s="1222"/>
      <c r="M161" s="1222"/>
      <c r="N161" s="1222"/>
      <c r="O161" s="1222"/>
      <c r="P161" s="1222"/>
      <c r="Q161" s="1223"/>
    </row>
    <row r="162" spans="1:17">
      <c r="G162" s="294"/>
      <c r="H162" s="294"/>
      <c r="I162" s="294"/>
      <c r="J162" s="294"/>
      <c r="K162" s="294"/>
      <c r="L162" s="294"/>
      <c r="M162" s="294"/>
      <c r="N162" s="294"/>
      <c r="O162" s="294"/>
      <c r="P162" s="294"/>
      <c r="Q162" s="294"/>
    </row>
    <row r="163" spans="1:17">
      <c r="G163" s="294"/>
      <c r="H163" s="294"/>
      <c r="I163" s="294"/>
      <c r="J163" s="294"/>
      <c r="K163" s="294"/>
      <c r="L163" s="294"/>
      <c r="M163" s="294"/>
      <c r="N163" s="294"/>
      <c r="O163" s="294"/>
      <c r="P163" s="294"/>
      <c r="Q163" s="294"/>
    </row>
    <row r="164" spans="1:17" ht="21" thickBot="1">
      <c r="A164" s="404" t="s">
        <v>342</v>
      </c>
      <c r="G164" s="294"/>
      <c r="H164" s="294"/>
      <c r="I164" s="294"/>
      <c r="J164" s="294"/>
      <c r="K164" s="294"/>
      <c r="L164" s="294"/>
      <c r="M164" s="294"/>
      <c r="N164" s="294"/>
      <c r="O164" s="294"/>
      <c r="P164" s="294"/>
      <c r="Q164" s="294"/>
    </row>
    <row r="165" spans="1:17" ht="18">
      <c r="A165" s="427"/>
      <c r="B165" s="428"/>
      <c r="C165" s="438" t="s">
        <v>343</v>
      </c>
      <c r="D165" s="438" t="s">
        <v>344</v>
      </c>
      <c r="E165" s="438" t="s">
        <v>345</v>
      </c>
      <c r="F165" s="438" t="s">
        <v>346</v>
      </c>
      <c r="G165" s="1197" t="s">
        <v>347</v>
      </c>
      <c r="H165" s="1198"/>
      <c r="I165" s="1199" t="s">
        <v>348</v>
      </c>
      <c r="J165" s="1198"/>
      <c r="K165" s="1199" t="s">
        <v>349</v>
      </c>
      <c r="L165" s="1198"/>
      <c r="M165" s="430"/>
      <c r="N165" s="430"/>
      <c r="O165" s="430"/>
      <c r="P165" s="430"/>
      <c r="Q165" s="431"/>
    </row>
    <row r="166" spans="1:17" ht="15.75">
      <c r="A166" s="381"/>
      <c r="B166" s="355"/>
      <c r="C166" s="372" t="s">
        <v>514</v>
      </c>
      <c r="D166" s="573"/>
      <c r="E166" s="439"/>
      <c r="F166" s="439"/>
      <c r="G166" s="1209"/>
      <c r="H166" s="1210"/>
      <c r="I166" s="1211"/>
      <c r="J166" s="1210"/>
      <c r="K166" s="1211"/>
      <c r="L166" s="1210"/>
      <c r="M166" s="432"/>
      <c r="N166" s="432"/>
      <c r="O166" s="432"/>
      <c r="P166" s="432"/>
      <c r="Q166" s="433"/>
    </row>
    <row r="167" spans="1:17" ht="15.75">
      <c r="A167" s="381"/>
      <c r="B167" s="372"/>
      <c r="C167" s="372"/>
      <c r="D167" s="372"/>
      <c r="E167" s="439"/>
      <c r="F167" s="439"/>
      <c r="G167" s="1212"/>
      <c r="H167" s="1213"/>
      <c r="I167" s="1219"/>
      <c r="J167" s="1213"/>
      <c r="K167" s="1219"/>
      <c r="L167" s="1220"/>
      <c r="M167" s="434"/>
      <c r="N167" s="434"/>
      <c r="O167" s="434"/>
      <c r="P167" s="434"/>
      <c r="Q167" s="435"/>
    </row>
    <row r="168" spans="1:17" ht="15.75">
      <c r="A168" s="381"/>
      <c r="B168" s="372"/>
      <c r="C168" s="372"/>
      <c r="D168" s="372"/>
      <c r="E168" s="439"/>
      <c r="F168" s="439"/>
      <c r="G168" s="441"/>
      <c r="H168" s="546"/>
      <c r="I168" s="440"/>
      <c r="J168" s="547"/>
      <c r="K168" s="440"/>
      <c r="L168" s="547"/>
      <c r="M168" s="434"/>
      <c r="N168" s="434"/>
      <c r="O168" s="434"/>
      <c r="P168" s="434"/>
      <c r="Q168" s="435"/>
    </row>
    <row r="169" spans="1:17" ht="16.5" thickBot="1">
      <c r="A169" s="399"/>
      <c r="B169" s="402"/>
      <c r="C169" s="402" t="s">
        <v>181</v>
      </c>
      <c r="D169" s="402"/>
      <c r="E169" s="407"/>
      <c r="F169" s="402"/>
      <c r="G169" s="1206"/>
      <c r="H169" s="1207"/>
      <c r="I169" s="1208"/>
      <c r="J169" s="1207"/>
      <c r="K169" s="1208"/>
      <c r="L169" s="1207"/>
      <c r="M169" s="436"/>
      <c r="N169" s="436"/>
      <c r="O169" s="436"/>
      <c r="P169" s="436"/>
      <c r="Q169" s="437"/>
    </row>
    <row r="170" spans="1:17">
      <c r="G170" s="294"/>
      <c r="H170" s="294"/>
      <c r="I170" s="294"/>
      <c r="J170" s="294"/>
      <c r="K170" s="294"/>
      <c r="L170" s="294"/>
      <c r="M170" s="294"/>
      <c r="N170" s="294"/>
      <c r="O170" s="294"/>
      <c r="P170" s="294"/>
      <c r="Q170" s="294"/>
    </row>
    <row r="171" spans="1:17" s="876" customFormat="1" ht="15">
      <c r="C171" s="878"/>
      <c r="G171" s="294"/>
      <c r="H171" s="294"/>
      <c r="I171" s="294"/>
      <c r="J171" s="294"/>
      <c r="K171" s="294"/>
      <c r="L171" s="294"/>
      <c r="M171" s="294"/>
      <c r="N171" s="294"/>
      <c r="O171" s="294"/>
      <c r="P171" s="294"/>
      <c r="Q171" s="294"/>
    </row>
    <row r="172" spans="1:17" s="908" customFormat="1" ht="21" thickBot="1">
      <c r="A172" s="956" t="s">
        <v>728</v>
      </c>
      <c r="B172" s="957"/>
      <c r="C172" s="957"/>
      <c r="G172" s="294"/>
      <c r="H172" s="294"/>
      <c r="I172" s="294"/>
      <c r="J172" s="294"/>
      <c r="K172" s="294"/>
      <c r="L172" s="294"/>
      <c r="M172" s="294"/>
      <c r="N172" s="294"/>
      <c r="O172" s="294"/>
      <c r="P172" s="294"/>
      <c r="Q172" s="294"/>
    </row>
    <row r="173" spans="1:17" s="908" customFormat="1" ht="18">
      <c r="A173" s="1200" t="s">
        <v>611</v>
      </c>
      <c r="B173" s="1201"/>
      <c r="C173" s="1201"/>
      <c r="D173" s="1201"/>
      <c r="E173" s="1201"/>
      <c r="F173" s="1202"/>
      <c r="G173" s="294"/>
      <c r="H173" s="294"/>
      <c r="I173" s="294"/>
      <c r="J173" s="294"/>
      <c r="K173" s="294"/>
      <c r="L173" s="294"/>
      <c r="M173" s="294"/>
      <c r="N173" s="294"/>
      <c r="O173" s="294"/>
      <c r="P173" s="294"/>
      <c r="Q173" s="294"/>
    </row>
    <row r="174" spans="1:17" s="908" customFormat="1">
      <c r="A174" s="958" t="s">
        <v>68</v>
      </c>
      <c r="B174" s="959" t="s">
        <v>729</v>
      </c>
      <c r="C174" s="959"/>
      <c r="D174" s="959" t="s">
        <v>716</v>
      </c>
      <c r="E174" s="960"/>
      <c r="F174" s="961"/>
      <c r="G174" s="294"/>
      <c r="H174" s="294"/>
      <c r="I174" s="294"/>
      <c r="J174" s="294"/>
      <c r="K174" s="294"/>
      <c r="L174" s="294"/>
      <c r="M174" s="294"/>
      <c r="N174" s="294"/>
      <c r="O174" s="294"/>
      <c r="P174" s="294"/>
      <c r="Q174" s="294"/>
    </row>
    <row r="175" spans="1:17" s="908" customFormat="1">
      <c r="A175" s="958" t="s">
        <v>182</v>
      </c>
      <c r="B175" s="959" t="s">
        <v>717</v>
      </c>
      <c r="C175" s="959"/>
      <c r="D175" s="959" t="s">
        <v>716</v>
      </c>
      <c r="E175" s="959"/>
      <c r="F175" s="961"/>
      <c r="G175" s="294"/>
      <c r="H175" s="294"/>
      <c r="I175" s="294"/>
      <c r="J175" s="294"/>
      <c r="K175" s="294"/>
      <c r="L175" s="294"/>
      <c r="M175" s="294"/>
      <c r="N175" s="294"/>
      <c r="O175" s="294"/>
      <c r="P175" s="294"/>
      <c r="Q175" s="294"/>
    </row>
    <row r="176" spans="1:17" s="908" customFormat="1">
      <c r="A176" s="958" t="s">
        <v>46</v>
      </c>
      <c r="B176" s="959" t="s">
        <v>730</v>
      </c>
      <c r="C176" s="959"/>
      <c r="D176" s="959" t="s">
        <v>731</v>
      </c>
      <c r="E176" s="960"/>
      <c r="F176" s="961"/>
      <c r="G176" s="294"/>
      <c r="H176" s="294"/>
      <c r="I176" s="294"/>
      <c r="J176" s="294"/>
      <c r="K176" s="294"/>
      <c r="L176" s="294"/>
      <c r="M176" s="294"/>
      <c r="N176" s="294"/>
      <c r="O176" s="294"/>
      <c r="P176" s="294"/>
      <c r="Q176" s="294"/>
    </row>
    <row r="177" spans="1:17" s="908" customFormat="1">
      <c r="A177" s="958" t="s">
        <v>69</v>
      </c>
      <c r="B177" s="959" t="s">
        <v>718</v>
      </c>
      <c r="C177" s="959"/>
      <c r="D177" s="959"/>
      <c r="E177" s="959"/>
      <c r="F177" s="961"/>
      <c r="G177" s="294"/>
      <c r="H177" s="294"/>
      <c r="I177" s="294"/>
      <c r="J177" s="294"/>
      <c r="K177" s="294"/>
      <c r="L177" s="294"/>
      <c r="M177" s="294"/>
      <c r="N177" s="294"/>
      <c r="O177" s="294"/>
      <c r="P177" s="294"/>
      <c r="Q177" s="294"/>
    </row>
    <row r="178" spans="1:17" s="908" customFormat="1">
      <c r="A178" s="958" t="s">
        <v>67</v>
      </c>
      <c r="B178" s="959" t="s">
        <v>732</v>
      </c>
      <c r="C178" s="959"/>
      <c r="D178" s="959" t="s">
        <v>733</v>
      </c>
      <c r="E178" s="960"/>
      <c r="F178" s="962" t="s">
        <v>734</v>
      </c>
      <c r="G178" s="294"/>
      <c r="H178" s="294"/>
      <c r="I178" s="294"/>
      <c r="J178" s="294"/>
      <c r="K178" s="294"/>
      <c r="L178" s="294"/>
      <c r="M178" s="294"/>
      <c r="N178" s="294"/>
      <c r="O178" s="294"/>
      <c r="P178" s="294"/>
      <c r="Q178" s="294"/>
    </row>
    <row r="179" spans="1:17" s="908" customFormat="1">
      <c r="A179" s="958" t="s">
        <v>340</v>
      </c>
      <c r="B179" s="959" t="s">
        <v>735</v>
      </c>
      <c r="C179" s="959"/>
      <c r="D179" s="959"/>
      <c r="E179" s="960"/>
      <c r="F179" s="962"/>
      <c r="G179" s="294"/>
      <c r="H179" s="294"/>
      <c r="I179" s="294"/>
      <c r="J179" s="294"/>
      <c r="K179" s="294"/>
      <c r="L179" s="294"/>
      <c r="M179" s="294"/>
      <c r="N179" s="294"/>
      <c r="O179" s="294"/>
      <c r="P179" s="294"/>
      <c r="Q179" s="294"/>
    </row>
    <row r="180" spans="1:17" s="908" customFormat="1" ht="13.5" thickBot="1">
      <c r="A180" s="963" t="s">
        <v>70</v>
      </c>
      <c r="B180" s="964" t="s">
        <v>736</v>
      </c>
      <c r="C180" s="965"/>
      <c r="D180" s="964" t="s">
        <v>737</v>
      </c>
      <c r="E180" s="966"/>
      <c r="F180" s="967" t="s">
        <v>738</v>
      </c>
      <c r="G180" s="294"/>
      <c r="H180" s="294"/>
      <c r="I180" s="294"/>
      <c r="J180" s="294"/>
      <c r="K180" s="294"/>
      <c r="L180" s="294"/>
      <c r="M180" s="294"/>
      <c r="N180" s="294"/>
      <c r="O180" s="294"/>
      <c r="P180" s="294"/>
      <c r="Q180" s="294"/>
    </row>
    <row r="181" spans="1:17" s="908" customFormat="1">
      <c r="G181" s="294"/>
      <c r="H181" s="294"/>
      <c r="I181" s="294"/>
      <c r="J181" s="294"/>
      <c r="K181" s="294"/>
      <c r="L181" s="294"/>
      <c r="M181" s="294"/>
      <c r="N181" s="294"/>
      <c r="O181" s="294"/>
      <c r="P181" s="294"/>
      <c r="Q181" s="294"/>
    </row>
    <row r="182" spans="1:17" s="908" customFormat="1" ht="21" thickBot="1">
      <c r="A182" s="956" t="s">
        <v>727</v>
      </c>
      <c r="B182" s="957"/>
      <c r="C182" s="957"/>
      <c r="G182" s="294"/>
      <c r="H182" s="294"/>
      <c r="I182" s="294"/>
      <c r="J182" s="294"/>
      <c r="K182" s="294"/>
      <c r="L182" s="294"/>
      <c r="M182" s="294"/>
      <c r="N182" s="294"/>
      <c r="O182" s="294"/>
      <c r="P182" s="294"/>
      <c r="Q182" s="294"/>
    </row>
    <row r="183" spans="1:17" s="908" customFormat="1" ht="18">
      <c r="A183" s="1200" t="s">
        <v>611</v>
      </c>
      <c r="B183" s="1201"/>
      <c r="C183" s="1201"/>
      <c r="D183" s="1201"/>
      <c r="E183" s="1201"/>
      <c r="F183" s="1202"/>
      <c r="G183" s="294"/>
      <c r="H183" s="294"/>
      <c r="I183" s="294"/>
      <c r="J183" s="294"/>
      <c r="K183" s="294"/>
      <c r="L183" s="294"/>
      <c r="M183" s="294"/>
      <c r="N183" s="294"/>
      <c r="O183" s="294"/>
      <c r="P183" s="294"/>
      <c r="Q183" s="294"/>
    </row>
    <row r="184" spans="1:17" s="908" customFormat="1">
      <c r="A184" s="968"/>
      <c r="B184" s="969"/>
      <c r="C184" s="969"/>
      <c r="D184" s="970" t="s">
        <v>739</v>
      </c>
      <c r="E184" s="971" t="s">
        <v>413</v>
      </c>
      <c r="F184" s="972" t="s">
        <v>181</v>
      </c>
      <c r="G184" s="294"/>
      <c r="H184" s="294"/>
      <c r="I184" s="294"/>
      <c r="J184" s="294"/>
      <c r="K184" s="294"/>
      <c r="L184" s="294"/>
      <c r="M184" s="294"/>
      <c r="N184" s="294"/>
      <c r="O184" s="294"/>
      <c r="P184" s="294"/>
      <c r="Q184" s="294"/>
    </row>
    <row r="185" spans="1:17" s="908" customFormat="1">
      <c r="A185" s="968" t="s">
        <v>726</v>
      </c>
      <c r="B185" s="969"/>
      <c r="C185" s="969" t="s">
        <v>740</v>
      </c>
      <c r="D185" s="973">
        <v>9750649</v>
      </c>
      <c r="E185" s="973">
        <v>12725412</v>
      </c>
      <c r="F185" s="974">
        <f>D185+E185</f>
        <v>22476061</v>
      </c>
      <c r="G185" s="294"/>
      <c r="H185" s="294"/>
      <c r="I185" s="294"/>
      <c r="J185" s="294"/>
      <c r="K185" s="294"/>
      <c r="L185" s="294"/>
      <c r="M185" s="294"/>
      <c r="N185" s="294"/>
      <c r="O185" s="294"/>
      <c r="P185" s="294"/>
      <c r="Q185" s="294"/>
    </row>
    <row r="186" spans="1:17" s="908" customFormat="1">
      <c r="A186" s="968" t="s">
        <v>726</v>
      </c>
      <c r="B186" s="969"/>
      <c r="C186" s="969" t="s">
        <v>742</v>
      </c>
      <c r="D186" s="975">
        <v>14666395</v>
      </c>
      <c r="E186" s="976">
        <v>16524210</v>
      </c>
      <c r="F186" s="974">
        <f>D186+E186</f>
        <v>31190605</v>
      </c>
      <c r="G186" s="294"/>
      <c r="H186" s="294"/>
      <c r="I186" s="294"/>
      <c r="J186" s="294"/>
      <c r="K186" s="294"/>
      <c r="L186" s="294"/>
      <c r="M186" s="294"/>
      <c r="N186" s="294"/>
      <c r="O186" s="294"/>
      <c r="P186" s="294"/>
      <c r="Q186" s="294"/>
    </row>
    <row r="187" spans="1:17" s="908" customFormat="1">
      <c r="A187" s="968" t="s">
        <v>726</v>
      </c>
      <c r="B187" s="969"/>
      <c r="C187" s="977" t="s">
        <v>741</v>
      </c>
      <c r="D187" s="978">
        <v>12208522</v>
      </c>
      <c r="E187" s="979">
        <v>14624812</v>
      </c>
      <c r="F187" s="980">
        <f>D187+E187</f>
        <v>26833334</v>
      </c>
      <c r="G187" s="294"/>
      <c r="H187" s="294"/>
      <c r="I187" s="294"/>
      <c r="J187" s="294"/>
      <c r="K187" s="294"/>
      <c r="L187" s="294"/>
      <c r="M187" s="294"/>
      <c r="N187" s="294"/>
      <c r="O187" s="294"/>
      <c r="P187" s="294"/>
      <c r="Q187" s="294"/>
    </row>
    <row r="188" spans="1:17" s="908" customFormat="1" ht="17.25" thickBot="1">
      <c r="A188" s="981"/>
      <c r="B188" s="982"/>
      <c r="C188" s="983" t="s">
        <v>181</v>
      </c>
      <c r="D188" s="984">
        <f>SUM(D185:D187)</f>
        <v>36625566</v>
      </c>
      <c r="E188" s="985">
        <f>SUM(E185:E187)</f>
        <v>43874434</v>
      </c>
      <c r="F188" s="986">
        <f>SUM(F185:F187)</f>
        <v>80500000</v>
      </c>
      <c r="G188" s="424"/>
      <c r="H188" s="424"/>
      <c r="I188" s="424"/>
      <c r="J188" s="424"/>
      <c r="K188" s="424"/>
      <c r="L188" s="424"/>
      <c r="M188" s="424"/>
      <c r="N188" s="424"/>
      <c r="O188" s="424"/>
      <c r="P188" s="424"/>
      <c r="Q188" s="424"/>
    </row>
    <row r="189" spans="1:17" ht="16.5">
      <c r="G189" s="424"/>
      <c r="H189" s="424"/>
      <c r="I189" s="424"/>
      <c r="J189" s="424"/>
      <c r="K189" s="424"/>
      <c r="L189" s="424"/>
      <c r="M189" s="424"/>
      <c r="N189" s="424"/>
      <c r="O189" s="424"/>
      <c r="P189" s="424"/>
      <c r="Q189" s="424"/>
    </row>
    <row r="190" spans="1:17" ht="16.5">
      <c r="G190" s="424"/>
      <c r="H190" s="424"/>
      <c r="I190" s="424"/>
      <c r="J190" s="424"/>
      <c r="K190" s="424"/>
      <c r="L190" s="424"/>
      <c r="M190" s="424"/>
      <c r="N190" s="424"/>
      <c r="O190" s="424"/>
      <c r="P190" s="424"/>
      <c r="Q190" s="424"/>
    </row>
    <row r="191" spans="1:17" s="1020" customFormat="1" ht="20.25">
      <c r="A191" s="1021" t="s">
        <v>772</v>
      </c>
      <c r="G191" s="424"/>
      <c r="H191" s="424"/>
      <c r="I191" s="424"/>
      <c r="J191" s="424"/>
      <c r="K191" s="424"/>
      <c r="L191" s="424"/>
      <c r="M191" s="424"/>
      <c r="N191" s="424"/>
      <c r="O191" s="424"/>
      <c r="P191" s="424"/>
      <c r="Q191" s="424"/>
    </row>
    <row r="192" spans="1:17" ht="6.75" customHeight="1" thickBot="1">
      <c r="G192" s="424"/>
      <c r="H192" s="424"/>
      <c r="I192" s="424"/>
      <c r="J192" s="424"/>
      <c r="K192" s="424"/>
      <c r="L192" s="424"/>
      <c r="M192" s="424"/>
      <c r="N192" s="424"/>
      <c r="O192" s="424"/>
      <c r="P192" s="424"/>
      <c r="Q192" s="424"/>
    </row>
    <row r="193" spans="1:17" s="1000" customFormat="1" ht="18.75" thickBot="1">
      <c r="A193" s="1194" t="s">
        <v>759</v>
      </c>
      <c r="B193" s="1195"/>
      <c r="C193" s="1195"/>
      <c r="D193" s="1195"/>
      <c r="E193" s="1195"/>
      <c r="F193" s="1196"/>
      <c r="G193" s="1197"/>
      <c r="H193" s="1198"/>
      <c r="I193" s="1199"/>
      <c r="J193" s="1198"/>
      <c r="K193" s="1199"/>
      <c r="L193" s="1198"/>
      <c r="M193" s="430"/>
      <c r="N193" s="430"/>
      <c r="O193" s="430"/>
      <c r="P193" s="430"/>
      <c r="Q193" s="431"/>
    </row>
    <row r="194" spans="1:17" s="1000" customFormat="1" ht="26.25">
      <c r="A194" s="1200" t="s">
        <v>611</v>
      </c>
      <c r="B194" s="1201"/>
      <c r="C194" s="1201"/>
      <c r="D194" s="1201"/>
      <c r="E194" s="1201"/>
      <c r="F194" s="1202"/>
      <c r="G194" s="1023" t="s">
        <v>319</v>
      </c>
      <c r="H194" s="1023" t="s">
        <v>502</v>
      </c>
      <c r="I194" s="1023" t="s">
        <v>760</v>
      </c>
      <c r="J194" s="1006"/>
      <c r="K194" s="1006"/>
      <c r="L194" s="1006"/>
      <c r="M194" s="1006"/>
      <c r="N194" s="1006"/>
      <c r="O194" s="1006"/>
      <c r="P194" s="1006"/>
      <c r="Q194" s="1007"/>
    </row>
    <row r="195" spans="1:17" s="2" customFormat="1" ht="18">
      <c r="A195" s="1008"/>
      <c r="B195" s="1009"/>
      <c r="C195" s="1009"/>
      <c r="D195" s="1009"/>
      <c r="E195" s="1009"/>
      <c r="F195" s="1010"/>
      <c r="G195" s="1024"/>
      <c r="H195" s="1024"/>
      <c r="I195" s="1024"/>
      <c r="J195" s="1011"/>
      <c r="K195" s="1011"/>
      <c r="L195" s="1011"/>
      <c r="M195" s="1011"/>
      <c r="N195" s="1011"/>
      <c r="O195" s="1011"/>
      <c r="P195" s="1011"/>
      <c r="Q195" s="1012"/>
    </row>
    <row r="196" spans="1:17" s="1000" customFormat="1" ht="15.75">
      <c r="A196" s="381">
        <v>60</v>
      </c>
      <c r="B196" s="372"/>
      <c r="C196" s="363" t="s">
        <v>144</v>
      </c>
      <c r="D196" s="362"/>
      <c r="E196" s="389"/>
      <c r="F196" s="385" t="s">
        <v>11</v>
      </c>
      <c r="G196" s="1013">
        <v>18074774</v>
      </c>
      <c r="H196" s="1013">
        <v>10620.16</v>
      </c>
      <c r="I196" s="459">
        <f>G196-H196</f>
        <v>18064153.84</v>
      </c>
      <c r="J196" s="295"/>
      <c r="K196" s="295"/>
      <c r="L196" s="295"/>
      <c r="M196" s="295"/>
      <c r="N196" s="295"/>
      <c r="O196" s="295"/>
      <c r="P196" s="295"/>
      <c r="Q196" s="417"/>
    </row>
    <row r="197" spans="1:17" s="1000" customFormat="1" ht="16.5" thickBot="1">
      <c r="A197" s="399">
        <v>68</v>
      </c>
      <c r="B197" s="402"/>
      <c r="C197" s="406" t="s">
        <v>150</v>
      </c>
      <c r="D197" s="327"/>
      <c r="E197" s="327"/>
      <c r="F197" s="408" t="s">
        <v>13</v>
      </c>
      <c r="G197" s="1025">
        <v>69386052</v>
      </c>
      <c r="H197" s="1025">
        <v>3027421.79</v>
      </c>
      <c r="I197" s="1026">
        <f>G197-H197</f>
        <v>66358630.210000001</v>
      </c>
      <c r="J197" s="418"/>
      <c r="K197" s="418"/>
      <c r="L197" s="418"/>
      <c r="M197" s="418"/>
      <c r="N197" s="418"/>
      <c r="O197" s="418"/>
      <c r="P197" s="418"/>
      <c r="Q197" s="423"/>
    </row>
    <row r="198" spans="1:17" s="1000" customFormat="1" ht="16.5">
      <c r="G198" s="424"/>
      <c r="H198" s="424"/>
      <c r="I198" s="424"/>
      <c r="J198" s="424"/>
      <c r="K198" s="424"/>
      <c r="L198" s="424"/>
      <c r="M198" s="424"/>
      <c r="N198" s="424"/>
      <c r="O198" s="424"/>
      <c r="P198" s="424"/>
      <c r="Q198" s="424"/>
    </row>
    <row r="199" spans="1:17" s="1000" customFormat="1" ht="17.25" thickBot="1">
      <c r="G199" s="424"/>
      <c r="H199" s="424"/>
      <c r="I199" s="424"/>
      <c r="J199" s="424"/>
      <c r="K199" s="424"/>
      <c r="L199" s="424"/>
      <c r="M199" s="424"/>
      <c r="N199" s="424"/>
      <c r="O199" s="424"/>
      <c r="P199" s="424"/>
      <c r="Q199" s="424"/>
    </row>
    <row r="200" spans="1:17" s="1000" customFormat="1" ht="18.75" thickBot="1">
      <c r="A200" s="1203" t="s">
        <v>761</v>
      </c>
      <c r="B200" s="1204"/>
      <c r="C200" s="1204"/>
      <c r="D200" s="1204"/>
      <c r="E200" s="1204"/>
      <c r="F200" s="1205"/>
      <c r="G200" s="1023" t="s">
        <v>319</v>
      </c>
      <c r="H200" s="1023" t="s">
        <v>762</v>
      </c>
      <c r="I200" s="1023" t="s">
        <v>763</v>
      </c>
      <c r="J200" s="1006"/>
      <c r="K200" s="1006"/>
      <c r="L200" s="1006"/>
      <c r="M200" s="1006"/>
      <c r="N200" s="1006"/>
      <c r="O200" s="1006"/>
      <c r="P200" s="1006"/>
      <c r="Q200" s="1007"/>
    </row>
    <row r="201" spans="1:17" s="1000" customFormat="1" ht="18">
      <c r="A201" s="1200" t="s">
        <v>611</v>
      </c>
      <c r="B201" s="1201"/>
      <c r="C201" s="1201"/>
      <c r="D201" s="1201"/>
      <c r="E201" s="1201"/>
      <c r="F201" s="1202"/>
      <c r="G201" s="1023" t="s">
        <v>319</v>
      </c>
      <c r="H201" s="1023" t="s">
        <v>762</v>
      </c>
      <c r="I201" s="1023" t="s">
        <v>763</v>
      </c>
      <c r="J201" s="1006"/>
      <c r="K201" s="1006"/>
      <c r="L201" s="1006"/>
      <c r="M201" s="1006"/>
      <c r="N201" s="1006"/>
      <c r="O201" s="1006"/>
      <c r="P201" s="1006"/>
      <c r="Q201" s="1007"/>
    </row>
    <row r="202" spans="1:17" s="2" customFormat="1" ht="18">
      <c r="A202" s="1008"/>
      <c r="B202" s="1009"/>
      <c r="C202" s="1009"/>
      <c r="D202" s="1009"/>
      <c r="E202" s="1009"/>
      <c r="F202" s="1010"/>
      <c r="G202" s="1024"/>
      <c r="H202" s="1024"/>
      <c r="I202" s="1024"/>
      <c r="J202" s="1011"/>
      <c r="K202" s="1011"/>
      <c r="L202" s="1011"/>
      <c r="M202" s="1011"/>
      <c r="N202" s="1011"/>
      <c r="O202" s="1011"/>
      <c r="P202" s="1011"/>
      <c r="Q202" s="1012"/>
    </row>
    <row r="203" spans="1:17" s="1000" customFormat="1" ht="15.75">
      <c r="A203" s="381">
        <v>6</v>
      </c>
      <c r="B203" s="372"/>
      <c r="C203" s="363" t="s">
        <v>189</v>
      </c>
      <c r="D203" s="362"/>
      <c r="E203" s="389"/>
      <c r="F203" s="385" t="s">
        <v>7</v>
      </c>
      <c r="G203" s="1013">
        <v>3431003839</v>
      </c>
      <c r="H203" s="1013">
        <v>147988</v>
      </c>
      <c r="I203" s="459">
        <f>G203-H203</f>
        <v>3430855851</v>
      </c>
      <c r="J203" s="295"/>
      <c r="K203" s="295"/>
      <c r="L203" s="295"/>
      <c r="M203" s="295"/>
      <c r="N203" s="295"/>
      <c r="O203" s="295"/>
      <c r="P203" s="295"/>
      <c r="Q203" s="417"/>
    </row>
    <row r="204" spans="1:17" s="1000" customFormat="1" ht="15.75">
      <c r="A204" s="381">
        <v>9</v>
      </c>
      <c r="B204" s="372"/>
      <c r="C204" s="363" t="s">
        <v>61</v>
      </c>
      <c r="D204" s="325"/>
      <c r="E204" s="325"/>
      <c r="F204" s="385" t="s">
        <v>8</v>
      </c>
      <c r="G204" s="1013">
        <v>892324561</v>
      </c>
      <c r="H204" s="1013">
        <v>86325</v>
      </c>
      <c r="I204" s="459">
        <f>G204-H204</f>
        <v>892238236</v>
      </c>
      <c r="J204" s="295"/>
      <c r="K204" s="295"/>
      <c r="L204" s="295"/>
      <c r="M204" s="295"/>
      <c r="N204" s="295"/>
      <c r="O204" s="295"/>
      <c r="P204" s="295"/>
      <c r="Q204" s="417"/>
    </row>
    <row r="205" spans="1:17" s="1000" customFormat="1" ht="15.75">
      <c r="A205" s="381">
        <v>23</v>
      </c>
      <c r="B205" s="372"/>
      <c r="C205" s="363" t="s">
        <v>151</v>
      </c>
      <c r="D205" s="325"/>
      <c r="E205" s="325"/>
      <c r="F205" s="385" t="s">
        <v>9</v>
      </c>
      <c r="G205" s="1013">
        <f>4070155+175484681</f>
        <v>179554836</v>
      </c>
      <c r="H205" s="1013">
        <f>H203</f>
        <v>147988</v>
      </c>
      <c r="I205" s="459">
        <f t="shared" ref="I205:I206" si="0">G205-H205</f>
        <v>179406848</v>
      </c>
      <c r="J205" s="295"/>
      <c r="K205" s="295"/>
      <c r="L205" s="295"/>
      <c r="M205" s="295"/>
      <c r="N205" s="295"/>
      <c r="O205" s="295"/>
      <c r="P205" s="295"/>
      <c r="Q205" s="417"/>
    </row>
    <row r="206" spans="1:17" s="1000" customFormat="1" ht="16.5" thickBot="1">
      <c r="A206" s="399">
        <v>31</v>
      </c>
      <c r="B206" s="402"/>
      <c r="C206" s="406" t="s">
        <v>230</v>
      </c>
      <c r="D206" s="327"/>
      <c r="E206" s="327"/>
      <c r="F206" s="408" t="s">
        <v>10</v>
      </c>
      <c r="G206" s="1025">
        <v>42233571</v>
      </c>
      <c r="H206" s="1025">
        <f>H204</f>
        <v>86325</v>
      </c>
      <c r="I206" s="1026">
        <f t="shared" si="0"/>
        <v>42147246</v>
      </c>
      <c r="J206" s="418"/>
      <c r="K206" s="418"/>
      <c r="L206" s="418"/>
      <c r="M206" s="418"/>
      <c r="N206" s="418"/>
      <c r="O206" s="418"/>
      <c r="P206" s="418"/>
      <c r="Q206" s="423"/>
    </row>
    <row r="207" spans="1:17" s="1000" customFormat="1" ht="16.5">
      <c r="G207" s="424"/>
      <c r="H207" s="1027"/>
      <c r="I207" s="424"/>
      <c r="J207" s="424"/>
      <c r="K207" s="424"/>
      <c r="L207" s="424"/>
      <c r="M207" s="424"/>
      <c r="N207" s="424"/>
      <c r="O207" s="424"/>
      <c r="P207" s="424"/>
      <c r="Q207" s="424"/>
    </row>
    <row r="208" spans="1:17" ht="17.25" thickBot="1">
      <c r="G208" s="424"/>
      <c r="H208" s="424"/>
      <c r="I208" s="424"/>
      <c r="J208" s="424"/>
      <c r="K208" s="424"/>
      <c r="L208" s="424"/>
      <c r="M208" s="424"/>
      <c r="N208" s="424"/>
      <c r="O208" s="424"/>
      <c r="P208" s="424"/>
      <c r="Q208" s="424"/>
    </row>
    <row r="209" spans="1:17" s="1120" customFormat="1" ht="18.75" thickBot="1">
      <c r="A209" s="1194" t="s">
        <v>795</v>
      </c>
      <c r="B209" s="1195"/>
      <c r="C209" s="1195"/>
      <c r="D209" s="1195"/>
      <c r="E209" s="1195"/>
      <c r="F209" s="1196"/>
      <c r="G209" s="1197"/>
      <c r="H209" s="1198"/>
      <c r="I209" s="1199"/>
      <c r="J209" s="1198"/>
      <c r="K209" s="1199"/>
      <c r="L209" s="1198"/>
      <c r="M209" s="430"/>
      <c r="N209" s="430"/>
      <c r="O209" s="430"/>
      <c r="P209" s="430"/>
      <c r="Q209" s="431"/>
    </row>
    <row r="210" spans="1:17" s="1120" customFormat="1" ht="39">
      <c r="A210" s="1200" t="s">
        <v>611</v>
      </c>
      <c r="B210" s="1201"/>
      <c r="C210" s="1201"/>
      <c r="D210" s="1201"/>
      <c r="E210" s="1201"/>
      <c r="F210" s="1202"/>
      <c r="G210" s="1121" t="s">
        <v>796</v>
      </c>
      <c r="H210" s="1121" t="s">
        <v>797</v>
      </c>
      <c r="I210" s="1121" t="s">
        <v>798</v>
      </c>
      <c r="J210" s="1121" t="s">
        <v>799</v>
      </c>
      <c r="K210" s="1189" t="s">
        <v>800</v>
      </c>
      <c r="L210" s="1190"/>
      <c r="M210" s="1190"/>
      <c r="N210" s="1190"/>
      <c r="O210" s="1190"/>
      <c r="P210" s="1190"/>
      <c r="Q210" s="1191"/>
    </row>
    <row r="211" spans="1:17" s="2" customFormat="1" ht="18">
      <c r="A211" s="1008"/>
      <c r="B211" s="1009"/>
      <c r="C211" s="1009"/>
      <c r="D211" s="1009"/>
      <c r="E211" s="1009"/>
      <c r="F211" s="1010"/>
      <c r="G211" s="1122"/>
      <c r="H211" s="1122"/>
      <c r="I211" s="1122"/>
      <c r="J211" s="1011"/>
      <c r="K211" s="1011"/>
      <c r="L211" s="1011"/>
      <c r="M211" s="1011"/>
      <c r="N211" s="1011"/>
      <c r="O211" s="1011"/>
      <c r="P211" s="1011"/>
      <c r="Q211" s="1012"/>
    </row>
    <row r="212" spans="1:17" s="1120" customFormat="1" ht="53.25" customHeight="1">
      <c r="A212" s="381">
        <v>68</v>
      </c>
      <c r="B212" s="372"/>
      <c r="C212" s="363" t="s">
        <v>150</v>
      </c>
      <c r="D212" s="362"/>
      <c r="E212" s="389"/>
      <c r="F212" s="1123" t="s">
        <v>801</v>
      </c>
      <c r="G212" s="1013">
        <v>69386052</v>
      </c>
      <c r="H212" s="1013">
        <v>12445382</v>
      </c>
      <c r="I212" s="459">
        <v>-648857.56106267578</v>
      </c>
      <c r="J212" s="459">
        <v>-704728</v>
      </c>
      <c r="K212" s="1192" t="s">
        <v>817</v>
      </c>
      <c r="L212" s="1179"/>
      <c r="M212" s="1179"/>
      <c r="N212" s="1179"/>
      <c r="O212" s="1179"/>
      <c r="P212" s="1179"/>
      <c r="Q212" s="1193"/>
    </row>
    <row r="213" spans="1:17" s="1120" customFormat="1" ht="16.5" thickBot="1">
      <c r="A213" s="399"/>
      <c r="B213" s="402"/>
      <c r="C213" s="406"/>
      <c r="D213" s="327"/>
      <c r="E213" s="327"/>
      <c r="F213" s="408"/>
      <c r="G213" s="1025"/>
      <c r="H213" s="1025"/>
      <c r="I213" s="1026"/>
      <c r="J213" s="418"/>
      <c r="K213" s="418"/>
      <c r="L213" s="418"/>
      <c r="M213" s="418"/>
      <c r="N213" s="418"/>
      <c r="O213" s="418"/>
      <c r="P213" s="418"/>
      <c r="Q213" s="423"/>
    </row>
    <row r="214" spans="1:17" ht="16.5">
      <c r="G214" s="424"/>
      <c r="H214" s="424"/>
      <c r="I214" s="424"/>
      <c r="J214" s="424"/>
      <c r="K214" s="424"/>
      <c r="L214" s="424"/>
      <c r="M214" s="424"/>
      <c r="N214" s="424"/>
      <c r="O214" s="424"/>
      <c r="P214" s="424"/>
      <c r="Q214" s="424"/>
    </row>
    <row r="215" spans="1:17" ht="17.25" thickBot="1">
      <c r="G215" s="424"/>
      <c r="H215" s="424"/>
      <c r="I215" s="424"/>
      <c r="J215" s="424"/>
      <c r="K215" s="424"/>
      <c r="L215" s="424"/>
      <c r="M215" s="424"/>
      <c r="N215" s="424"/>
      <c r="O215" s="424"/>
      <c r="P215" s="424"/>
      <c r="Q215" s="424"/>
    </row>
    <row r="216" spans="1:17" s="1140" customFormat="1" ht="19.5" thickBot="1">
      <c r="A216" s="1194" t="s">
        <v>491</v>
      </c>
      <c r="B216" s="1195"/>
      <c r="C216" s="1195"/>
      <c r="D216" s="1195"/>
      <c r="E216" s="1195"/>
      <c r="F216" s="1196"/>
      <c r="G216" s="424"/>
      <c r="H216" s="424"/>
      <c r="I216" s="424"/>
      <c r="J216" s="424"/>
      <c r="K216" s="424"/>
      <c r="L216" s="424"/>
      <c r="M216" s="424"/>
      <c r="N216" s="424"/>
      <c r="O216" s="424"/>
      <c r="P216" s="424"/>
      <c r="Q216" s="424"/>
    </row>
    <row r="217" spans="1:17" s="1140" customFormat="1" ht="16.5">
      <c r="G217" s="424"/>
      <c r="H217" s="424"/>
      <c r="I217" s="424"/>
      <c r="J217" s="424"/>
      <c r="K217" s="424"/>
      <c r="L217" s="424"/>
      <c r="M217" s="424"/>
      <c r="N217" s="424"/>
      <c r="O217" s="424"/>
      <c r="P217" s="424"/>
      <c r="Q217" s="424"/>
    </row>
    <row r="218" spans="1:17" s="1140" customFormat="1" ht="16.5">
      <c r="A218" s="1140" t="s">
        <v>595</v>
      </c>
      <c r="C218" s="1141" t="s">
        <v>809</v>
      </c>
      <c r="E218" s="852">
        <f>E226</f>
        <v>408552.17285382294</v>
      </c>
      <c r="G218" s="424"/>
      <c r="H218" s="424"/>
      <c r="I218" s="424"/>
      <c r="J218" s="424"/>
      <c r="K218" s="424"/>
      <c r="L218" s="424"/>
      <c r="M218" s="424"/>
      <c r="N218" s="424"/>
      <c r="O218" s="424"/>
      <c r="P218" s="424"/>
      <c r="Q218" s="424"/>
    </row>
    <row r="219" spans="1:17" s="1140" customFormat="1" ht="16.5">
      <c r="G219" s="424"/>
      <c r="H219" s="424"/>
      <c r="I219" s="424"/>
      <c r="J219" s="424"/>
      <c r="K219" s="424"/>
      <c r="L219" s="424"/>
      <c r="M219" s="424"/>
      <c r="N219" s="424"/>
      <c r="O219" s="424"/>
      <c r="P219" s="424"/>
      <c r="Q219" s="424"/>
    </row>
    <row r="220" spans="1:17" s="1140" customFormat="1" ht="16.5">
      <c r="D220" s="299" t="s">
        <v>810</v>
      </c>
      <c r="E220" s="1142">
        <f>'3 - Revenue Credits'!D33</f>
        <v>1007245.38</v>
      </c>
      <c r="G220" s="424"/>
      <c r="H220" s="424"/>
      <c r="I220" s="424"/>
      <c r="J220" s="424"/>
      <c r="K220" s="424"/>
      <c r="L220" s="424"/>
      <c r="M220" s="424"/>
      <c r="N220" s="424"/>
      <c r="O220" s="424"/>
      <c r="P220" s="424"/>
      <c r="Q220" s="424"/>
    </row>
    <row r="221" spans="1:17" s="1140" customFormat="1" ht="16.5">
      <c r="D221" s="865" t="s">
        <v>811</v>
      </c>
      <c r="E221" s="1143">
        <f>'ATT H-3D'!H220</f>
        <v>0.35</v>
      </c>
      <c r="G221" s="424"/>
      <c r="H221" s="424"/>
      <c r="I221" s="424"/>
      <c r="J221" s="424"/>
      <c r="K221" s="424"/>
      <c r="L221" s="424"/>
      <c r="M221" s="424"/>
      <c r="N221" s="424"/>
      <c r="O221" s="424"/>
      <c r="P221" s="424"/>
      <c r="Q221" s="424"/>
    </row>
    <row r="222" spans="1:17" s="1140" customFormat="1" ht="16.5">
      <c r="D222" s="1144" t="s">
        <v>814</v>
      </c>
      <c r="E222" s="1145">
        <f>E220*E221</f>
        <v>352535.88299999997</v>
      </c>
      <c r="G222" s="424"/>
      <c r="H222" s="424"/>
      <c r="I222" s="424"/>
      <c r="J222" s="424"/>
      <c r="K222" s="424"/>
      <c r="L222" s="424"/>
      <c r="M222" s="424"/>
      <c r="N222" s="424"/>
      <c r="O222" s="424"/>
      <c r="P222" s="424"/>
      <c r="Q222" s="424"/>
    </row>
    <row r="223" spans="1:17" s="1140" customFormat="1" ht="16.5">
      <c r="D223" s="1144" t="s">
        <v>812</v>
      </c>
      <c r="E223" s="1145">
        <f>E220-E222</f>
        <v>654709.49699999997</v>
      </c>
      <c r="G223" s="424"/>
      <c r="H223" s="424"/>
      <c r="I223" s="424"/>
      <c r="J223" s="424"/>
      <c r="K223" s="424"/>
      <c r="L223" s="424"/>
      <c r="M223" s="424"/>
      <c r="N223" s="424"/>
      <c r="O223" s="424"/>
      <c r="P223" s="424"/>
      <c r="Q223" s="424"/>
    </row>
    <row r="224" spans="1:17" s="1140" customFormat="1" ht="16.5">
      <c r="D224" s="1144" t="s">
        <v>813</v>
      </c>
      <c r="E224" s="1146">
        <f>'ATT H-3D'!H221</f>
        <v>8.5558999999999996E-2</v>
      </c>
      <c r="G224" s="424"/>
      <c r="H224" s="424"/>
      <c r="I224" s="424"/>
      <c r="J224" s="424"/>
      <c r="K224" s="424"/>
      <c r="L224" s="424"/>
      <c r="M224" s="424"/>
      <c r="N224" s="424"/>
      <c r="O224" s="424"/>
      <c r="P224" s="424"/>
      <c r="Q224" s="424"/>
    </row>
    <row r="225" spans="1:17" s="1140" customFormat="1" ht="16.5">
      <c r="D225" s="1144" t="s">
        <v>815</v>
      </c>
      <c r="E225" s="1145">
        <f>E223*E224</f>
        <v>56016.289853822993</v>
      </c>
      <c r="G225" s="424"/>
      <c r="H225" s="424"/>
      <c r="I225" s="424"/>
      <c r="J225" s="424"/>
      <c r="K225" s="424"/>
      <c r="L225" s="424"/>
      <c r="M225" s="424"/>
      <c r="N225" s="424"/>
      <c r="O225" s="424"/>
      <c r="P225" s="424"/>
      <c r="Q225" s="424"/>
    </row>
    <row r="226" spans="1:17" s="1140" customFormat="1" ht="17.25" thickBot="1">
      <c r="D226" s="1144" t="s">
        <v>816</v>
      </c>
      <c r="E226" s="1147">
        <f>E225+E222</f>
        <v>408552.17285382294</v>
      </c>
      <c r="G226" s="424"/>
      <c r="H226" s="424"/>
      <c r="I226" s="424"/>
      <c r="J226" s="424"/>
      <c r="K226" s="424"/>
      <c r="L226" s="424"/>
      <c r="M226" s="424"/>
      <c r="N226" s="424"/>
      <c r="O226" s="424"/>
      <c r="P226" s="424"/>
      <c r="Q226" s="424"/>
    </row>
    <row r="227" spans="1:17" ht="17.25" thickTop="1">
      <c r="G227" s="424"/>
      <c r="H227" s="424"/>
      <c r="I227" s="424"/>
      <c r="J227" s="424"/>
      <c r="K227" s="424"/>
      <c r="L227" s="424"/>
      <c r="M227" s="424"/>
      <c r="N227" s="424"/>
      <c r="O227" s="424"/>
      <c r="P227" s="424"/>
      <c r="Q227" s="424"/>
    </row>
    <row r="228" spans="1:17" ht="17.25" thickBot="1">
      <c r="G228" s="424"/>
      <c r="H228" s="424"/>
      <c r="I228" s="424"/>
      <c r="J228" s="424"/>
      <c r="K228" s="424"/>
      <c r="L228" s="424"/>
      <c r="M228" s="424"/>
      <c r="N228" s="424"/>
      <c r="O228" s="424"/>
      <c r="P228" s="424"/>
      <c r="Q228" s="424"/>
    </row>
    <row r="229" spans="1:17" s="1150" customFormat="1" ht="19.5" thickBot="1">
      <c r="A229" s="1194" t="s">
        <v>626</v>
      </c>
      <c r="B229" s="1195"/>
      <c r="C229" s="1195"/>
      <c r="D229" s="1195"/>
      <c r="E229" s="1195"/>
      <c r="F229" s="1196"/>
      <c r="G229" s="424"/>
      <c r="H229" s="424"/>
      <c r="I229" s="424"/>
      <c r="J229" s="424"/>
      <c r="K229" s="424"/>
      <c r="L229" s="424"/>
      <c r="M229" s="424"/>
      <c r="N229" s="424"/>
      <c r="O229" s="424"/>
      <c r="P229" s="424"/>
      <c r="Q229" s="424"/>
    </row>
    <row r="230" spans="1:17" s="1150" customFormat="1" ht="16.5">
      <c r="A230" s="1244" t="s">
        <v>824</v>
      </c>
      <c r="B230" s="1244"/>
      <c r="C230" s="1244"/>
      <c r="D230" s="1244"/>
      <c r="E230" s="1244"/>
      <c r="F230" s="1244"/>
      <c r="G230" s="424"/>
      <c r="H230" s="424"/>
      <c r="I230" s="424"/>
      <c r="J230" s="424"/>
      <c r="K230" s="424"/>
      <c r="L230" s="424"/>
      <c r="M230" s="424"/>
      <c r="N230" s="424"/>
      <c r="O230" s="424"/>
      <c r="P230" s="424"/>
      <c r="Q230" s="424"/>
    </row>
    <row r="231" spans="1:17" ht="16.5">
      <c r="G231" s="424"/>
      <c r="H231" s="424"/>
      <c r="I231" s="424"/>
      <c r="J231" s="424"/>
      <c r="K231" s="424"/>
      <c r="L231" s="424"/>
      <c r="M231" s="424"/>
      <c r="N231" s="424"/>
      <c r="O231" s="424"/>
      <c r="P231" s="424"/>
      <c r="Q231" s="424"/>
    </row>
    <row r="232" spans="1:17" ht="18">
      <c r="C232" s="1151" t="s">
        <v>825</v>
      </c>
      <c r="D232" s="988">
        <f>'6- Est &amp; Reconcile WS'!H158</f>
        <v>5783309.1541213645</v>
      </c>
      <c r="E232" s="713" t="s">
        <v>818</v>
      </c>
      <c r="F232" s="1152"/>
      <c r="G232" s="424"/>
      <c r="H232" s="424"/>
      <c r="I232" s="424"/>
      <c r="J232" s="424"/>
      <c r="K232" s="424"/>
      <c r="L232" s="424"/>
      <c r="M232" s="424"/>
      <c r="N232" s="424"/>
      <c r="O232" s="424"/>
      <c r="P232" s="424"/>
      <c r="Q232" s="424"/>
    </row>
    <row r="233" spans="1:17" ht="16.5">
      <c r="C233" s="1151" t="s">
        <v>826</v>
      </c>
      <c r="D233" s="988">
        <v>1610297.4223280409</v>
      </c>
      <c r="E233" s="713" t="s">
        <v>819</v>
      </c>
      <c r="F233" s="1153"/>
      <c r="G233" s="424"/>
      <c r="H233" s="424"/>
      <c r="I233" s="424"/>
      <c r="J233" s="424"/>
      <c r="K233" s="424"/>
      <c r="L233" s="424"/>
      <c r="M233" s="424"/>
      <c r="N233" s="424"/>
      <c r="O233" s="424"/>
      <c r="P233" s="424"/>
      <c r="Q233" s="424"/>
    </row>
    <row r="234" spans="1:17" ht="16.5">
      <c r="C234" s="1151"/>
      <c r="D234" s="1151"/>
      <c r="E234" s="1151"/>
      <c r="F234" s="1154"/>
      <c r="G234" s="424"/>
      <c r="H234" s="424"/>
      <c r="I234" s="424"/>
      <c r="J234" s="424"/>
      <c r="K234" s="424"/>
      <c r="L234" s="424"/>
      <c r="M234" s="424"/>
      <c r="N234" s="424"/>
      <c r="O234" s="424"/>
      <c r="P234" s="424"/>
      <c r="Q234" s="424"/>
    </row>
    <row r="235" spans="1:17" ht="16.5">
      <c r="C235" s="1151" t="s">
        <v>827</v>
      </c>
      <c r="D235" s="1151">
        <v>281</v>
      </c>
      <c r="E235" s="713" t="s">
        <v>828</v>
      </c>
      <c r="F235" s="1128"/>
      <c r="G235" s="424"/>
      <c r="H235" s="424"/>
      <c r="I235" s="424"/>
      <c r="J235" s="424"/>
      <c r="K235" s="424"/>
      <c r="L235" s="424"/>
      <c r="M235" s="424"/>
      <c r="N235" s="424"/>
      <c r="O235" s="424"/>
      <c r="P235" s="424"/>
      <c r="Q235" s="424"/>
    </row>
    <row r="236" spans="1:17" ht="16.5">
      <c r="C236" s="1151" t="s">
        <v>829</v>
      </c>
      <c r="D236" s="1155">
        <v>85</v>
      </c>
      <c r="E236" s="713" t="s">
        <v>820</v>
      </c>
      <c r="F236" s="1133"/>
      <c r="G236" s="424"/>
      <c r="H236" s="424"/>
      <c r="I236" s="424"/>
      <c r="J236" s="424"/>
      <c r="K236" s="424"/>
      <c r="L236" s="424"/>
      <c r="M236" s="424"/>
      <c r="N236" s="424"/>
      <c r="O236" s="424"/>
      <c r="P236" s="424"/>
      <c r="Q236" s="424"/>
    </row>
    <row r="237" spans="1:17" ht="16.5">
      <c r="C237" s="1151"/>
      <c r="D237" s="1151">
        <f>SUM(D235:D236)</f>
        <v>366</v>
      </c>
      <c r="E237" s="713" t="s">
        <v>830</v>
      </c>
      <c r="F237" s="1133"/>
      <c r="G237" s="424"/>
      <c r="H237" s="424"/>
      <c r="I237" s="424"/>
      <c r="J237" s="424"/>
      <c r="K237" s="424"/>
      <c r="L237" s="424"/>
      <c r="M237" s="424"/>
      <c r="N237" s="424"/>
      <c r="O237" s="424"/>
      <c r="P237" s="424"/>
      <c r="Q237" s="424"/>
    </row>
    <row r="238" spans="1:17" ht="16.5">
      <c r="C238" s="1151"/>
      <c r="D238" s="1151"/>
      <c r="E238" s="1151"/>
      <c r="F238" s="1128"/>
      <c r="G238" s="424"/>
      <c r="H238" s="424"/>
      <c r="I238" s="424"/>
      <c r="J238" s="424"/>
      <c r="K238" s="424"/>
      <c r="L238" s="424"/>
      <c r="M238" s="424"/>
      <c r="N238" s="424"/>
      <c r="O238" s="424"/>
      <c r="P238" s="424"/>
      <c r="Q238" s="424"/>
    </row>
    <row r="239" spans="1:17" ht="16.5">
      <c r="C239" s="1151" t="s">
        <v>831</v>
      </c>
      <c r="D239" s="1156">
        <f>D235/D237</f>
        <v>0.76775956284153002</v>
      </c>
      <c r="E239" s="713" t="s">
        <v>832</v>
      </c>
      <c r="F239" s="1133"/>
      <c r="G239" s="424"/>
      <c r="H239" s="424"/>
      <c r="I239" s="424"/>
      <c r="J239" s="424"/>
      <c r="K239" s="424"/>
      <c r="L239" s="424"/>
      <c r="M239" s="424"/>
      <c r="N239" s="424"/>
      <c r="O239" s="424"/>
      <c r="P239" s="424"/>
      <c r="Q239" s="424"/>
    </row>
    <row r="240" spans="1:17" ht="16.5">
      <c r="C240" s="1151" t="s">
        <v>833</v>
      </c>
      <c r="D240" s="1156">
        <f>D236/D237</f>
        <v>0.23224043715846995</v>
      </c>
      <c r="E240" s="713" t="s">
        <v>834</v>
      </c>
      <c r="F240" s="1133"/>
      <c r="G240" s="424"/>
      <c r="H240" s="424"/>
      <c r="I240" s="424"/>
      <c r="J240" s="424"/>
      <c r="K240" s="424"/>
      <c r="L240" s="424"/>
      <c r="M240" s="424"/>
      <c r="N240" s="424"/>
      <c r="O240" s="424"/>
      <c r="P240" s="424"/>
      <c r="Q240" s="424"/>
    </row>
    <row r="241" spans="3:17" ht="16.5">
      <c r="C241" s="1151"/>
      <c r="D241" s="1151"/>
      <c r="E241" s="1151"/>
      <c r="F241" s="1133"/>
      <c r="G241" s="424"/>
      <c r="H241" s="424"/>
      <c r="I241" s="424"/>
      <c r="J241" s="424"/>
      <c r="K241" s="424"/>
      <c r="L241" s="424"/>
      <c r="M241" s="424"/>
      <c r="N241" s="424"/>
      <c r="O241" s="424"/>
      <c r="P241" s="424"/>
      <c r="Q241" s="424"/>
    </row>
    <row r="242" spans="3:17" ht="16.5">
      <c r="C242" s="1151" t="s">
        <v>835</v>
      </c>
      <c r="D242" s="667">
        <f>D232*D239</f>
        <v>4440190.9079456376</v>
      </c>
      <c r="E242" s="713" t="s">
        <v>836</v>
      </c>
      <c r="F242" s="1128"/>
      <c r="G242" s="424"/>
      <c r="H242" s="424"/>
      <c r="I242" s="424"/>
      <c r="J242" s="424"/>
      <c r="K242" s="424"/>
      <c r="L242" s="424"/>
      <c r="M242" s="424"/>
      <c r="N242" s="424"/>
      <c r="O242" s="424"/>
      <c r="P242" s="424"/>
      <c r="Q242" s="424"/>
    </row>
    <row r="243" spans="3:17" ht="16.5">
      <c r="C243" s="1151" t="s">
        <v>837</v>
      </c>
      <c r="D243" s="1157">
        <f>D233*D240</f>
        <v>373976.17731662153</v>
      </c>
      <c r="E243" s="713" t="s">
        <v>838</v>
      </c>
      <c r="F243" s="1133"/>
      <c r="G243" s="424"/>
      <c r="H243" s="424"/>
      <c r="I243" s="424"/>
      <c r="J243" s="424"/>
      <c r="K243" s="424"/>
      <c r="L243" s="424"/>
      <c r="M243" s="424"/>
      <c r="N243" s="424"/>
      <c r="O243" s="424"/>
      <c r="P243" s="424"/>
      <c r="Q243" s="424"/>
    </row>
    <row r="244" spans="3:17" ht="16.5">
      <c r="C244" s="1158" t="s">
        <v>839</v>
      </c>
      <c r="D244" s="1159">
        <f>SUM(D242:D243)</f>
        <v>4814167.0852622595</v>
      </c>
      <c r="E244" s="1160" t="s">
        <v>821</v>
      </c>
      <c r="F244" s="1132"/>
      <c r="G244" s="424"/>
      <c r="H244" s="424"/>
      <c r="I244" s="424"/>
      <c r="J244" s="424"/>
      <c r="K244" s="424"/>
      <c r="L244" s="424"/>
      <c r="M244" s="424"/>
      <c r="N244" s="424"/>
      <c r="O244" s="424"/>
      <c r="P244" s="424"/>
      <c r="Q244" s="424"/>
    </row>
    <row r="245" spans="3:17" ht="16.5">
      <c r="C245" s="1151"/>
      <c r="D245" s="667"/>
      <c r="E245" s="1151"/>
      <c r="F245" s="1133"/>
      <c r="G245" s="424"/>
      <c r="H245" s="424"/>
      <c r="I245" s="424"/>
      <c r="J245" s="424"/>
      <c r="K245" s="424"/>
      <c r="L245" s="424"/>
      <c r="M245" s="424"/>
      <c r="N245" s="424"/>
      <c r="O245" s="424"/>
      <c r="P245" s="424"/>
      <c r="Q245" s="424"/>
    </row>
    <row r="246" spans="3:17" ht="16.5">
      <c r="C246" s="1151" t="s">
        <v>840</v>
      </c>
      <c r="D246" s="988">
        <v>-11902175</v>
      </c>
      <c r="E246" s="713" t="s">
        <v>841</v>
      </c>
      <c r="F246" s="1132"/>
      <c r="G246" s="424"/>
      <c r="H246" s="424"/>
      <c r="I246" s="424"/>
      <c r="J246" s="424"/>
      <c r="K246" s="424"/>
      <c r="L246" s="424"/>
      <c r="M246" s="424"/>
      <c r="N246" s="424"/>
      <c r="O246" s="424"/>
      <c r="P246" s="424"/>
      <c r="Q246" s="424"/>
    </row>
    <row r="247" spans="3:17" ht="16.5">
      <c r="C247" s="1151" t="s">
        <v>842</v>
      </c>
      <c r="D247" s="1157">
        <v>-217729.99068390601</v>
      </c>
      <c r="E247" s="713" t="s">
        <v>843</v>
      </c>
      <c r="F247" s="1132"/>
      <c r="G247" s="424"/>
      <c r="H247" s="424"/>
      <c r="I247" s="424"/>
      <c r="J247" s="424"/>
      <c r="K247" s="424"/>
      <c r="L247" s="424"/>
      <c r="M247" s="424"/>
      <c r="N247" s="424"/>
      <c r="O247" s="424"/>
      <c r="P247" s="424"/>
      <c r="Q247" s="424"/>
    </row>
    <row r="248" spans="3:17" ht="16.5">
      <c r="C248" s="1161" t="s">
        <v>844</v>
      </c>
      <c r="D248" s="1159">
        <f>SUM(D246:D247)</f>
        <v>-12119904.990683906</v>
      </c>
      <c r="E248" s="1160" t="s">
        <v>822</v>
      </c>
      <c r="F248" s="1132"/>
      <c r="G248" s="424"/>
      <c r="H248" s="424"/>
      <c r="I248" s="424"/>
      <c r="J248" s="424"/>
      <c r="K248" s="424"/>
      <c r="L248" s="424"/>
      <c r="M248" s="424"/>
      <c r="N248" s="424"/>
      <c r="O248" s="424"/>
      <c r="P248" s="424"/>
      <c r="Q248" s="424"/>
    </row>
    <row r="249" spans="3:17" ht="18">
      <c r="C249" s="1151"/>
      <c r="D249" s="1151"/>
      <c r="E249" s="1151"/>
      <c r="F249" s="1149"/>
      <c r="G249" s="424"/>
      <c r="H249" s="424"/>
      <c r="I249" s="424"/>
      <c r="J249" s="424"/>
      <c r="K249" s="424"/>
      <c r="L249" s="424"/>
      <c r="M249" s="424"/>
      <c r="N249" s="424"/>
      <c r="O249" s="424"/>
      <c r="P249" s="424"/>
      <c r="Q249" s="424"/>
    </row>
    <row r="250" spans="3:17" ht="17.25" thickBot="1">
      <c r="C250" s="1158" t="s">
        <v>845</v>
      </c>
      <c r="D250" s="1162">
        <f>D244+D248</f>
        <v>-7305737.9054216463</v>
      </c>
      <c r="E250" s="1160" t="s">
        <v>823</v>
      </c>
      <c r="F250" s="1139"/>
      <c r="G250" s="424"/>
      <c r="H250" s="424"/>
      <c r="I250" s="424"/>
      <c r="J250" s="424"/>
      <c r="K250" s="424"/>
      <c r="L250" s="424"/>
      <c r="M250" s="424"/>
      <c r="N250" s="424"/>
      <c r="O250" s="424"/>
      <c r="P250" s="424"/>
      <c r="Q250" s="424"/>
    </row>
    <row r="251" spans="3:17" ht="17.25" thickTop="1">
      <c r="C251" s="1151"/>
      <c r="D251" s="1151"/>
      <c r="E251" s="1151"/>
      <c r="F251" s="1139"/>
      <c r="G251" s="424"/>
      <c r="H251" s="424"/>
      <c r="I251" s="424"/>
      <c r="J251" s="424"/>
      <c r="K251" s="424"/>
      <c r="L251" s="424"/>
      <c r="M251" s="424"/>
      <c r="N251" s="424"/>
      <c r="O251" s="424"/>
      <c r="P251" s="424"/>
      <c r="Q251" s="424"/>
    </row>
    <row r="252" spans="3:17" ht="16.5">
      <c r="C252" s="1151" t="s">
        <v>846</v>
      </c>
      <c r="D252" s="989">
        <f>'6- Est &amp; Reconcile WS'!H158</f>
        <v>5783309.1541213645</v>
      </c>
      <c r="E252" s="1151" t="s">
        <v>494</v>
      </c>
      <c r="F252" s="1139"/>
      <c r="G252" s="424"/>
      <c r="H252" s="424"/>
      <c r="I252" s="424"/>
      <c r="J252" s="424"/>
      <c r="K252" s="424"/>
      <c r="L252" s="424"/>
      <c r="M252" s="424"/>
      <c r="N252" s="424"/>
      <c r="O252" s="424"/>
      <c r="P252" s="424"/>
      <c r="Q252" s="424"/>
    </row>
    <row r="253" spans="3:17" ht="16.5">
      <c r="C253" s="1151" t="s">
        <v>847</v>
      </c>
      <c r="D253" s="1163">
        <f>D250-D252</f>
        <v>-13089047.05954301</v>
      </c>
      <c r="E253" s="1151" t="s">
        <v>494</v>
      </c>
      <c r="F253" s="1139"/>
      <c r="G253" s="424"/>
      <c r="H253" s="424"/>
      <c r="I253" s="424"/>
      <c r="J253" s="424"/>
      <c r="K253" s="424"/>
      <c r="L253" s="424"/>
      <c r="M253" s="424"/>
      <c r="N253" s="424"/>
      <c r="O253" s="424"/>
      <c r="P253" s="424"/>
      <c r="Q253" s="424"/>
    </row>
    <row r="254" spans="3:17" ht="16.5">
      <c r="C254" s="1151"/>
      <c r="D254" s="1151"/>
      <c r="E254" s="1151"/>
      <c r="F254" s="1139"/>
      <c r="G254" s="424"/>
      <c r="H254" s="424"/>
      <c r="I254" s="424"/>
      <c r="J254" s="424"/>
      <c r="K254" s="424"/>
      <c r="L254" s="424"/>
      <c r="M254" s="424"/>
      <c r="N254" s="424"/>
      <c r="O254" s="424"/>
      <c r="P254" s="424"/>
      <c r="Q254" s="424"/>
    </row>
    <row r="255" spans="3:17" ht="16.5">
      <c r="C255" s="1164" t="s">
        <v>848</v>
      </c>
      <c r="D255" s="1151"/>
      <c r="E255" s="1151"/>
      <c r="F255" s="1139"/>
      <c r="G255" s="424"/>
      <c r="H255" s="424"/>
      <c r="I255" s="424"/>
      <c r="J255" s="424"/>
      <c r="K255" s="424"/>
      <c r="L255" s="424"/>
      <c r="M255" s="424"/>
      <c r="N255" s="424"/>
      <c r="O255" s="424"/>
      <c r="P255" s="424"/>
      <c r="Q255" s="424"/>
    </row>
    <row r="256" spans="3:17" ht="16.5">
      <c r="C256" s="1151"/>
      <c r="D256" s="1139"/>
      <c r="E256" s="1139"/>
      <c r="F256" s="1139"/>
      <c r="G256" s="424"/>
      <c r="H256" s="424"/>
      <c r="I256" s="424"/>
      <c r="J256" s="424"/>
      <c r="K256" s="424"/>
      <c r="L256" s="424"/>
      <c r="M256" s="424"/>
      <c r="N256" s="424"/>
      <c r="O256" s="424"/>
      <c r="P256" s="424"/>
      <c r="Q256" s="424"/>
    </row>
    <row r="257" spans="3:17" ht="16.5">
      <c r="C257" s="1151" t="s">
        <v>835</v>
      </c>
      <c r="D257" s="1165">
        <f>D242</f>
        <v>4440190.9079456376</v>
      </c>
      <c r="E257" s="1139"/>
      <c r="F257" s="1139"/>
      <c r="G257" s="424"/>
      <c r="H257" s="424"/>
      <c r="I257" s="424"/>
      <c r="J257" s="424"/>
      <c r="K257" s="424"/>
      <c r="L257" s="424"/>
      <c r="M257" s="424"/>
      <c r="N257" s="424"/>
      <c r="O257" s="424"/>
      <c r="P257" s="424"/>
      <c r="Q257" s="424"/>
    </row>
    <row r="258" spans="3:17" ht="16.5">
      <c r="C258" s="1151" t="s">
        <v>837</v>
      </c>
      <c r="D258" s="1165">
        <f>D243</f>
        <v>373976.17731662153</v>
      </c>
      <c r="E258" s="1139"/>
      <c r="F258" s="1139"/>
      <c r="G258" s="424"/>
      <c r="H258" s="424"/>
      <c r="I258" s="424"/>
      <c r="J258" s="424"/>
      <c r="K258" s="424"/>
      <c r="L258" s="424"/>
      <c r="M258" s="424"/>
      <c r="N258" s="424"/>
      <c r="O258" s="424"/>
      <c r="P258" s="424"/>
      <c r="Q258" s="424"/>
    </row>
    <row r="259" spans="3:17" ht="16.5">
      <c r="C259" s="1151" t="s">
        <v>849</v>
      </c>
      <c r="D259" s="1166">
        <f>D248</f>
        <v>-12119904.990683906</v>
      </c>
      <c r="E259" s="1151"/>
      <c r="F259" s="1151"/>
      <c r="G259" s="424"/>
      <c r="H259" s="424"/>
      <c r="I259" s="424"/>
      <c r="J259" s="424"/>
      <c r="K259" s="424"/>
      <c r="L259" s="424"/>
      <c r="M259" s="424"/>
      <c r="N259" s="424"/>
      <c r="O259" s="424"/>
      <c r="P259" s="424"/>
      <c r="Q259" s="424"/>
    </row>
    <row r="260" spans="3:17">
      <c r="C260" s="1151" t="s">
        <v>850</v>
      </c>
      <c r="D260" s="667">
        <f>SUM(D257:D259)</f>
        <v>-7305737.9054216463</v>
      </c>
      <c r="E260" s="1151"/>
      <c r="F260" s="1151"/>
    </row>
    <row r="261" spans="3:17">
      <c r="C261" s="1151"/>
      <c r="D261" s="1151"/>
      <c r="E261" s="1151"/>
      <c r="F261" s="1151"/>
    </row>
    <row r="262" spans="3:17">
      <c r="C262" s="1151"/>
      <c r="D262" s="1151"/>
      <c r="E262" s="1151"/>
      <c r="F262" s="1151"/>
    </row>
    <row r="263" spans="3:17">
      <c r="C263" s="1151"/>
      <c r="D263" s="1151"/>
      <c r="E263" s="1151"/>
      <c r="F263" s="1151"/>
    </row>
    <row r="264" spans="3:17">
      <c r="C264" s="1151"/>
      <c r="D264" s="1151"/>
      <c r="E264" s="1151"/>
      <c r="F264" s="1151"/>
    </row>
  </sheetData>
  <customSheetViews>
    <customSheetView guid="{DD59B418-F201-4517-876C-F4216587CC56}" scale="75" showPageBreaks="1" printArea="1" showRuler="0">
      <rowBreaks count="3" manualBreakCount="3">
        <brk id="49" max="16" man="1"/>
        <brk id="94" max="16" man="1"/>
        <brk id="141" max="16" man="1"/>
      </rowBreaks>
      <pageMargins left="0.25" right="0.25" top="0.75" bottom="0.75" header="0.5" footer="0.5"/>
      <printOptions horizontalCentered="1"/>
      <pageSetup scale="51" fitToHeight="4" orientation="landscape" r:id="rId1"/>
      <headerFooter alignWithMargins="0"/>
    </customSheetView>
    <customSheetView guid="{6FDC2004-56D4-4E4C-BEEF-80DB64AD0DBB}" scale="50" showPageBreaks="1" printArea="1" hiddenRows="1" view="pageBreakPreview" showRuler="0" topLeftCell="A129">
      <rowBreaks count="3" manualBreakCount="3">
        <brk id="49" max="16" man="1"/>
        <brk id="93" max="16" man="1"/>
        <brk id="140" max="16" man="1"/>
      </rowBreaks>
      <pageMargins left="0.25" right="0.25" top="0.75" bottom="0.75" header="0.5" footer="0.5"/>
      <printOptions horizontalCentered="1"/>
      <pageSetup scale="51" fitToHeight="4" orientation="landscape" r:id="rId2"/>
      <headerFooter alignWithMargins="0">
        <oddHeader>&amp;R&amp;12Page &amp;P of &amp;N</oddHeader>
      </headerFooter>
    </customSheetView>
    <customSheetView guid="{4F5BB44A-5460-4358-BCFE-B7FB945BAE1D}" scale="75" showPageBreaks="1" printArea="1" hiddenRows="1" view="pageBreakPreview" showRuler="0">
      <rowBreaks count="3" manualBreakCount="3">
        <brk id="49" max="16" man="1"/>
        <brk id="93" max="16" man="1"/>
        <brk id="140" max="16" man="1"/>
      </rowBreaks>
      <pageMargins left="0.25" right="0.25" top="0.75" bottom="0.75" header="0.5" footer="0.5"/>
      <printOptions horizontalCentered="1"/>
      <pageSetup scale="51" fitToHeight="4" orientation="landscape" r:id="rId3"/>
      <headerFooter alignWithMargins="0">
        <oddHeader>&amp;R&amp;12Page &amp;P of &amp;N</oddHeader>
      </headerFooter>
    </customSheetView>
    <customSheetView guid="{C0EA0F9F-7310-4201-82C9-7B8FC8DB9137}" scale="75" showPageBreaks="1" printArea="1" hiddenRows="1" view="pageBreakPreview" showRuler="0">
      <selection activeCell="A86" sqref="A86"/>
      <rowBreaks count="3" manualBreakCount="3">
        <brk id="49" max="16" man="1"/>
        <brk id="93" max="16" man="1"/>
        <brk id="140" max="16" man="1"/>
      </rowBreaks>
      <pageMargins left="0.25" right="0.25" top="0.75" bottom="0.75" header="0.5" footer="0.5"/>
      <printOptions horizontalCentered="1"/>
      <pageSetup scale="51" fitToHeight="4" orientation="landscape" r:id="rId4"/>
      <headerFooter alignWithMargins="0">
        <oddHeader>&amp;R&amp;14Page &amp;P of &amp;N</oddHeader>
      </headerFooter>
    </customSheetView>
    <customSheetView guid="{3BDD6235-B127-4929-8311-BDAF7BB89818}" scale="75" showPageBreaks="1" printArea="1" hiddenRows="1" view="pageBreakPreview" showRuler="0">
      <rowBreaks count="3" manualBreakCount="3">
        <brk id="49" max="16" man="1"/>
        <brk id="93" max="16" man="1"/>
        <brk id="140" max="16" man="1"/>
      </rowBreaks>
      <pageMargins left="0.25" right="0.25" top="0.75" bottom="0.75" header="0.5" footer="0.5"/>
      <printOptions horizontalCentered="1"/>
      <pageSetup scale="51" fitToHeight="4" orientation="landscape" r:id="rId5"/>
      <headerFooter alignWithMargins="0">
        <oddHeader>&amp;R&amp;12Page &amp;P of &amp;N</oddHeader>
      </headerFooter>
    </customSheetView>
    <customSheetView guid="{4C8E812F-DAB5-4C49-9682-E5A34DC8C1B4}" scale="75" showPageBreaks="1" printArea="1" hiddenRows="1" view="pageBreakPreview" showRuler="0" topLeftCell="A114">
      <selection activeCell="C85" sqref="C85:C86"/>
      <rowBreaks count="3" manualBreakCount="3">
        <brk id="49" max="16" man="1"/>
        <brk id="94" max="16" man="1"/>
        <brk id="141" max="16" man="1"/>
      </rowBreaks>
      <pageMargins left="0.25" right="0.25" top="0.75" bottom="0.75" header="0.5" footer="0.5"/>
      <printOptions horizontalCentered="1"/>
      <pageSetup scale="51" fitToHeight="4" orientation="landscape" r:id="rId6"/>
      <headerFooter alignWithMargins="0">
        <oddHeader>&amp;R&amp;12Page &amp;P of &amp;N</oddHeader>
      </headerFooter>
    </customSheetView>
  </customSheetViews>
  <mergeCells count="118">
    <mergeCell ref="A229:F229"/>
    <mergeCell ref="A230:F230"/>
    <mergeCell ref="A216:F216"/>
    <mergeCell ref="A97:F97"/>
    <mergeCell ref="A159:F159"/>
    <mergeCell ref="A47:F47"/>
    <mergeCell ref="A53:F53"/>
    <mergeCell ref="A61:F61"/>
    <mergeCell ref="A67:F67"/>
    <mergeCell ref="A122:F122"/>
    <mergeCell ref="A153:F153"/>
    <mergeCell ref="A137:F137"/>
    <mergeCell ref="A112:F112"/>
    <mergeCell ref="A74:F74"/>
    <mergeCell ref="A80:F80"/>
    <mergeCell ref="A143:F143"/>
    <mergeCell ref="A173:F173"/>
    <mergeCell ref="A183:F183"/>
    <mergeCell ref="A210:F210"/>
    <mergeCell ref="J13:Q13"/>
    <mergeCell ref="J22:Q22"/>
    <mergeCell ref="J26:Q26"/>
    <mergeCell ref="J20:Q20"/>
    <mergeCell ref="J21:Q21"/>
    <mergeCell ref="A5:F5"/>
    <mergeCell ref="A26:F26"/>
    <mergeCell ref="A36:F36"/>
    <mergeCell ref="J19:Q19"/>
    <mergeCell ref="J15:Q15"/>
    <mergeCell ref="J18:Q18"/>
    <mergeCell ref="J7:Q7"/>
    <mergeCell ref="J8:Q8"/>
    <mergeCell ref="J9:Q9"/>
    <mergeCell ref="J11:Q11"/>
    <mergeCell ref="J5:Q5"/>
    <mergeCell ref="J6:Q6"/>
    <mergeCell ref="J27:Q27"/>
    <mergeCell ref="J28:Q28"/>
    <mergeCell ref="J29:Q29"/>
    <mergeCell ref="J36:Q36"/>
    <mergeCell ref="L70:Q70"/>
    <mergeCell ref="J74:Q74"/>
    <mergeCell ref="J63:Q63"/>
    <mergeCell ref="J49:Q49"/>
    <mergeCell ref="J53:Q53"/>
    <mergeCell ref="J57:Q57"/>
    <mergeCell ref="J61:Q61"/>
    <mergeCell ref="J37:Q37"/>
    <mergeCell ref="J38:Q38"/>
    <mergeCell ref="J39:Q39"/>
    <mergeCell ref="L67:Q67"/>
    <mergeCell ref="L69:Q69"/>
    <mergeCell ref="J40:Q40"/>
    <mergeCell ref="J47:Q47"/>
    <mergeCell ref="J48:Q48"/>
    <mergeCell ref="J41:Q41"/>
    <mergeCell ref="J43:Q43"/>
    <mergeCell ref="J76:Q76"/>
    <mergeCell ref="H82:Q82"/>
    <mergeCell ref="H80:Q80"/>
    <mergeCell ref="H84:Q84"/>
    <mergeCell ref="H103:Q103"/>
    <mergeCell ref="H91:Q91"/>
    <mergeCell ref="H92:Q92"/>
    <mergeCell ref="H97:Q97"/>
    <mergeCell ref="H85:Q85"/>
    <mergeCell ref="H87:Q87"/>
    <mergeCell ref="H88:Q88"/>
    <mergeCell ref="H89:Q89"/>
    <mergeCell ref="H102:Q102"/>
    <mergeCell ref="H99:Q99"/>
    <mergeCell ref="H101:Q101"/>
    <mergeCell ref="H90:Q90"/>
    <mergeCell ref="H104:Q104"/>
    <mergeCell ref="H105:Q105"/>
    <mergeCell ref="H106:Q106"/>
    <mergeCell ref="H143:Q143"/>
    <mergeCell ref="H145:Q145"/>
    <mergeCell ref="H107:Q107"/>
    <mergeCell ref="J112:Q112"/>
    <mergeCell ref="H130:Q130"/>
    <mergeCell ref="H122:Q122"/>
    <mergeCell ref="H124:Q124"/>
    <mergeCell ref="H127:Q127"/>
    <mergeCell ref="J118:Q118"/>
    <mergeCell ref="H159:Q159"/>
    <mergeCell ref="H133:Q133"/>
    <mergeCell ref="I167:J167"/>
    <mergeCell ref="K167:L167"/>
    <mergeCell ref="G165:H165"/>
    <mergeCell ref="I165:J165"/>
    <mergeCell ref="K165:L165"/>
    <mergeCell ref="H161:Q161"/>
    <mergeCell ref="H149:Q149"/>
    <mergeCell ref="H153:Q153"/>
    <mergeCell ref="H155:Q155"/>
    <mergeCell ref="H147:Q147"/>
    <mergeCell ref="H148:Q148"/>
    <mergeCell ref="G169:H169"/>
    <mergeCell ref="I169:J169"/>
    <mergeCell ref="K169:L169"/>
    <mergeCell ref="G166:H166"/>
    <mergeCell ref="I166:J166"/>
    <mergeCell ref="K166:L166"/>
    <mergeCell ref="G167:H167"/>
    <mergeCell ref="A209:F209"/>
    <mergeCell ref="G209:H209"/>
    <mergeCell ref="I209:J209"/>
    <mergeCell ref="K209:L209"/>
    <mergeCell ref="K210:Q210"/>
    <mergeCell ref="K212:Q212"/>
    <mergeCell ref="A193:F193"/>
    <mergeCell ref="G193:H193"/>
    <mergeCell ref="I193:J193"/>
    <mergeCell ref="K193:L193"/>
    <mergeCell ref="A194:F194"/>
    <mergeCell ref="A200:F200"/>
    <mergeCell ref="A201:F201"/>
  </mergeCells>
  <phoneticPr fontId="0" type="noConversion"/>
  <printOptions horizontalCentered="1"/>
  <pageMargins left="0.25" right="0.25" top="0.75" bottom="0.75" header="0.5" footer="0.5"/>
  <pageSetup scale="47" fitToWidth="5" fitToHeight="5" orientation="landscape" r:id="rId7"/>
  <headerFooter alignWithMargins="0"/>
  <rowBreaks count="4" manualBreakCount="4">
    <brk id="50" max="16" man="1"/>
    <brk id="108" max="16" man="1"/>
    <brk id="169" max="16" man="1"/>
    <brk id="227" max="16" man="1"/>
  </rowBreaks>
  <ignoredErrors>
    <ignoredError sqref="E244 E2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2"/>
  <sheetViews>
    <sheetView showGridLines="0" zoomScaleNormal="100" workbookViewId="0">
      <selection sqref="A1:G1"/>
    </sheetView>
  </sheetViews>
  <sheetFormatPr defaultRowHeight="12.75"/>
  <cols>
    <col min="1" max="1" width="36.42578125" customWidth="1"/>
    <col min="2" max="2" width="16" bestFit="1" customWidth="1"/>
    <col min="3" max="3" width="8.7109375" customWidth="1"/>
    <col min="4" max="4" width="16" bestFit="1" customWidth="1"/>
    <col min="5" max="5" width="8.140625" customWidth="1"/>
    <col min="6" max="6" width="16" bestFit="1" customWidth="1"/>
    <col min="7" max="7" width="8.140625" customWidth="1"/>
    <col min="8" max="8" width="15" bestFit="1" customWidth="1"/>
    <col min="9" max="9" width="8.42578125" customWidth="1"/>
    <col min="10" max="10" width="16" bestFit="1" customWidth="1"/>
  </cols>
  <sheetData>
    <row r="1" spans="1:10" ht="18">
      <c r="A1" s="1248" t="s">
        <v>506</v>
      </c>
      <c r="B1" s="1249"/>
      <c r="C1" s="1249"/>
      <c r="D1" s="1249"/>
      <c r="E1" s="1249"/>
      <c r="F1" s="1249"/>
      <c r="G1" s="1249"/>
      <c r="H1" s="861"/>
      <c r="I1" s="861"/>
      <c r="J1" s="861"/>
    </row>
    <row r="2" spans="1:10">
      <c r="A2" s="861"/>
      <c r="B2" s="861"/>
      <c r="C2" s="861"/>
      <c r="D2" s="861"/>
      <c r="E2" s="861"/>
      <c r="F2" s="1119"/>
      <c r="G2" s="861"/>
      <c r="H2" s="864"/>
      <c r="I2" s="864"/>
      <c r="J2" s="865"/>
    </row>
    <row r="3" spans="1:10">
      <c r="A3" s="329" t="s">
        <v>408</v>
      </c>
      <c r="B3" s="861"/>
      <c r="C3" s="861"/>
      <c r="D3" s="861"/>
      <c r="E3" s="861"/>
      <c r="F3" s="861"/>
      <c r="G3" s="861"/>
      <c r="H3" s="864"/>
      <c r="I3" s="864"/>
      <c r="J3" s="865"/>
    </row>
    <row r="4" spans="1:10">
      <c r="A4" s="864"/>
      <c r="B4" s="864"/>
      <c r="C4" s="864"/>
      <c r="D4" s="864"/>
      <c r="E4" s="864"/>
      <c r="F4" s="864"/>
      <c r="G4" s="864"/>
      <c r="H4" s="864"/>
      <c r="I4" s="864"/>
      <c r="J4" s="865"/>
    </row>
    <row r="5" spans="1:10">
      <c r="A5" s="861"/>
      <c r="B5" s="861"/>
      <c r="C5" s="861"/>
      <c r="D5" s="861"/>
      <c r="E5" s="861"/>
      <c r="F5" s="861"/>
      <c r="G5" s="861"/>
      <c r="H5" s="861"/>
      <c r="I5" s="861"/>
      <c r="J5" s="861"/>
    </row>
    <row r="6" spans="1:10">
      <c r="A6" s="865"/>
      <c r="B6" s="904" t="s">
        <v>409</v>
      </c>
      <c r="C6" s="904"/>
      <c r="D6" s="905" t="s">
        <v>410</v>
      </c>
      <c r="E6" s="905"/>
      <c r="F6" s="905"/>
      <c r="G6" s="905"/>
      <c r="H6" s="905"/>
      <c r="I6" s="905"/>
      <c r="J6" s="904"/>
    </row>
    <row r="7" spans="1:10">
      <c r="A7" s="865"/>
      <c r="B7" s="904" t="s">
        <v>411</v>
      </c>
      <c r="C7" s="904"/>
      <c r="D7" s="905" t="s">
        <v>412</v>
      </c>
      <c r="E7" s="905"/>
      <c r="F7" s="905" t="s">
        <v>413</v>
      </c>
      <c r="G7" s="905"/>
      <c r="H7" s="905" t="s">
        <v>414</v>
      </c>
      <c r="I7" s="905"/>
      <c r="J7" s="906" t="s">
        <v>181</v>
      </c>
    </row>
    <row r="8" spans="1:10">
      <c r="A8" s="865"/>
      <c r="B8" s="866"/>
      <c r="C8" s="866"/>
      <c r="D8" s="867"/>
      <c r="E8" s="867"/>
      <c r="F8" s="867"/>
      <c r="G8" s="867"/>
      <c r="H8" s="867"/>
      <c r="I8" s="867"/>
      <c r="J8" s="868"/>
    </row>
    <row r="9" spans="1:10">
      <c r="A9" s="869" t="s">
        <v>415</v>
      </c>
      <c r="B9" s="870">
        <v>11622846.380000001</v>
      </c>
      <c r="C9" s="870"/>
      <c r="D9" s="870">
        <v>9931814.1600000001</v>
      </c>
      <c r="E9" s="870"/>
      <c r="F9" s="870">
        <v>19914848.719999999</v>
      </c>
      <c r="G9" s="870"/>
      <c r="H9" s="871">
        <v>5363747.6499999966</v>
      </c>
      <c r="I9" s="871"/>
      <c r="J9" s="870">
        <f>SUM(B9:H9)</f>
        <v>46833256.909999996</v>
      </c>
    </row>
    <row r="10" spans="1:10">
      <c r="A10" s="869"/>
      <c r="B10" s="872"/>
      <c r="C10" s="872"/>
      <c r="D10" s="872"/>
      <c r="E10" s="872"/>
      <c r="F10" s="872"/>
      <c r="G10" s="872"/>
      <c r="H10" s="873"/>
      <c r="I10" s="873"/>
      <c r="J10" s="872"/>
    </row>
    <row r="11" spans="1:10">
      <c r="A11" s="874" t="s">
        <v>704</v>
      </c>
      <c r="B11" s="872">
        <v>6803278.6600000001</v>
      </c>
      <c r="C11" s="872"/>
      <c r="D11" s="872">
        <v>4747614.59</v>
      </c>
      <c r="E11" s="872"/>
      <c r="F11" s="872">
        <v>9948927.0399999991</v>
      </c>
      <c r="G11" s="872"/>
      <c r="H11" s="873">
        <v>397984.69999999925</v>
      </c>
      <c r="I11" s="873"/>
      <c r="J11" s="872">
        <f>SUM(B11:H11)</f>
        <v>21897804.989999998</v>
      </c>
    </row>
    <row r="12" spans="1:10">
      <c r="A12" s="869"/>
      <c r="B12" s="872"/>
      <c r="C12" s="872"/>
      <c r="D12" s="872"/>
      <c r="E12" s="872"/>
      <c r="F12" s="872"/>
      <c r="G12" s="872"/>
      <c r="H12" s="873"/>
      <c r="I12" s="873"/>
      <c r="J12" s="872"/>
    </row>
    <row r="13" spans="1:10">
      <c r="A13" s="874" t="s">
        <v>705</v>
      </c>
      <c r="B13" s="872">
        <v>14392550.09</v>
      </c>
      <c r="C13" s="872"/>
      <c r="D13" s="872">
        <v>11405597.190000001</v>
      </c>
      <c r="E13" s="872"/>
      <c r="F13" s="872">
        <v>20949762.559999999</v>
      </c>
      <c r="G13" s="872"/>
      <c r="H13" s="873">
        <v>2548058.3300000019</v>
      </c>
      <c r="I13" s="873"/>
      <c r="J13" s="872">
        <f>SUM(B13:H13)</f>
        <v>49295968.170000002</v>
      </c>
    </row>
    <row r="14" spans="1:10">
      <c r="A14" s="869"/>
      <c r="B14" s="872"/>
      <c r="C14" s="872"/>
      <c r="D14" s="872"/>
      <c r="E14" s="872"/>
      <c r="F14" s="872"/>
      <c r="G14" s="872"/>
      <c r="H14" s="873"/>
      <c r="I14" s="873"/>
      <c r="J14" s="872"/>
    </row>
    <row r="15" spans="1:10">
      <c r="A15" s="869" t="s">
        <v>706</v>
      </c>
      <c r="B15" s="872">
        <v>2936212.72</v>
      </c>
      <c r="C15" s="872"/>
      <c r="D15" s="872">
        <v>2443681.13</v>
      </c>
      <c r="E15" s="872"/>
      <c r="F15" s="872">
        <v>3976914.71</v>
      </c>
      <c r="G15" s="872"/>
      <c r="H15" s="873">
        <v>972086.46999999927</v>
      </c>
      <c r="I15" s="873"/>
      <c r="J15" s="872">
        <f>SUM(B15:H15)</f>
        <v>10328895.029999997</v>
      </c>
    </row>
    <row r="16" spans="1:10">
      <c r="A16" s="869"/>
      <c r="B16" s="872"/>
      <c r="C16" s="872"/>
      <c r="D16" s="872"/>
      <c r="E16" s="872"/>
      <c r="F16" s="872"/>
      <c r="G16" s="872"/>
      <c r="H16" s="873"/>
      <c r="I16" s="873"/>
      <c r="J16" s="872"/>
    </row>
    <row r="17" spans="1:10">
      <c r="A17" s="869" t="s">
        <v>707</v>
      </c>
      <c r="B17" s="872">
        <v>4702235.45</v>
      </c>
      <c r="C17" s="872"/>
      <c r="D17" s="872">
        <v>3243502.1399999997</v>
      </c>
      <c r="E17" s="872"/>
      <c r="F17" s="872">
        <v>7277657.5</v>
      </c>
      <c r="G17" s="872"/>
      <c r="H17" s="873">
        <v>960296.8599999994</v>
      </c>
      <c r="I17" s="873"/>
      <c r="J17" s="872">
        <f>SUM(B17:H17)</f>
        <v>16183691.949999999</v>
      </c>
    </row>
    <row r="18" spans="1:10">
      <c r="A18" s="869"/>
      <c r="B18" s="872"/>
      <c r="C18" s="872"/>
      <c r="D18" s="872"/>
      <c r="E18" s="872"/>
      <c r="F18" s="872"/>
      <c r="G18" s="872"/>
      <c r="H18" s="873"/>
      <c r="I18" s="873"/>
      <c r="J18" s="872"/>
    </row>
    <row r="19" spans="1:10">
      <c r="A19" s="869" t="s">
        <v>418</v>
      </c>
      <c r="B19" s="872">
        <v>2445274.4</v>
      </c>
      <c r="C19" s="872"/>
      <c r="D19" s="872">
        <v>2313475.31</v>
      </c>
      <c r="E19" s="872"/>
      <c r="F19" s="872">
        <v>6008550.0800000001</v>
      </c>
      <c r="G19" s="872"/>
      <c r="H19" s="873">
        <v>2088341.2600000002</v>
      </c>
      <c r="I19" s="873"/>
      <c r="J19" s="872">
        <f>SUM(B19:H19)</f>
        <v>12855641.049999999</v>
      </c>
    </row>
    <row r="20" spans="1:10">
      <c r="A20" s="869"/>
      <c r="B20" s="872"/>
      <c r="C20" s="872"/>
      <c r="D20" s="872"/>
      <c r="E20" s="872"/>
      <c r="F20" s="872"/>
      <c r="G20" s="872"/>
      <c r="H20" s="873"/>
      <c r="I20" s="873"/>
      <c r="J20" s="872"/>
    </row>
    <row r="21" spans="1:10">
      <c r="A21" s="869" t="s">
        <v>419</v>
      </c>
      <c r="B21" s="872">
        <v>950754.47</v>
      </c>
      <c r="C21" s="872"/>
      <c r="D21" s="872">
        <v>845149.88</v>
      </c>
      <c r="E21" s="872"/>
      <c r="F21" s="872">
        <v>1487114.73</v>
      </c>
      <c r="G21" s="872"/>
      <c r="H21" s="873">
        <v>241905.88000000012</v>
      </c>
      <c r="I21" s="873"/>
      <c r="J21" s="872">
        <f>SUM(B21:H21)</f>
        <v>3524924.96</v>
      </c>
    </row>
    <row r="22" spans="1:10">
      <c r="A22" s="869"/>
      <c r="B22" s="872"/>
      <c r="C22" s="872"/>
      <c r="D22" s="872"/>
      <c r="E22" s="872"/>
      <c r="F22" s="872"/>
      <c r="G22" s="872"/>
      <c r="H22" s="873"/>
      <c r="I22" s="873"/>
      <c r="J22" s="872"/>
    </row>
    <row r="23" spans="1:10">
      <c r="A23" s="869" t="s">
        <v>708</v>
      </c>
      <c r="B23" s="872">
        <v>61881891.009999998</v>
      </c>
      <c r="C23" s="872"/>
      <c r="D23" s="872">
        <v>53570456.090000004</v>
      </c>
      <c r="E23" s="872"/>
      <c r="F23" s="872">
        <v>52835175.009999998</v>
      </c>
      <c r="G23" s="872"/>
      <c r="H23" s="873">
        <v>7687.7100000008941</v>
      </c>
      <c r="I23" s="873"/>
      <c r="J23" s="872">
        <f>SUM(B23:H23)</f>
        <v>168295209.81999999</v>
      </c>
    </row>
    <row r="24" spans="1:10">
      <c r="A24" s="869"/>
      <c r="B24" s="872"/>
      <c r="C24" s="872"/>
      <c r="D24" s="872"/>
      <c r="E24" s="872"/>
      <c r="F24" s="872"/>
      <c r="G24" s="872"/>
      <c r="H24" s="873"/>
      <c r="I24" s="873"/>
      <c r="J24" s="872"/>
    </row>
    <row r="25" spans="1:10">
      <c r="A25" s="869" t="s">
        <v>743</v>
      </c>
      <c r="B25" s="872">
        <v>266488.08</v>
      </c>
      <c r="C25" s="872"/>
      <c r="D25" s="872">
        <v>200496.54</v>
      </c>
      <c r="E25" s="872"/>
      <c r="F25" s="872">
        <v>415547.39</v>
      </c>
      <c r="G25" s="872"/>
      <c r="H25" s="873">
        <v>0</v>
      </c>
      <c r="I25" s="873"/>
      <c r="J25" s="872">
        <f>SUM(B25:H25)</f>
        <v>882532.01</v>
      </c>
    </row>
    <row r="26" spans="1:10">
      <c r="A26" s="869"/>
      <c r="B26" s="872"/>
      <c r="C26" s="872"/>
      <c r="D26" s="872"/>
      <c r="E26" s="872"/>
      <c r="F26" s="872"/>
      <c r="G26" s="872"/>
      <c r="H26" s="873"/>
      <c r="I26" s="873"/>
      <c r="J26" s="872"/>
    </row>
    <row r="27" spans="1:10">
      <c r="A27" s="869" t="s">
        <v>420</v>
      </c>
      <c r="B27" s="872">
        <v>16532766.48</v>
      </c>
      <c r="C27" s="872"/>
      <c r="D27" s="872">
        <v>12290844.52</v>
      </c>
      <c r="E27" s="872"/>
      <c r="F27" s="872">
        <v>32565022.100000001</v>
      </c>
      <c r="G27" s="872"/>
      <c r="H27" s="873">
        <v>400519.4299999997</v>
      </c>
      <c r="I27" s="873"/>
      <c r="J27" s="872">
        <f>SUM(B27:H27)</f>
        <v>61789152.530000001</v>
      </c>
    </row>
    <row r="28" spans="1:10">
      <c r="A28" s="869"/>
      <c r="B28" s="872"/>
      <c r="C28" s="872"/>
      <c r="D28" s="872"/>
      <c r="E28" s="872"/>
      <c r="F28" s="872"/>
      <c r="G28" s="872"/>
      <c r="H28" s="873"/>
      <c r="I28" s="873"/>
      <c r="J28" s="872"/>
    </row>
    <row r="29" spans="1:10">
      <c r="A29" s="869" t="s">
        <v>709</v>
      </c>
      <c r="B29" s="872">
        <v>3064378.87</v>
      </c>
      <c r="C29" s="872"/>
      <c r="D29" s="872">
        <v>2353070.94</v>
      </c>
      <c r="E29" s="872"/>
      <c r="F29" s="872">
        <v>4767843.12</v>
      </c>
      <c r="G29" s="872"/>
      <c r="H29" s="873">
        <v>916269.14000000013</v>
      </c>
      <c r="I29" s="873"/>
      <c r="J29" s="872">
        <f>SUM(B29:H29)</f>
        <v>11101562.07</v>
      </c>
    </row>
    <row r="30" spans="1:10">
      <c r="A30" s="869"/>
      <c r="B30" s="872"/>
      <c r="C30" s="872"/>
      <c r="D30" s="872"/>
      <c r="E30" s="872"/>
      <c r="F30" s="872"/>
      <c r="G30" s="872"/>
      <c r="H30" s="873"/>
      <c r="I30" s="873"/>
      <c r="J30" s="872"/>
    </row>
    <row r="31" spans="1:10">
      <c r="A31" s="869" t="s">
        <v>710</v>
      </c>
      <c r="B31" s="872">
        <v>2147138.84</v>
      </c>
      <c r="C31" s="872"/>
      <c r="D31" s="872">
        <v>1834467.17</v>
      </c>
      <c r="E31" s="872"/>
      <c r="F31" s="872">
        <v>1986565.88</v>
      </c>
      <c r="G31" s="872"/>
      <c r="H31" s="873">
        <v>111504.37000000011</v>
      </c>
      <c r="I31" s="873"/>
      <c r="J31" s="872">
        <f>SUM(B31:H31)</f>
        <v>6079676.2599999998</v>
      </c>
    </row>
    <row r="32" spans="1:10">
      <c r="A32" s="869"/>
      <c r="B32" s="872"/>
      <c r="C32" s="872"/>
      <c r="D32" s="872"/>
      <c r="E32" s="872"/>
      <c r="F32" s="872"/>
      <c r="G32" s="872"/>
      <c r="H32" s="873"/>
      <c r="I32" s="873"/>
      <c r="J32" s="872"/>
    </row>
    <row r="33" spans="1:10">
      <c r="A33" s="869" t="s">
        <v>711</v>
      </c>
      <c r="B33" s="872">
        <v>367768.56</v>
      </c>
      <c r="C33" s="872"/>
      <c r="D33" s="872">
        <v>465172.05</v>
      </c>
      <c r="E33" s="872"/>
      <c r="F33" s="872">
        <v>587282.89</v>
      </c>
      <c r="G33" s="872"/>
      <c r="H33" s="873">
        <v>0</v>
      </c>
      <c r="I33" s="873"/>
      <c r="J33" s="872">
        <f>SUM(B33:H33)</f>
        <v>1420223.5</v>
      </c>
    </row>
    <row r="34" spans="1:10">
      <c r="A34" s="869"/>
      <c r="B34" s="872"/>
      <c r="C34" s="872"/>
      <c r="D34" s="872"/>
      <c r="E34" s="872"/>
      <c r="F34" s="872"/>
      <c r="G34" s="872"/>
      <c r="H34" s="873"/>
      <c r="I34" s="873"/>
      <c r="J34" s="872"/>
    </row>
    <row r="35" spans="1:10">
      <c r="A35" s="869" t="s">
        <v>744</v>
      </c>
      <c r="B35" s="872">
        <v>36940868.079999998</v>
      </c>
      <c r="C35" s="872"/>
      <c r="D35" s="872">
        <v>28738421.100000001</v>
      </c>
      <c r="E35" s="872"/>
      <c r="F35" s="872">
        <v>49154897.460000001</v>
      </c>
      <c r="G35" s="872"/>
      <c r="H35" s="873">
        <v>402956.48999999464</v>
      </c>
      <c r="I35" s="873"/>
      <c r="J35" s="872">
        <f>SUM(B35:H35)</f>
        <v>115237143.13</v>
      </c>
    </row>
    <row r="36" spans="1:10">
      <c r="A36" s="869"/>
      <c r="B36" s="872"/>
      <c r="C36" s="872"/>
      <c r="D36" s="872"/>
      <c r="E36" s="872"/>
      <c r="F36" s="872"/>
      <c r="G36" s="872"/>
      <c r="H36" s="873"/>
      <c r="I36" s="873"/>
      <c r="J36" s="872"/>
    </row>
    <row r="37" spans="1:10">
      <c r="A37" s="869" t="s">
        <v>421</v>
      </c>
      <c r="B37" s="872">
        <v>553737.03</v>
      </c>
      <c r="C37" s="872"/>
      <c r="D37" s="872">
        <v>364355.31</v>
      </c>
      <c r="E37" s="872"/>
      <c r="F37" s="872">
        <v>854552.22</v>
      </c>
      <c r="G37" s="872"/>
      <c r="H37" s="873">
        <v>0</v>
      </c>
      <c r="I37" s="873"/>
      <c r="J37" s="872">
        <f>SUM(B37:H37)</f>
        <v>1772644.56</v>
      </c>
    </row>
    <row r="38" spans="1:10">
      <c r="A38" s="869"/>
      <c r="B38" s="872"/>
      <c r="C38" s="872"/>
      <c r="D38" s="872"/>
      <c r="E38" s="872"/>
      <c r="F38" s="872"/>
      <c r="G38" s="872"/>
      <c r="H38" s="873"/>
      <c r="I38" s="873"/>
      <c r="J38" s="872"/>
    </row>
    <row r="39" spans="1:10">
      <c r="A39" s="869" t="s">
        <v>422</v>
      </c>
      <c r="B39" s="872">
        <v>239605.5</v>
      </c>
      <c r="C39" s="872"/>
      <c r="D39" s="872">
        <v>108950</v>
      </c>
      <c r="E39" s="872"/>
      <c r="F39" s="872">
        <v>125236</v>
      </c>
      <c r="G39" s="872"/>
      <c r="H39" s="873">
        <v>0</v>
      </c>
      <c r="I39" s="873"/>
      <c r="J39" s="872">
        <f>SUM(B39:H39)</f>
        <v>473791.5</v>
      </c>
    </row>
    <row r="40" spans="1:10">
      <c r="A40" s="869"/>
      <c r="B40" s="872"/>
      <c r="C40" s="872"/>
      <c r="D40" s="872"/>
      <c r="E40" s="872"/>
      <c r="F40" s="872"/>
      <c r="G40" s="872"/>
      <c r="H40" s="873"/>
      <c r="I40" s="873"/>
      <c r="J40" s="872"/>
    </row>
    <row r="41" spans="1:10">
      <c r="A41" s="869" t="s">
        <v>417</v>
      </c>
      <c r="B41" s="872">
        <v>13366739.76</v>
      </c>
      <c r="C41" s="872"/>
      <c r="D41" s="872">
        <v>8288720.46</v>
      </c>
      <c r="E41" s="872"/>
      <c r="F41" s="872">
        <v>22656507.699999999</v>
      </c>
      <c r="G41" s="872"/>
      <c r="H41" s="873">
        <v>1048368.7500000019</v>
      </c>
      <c r="I41" s="873"/>
      <c r="J41" s="872">
        <f>SUM(B41:H41)</f>
        <v>45360336.670000002</v>
      </c>
    </row>
    <row r="42" spans="1:10">
      <c r="A42" s="869"/>
      <c r="B42" s="872"/>
      <c r="C42" s="872"/>
      <c r="D42" s="872"/>
      <c r="E42" s="872"/>
      <c r="F42" s="872"/>
      <c r="G42" s="872"/>
      <c r="H42" s="873"/>
      <c r="I42" s="873"/>
      <c r="J42" s="872"/>
    </row>
    <row r="43" spans="1:10">
      <c r="A43" s="869" t="s">
        <v>416</v>
      </c>
      <c r="B43" s="872">
        <v>0</v>
      </c>
      <c r="C43" s="872"/>
      <c r="D43" s="872">
        <v>117184.12</v>
      </c>
      <c r="E43" s="872"/>
      <c r="F43" s="872">
        <v>4297943.63</v>
      </c>
      <c r="G43" s="872"/>
      <c r="H43" s="873">
        <v>0</v>
      </c>
      <c r="I43" s="873"/>
      <c r="J43" s="872">
        <f>SUM(B43:H43)</f>
        <v>4415127.75</v>
      </c>
    </row>
    <row r="44" spans="1:10">
      <c r="A44" s="869"/>
      <c r="B44" s="872"/>
      <c r="C44" s="872"/>
      <c r="D44" s="872"/>
      <c r="E44" s="872"/>
      <c r="F44" s="872"/>
      <c r="G44" s="872"/>
      <c r="H44" s="873"/>
      <c r="I44" s="873"/>
      <c r="J44" s="872"/>
    </row>
    <row r="45" spans="1:10" ht="13.5" thickBot="1">
      <c r="A45" s="874" t="s">
        <v>181</v>
      </c>
      <c r="B45" s="1014">
        <f>SUM(B9:B43)</f>
        <v>179214534.38000003</v>
      </c>
      <c r="C45" s="1014"/>
      <c r="D45" s="1014">
        <f t="shared" ref="D45:J45" si="0">SUM(D9:D43)</f>
        <v>143262972.70000002</v>
      </c>
      <c r="E45" s="1014"/>
      <c r="F45" s="1014">
        <f t="shared" si="0"/>
        <v>239810348.73999998</v>
      </c>
      <c r="G45" s="1014"/>
      <c r="H45" s="1014">
        <f t="shared" si="0"/>
        <v>15459727.039999994</v>
      </c>
      <c r="I45" s="1014"/>
      <c r="J45" s="1014">
        <f t="shared" si="0"/>
        <v>577747582.8599999</v>
      </c>
    </row>
    <row r="46" spans="1:10" ht="13.5" thickTop="1">
      <c r="A46" s="869"/>
      <c r="B46" s="872"/>
      <c r="C46" s="872"/>
      <c r="D46" s="872"/>
      <c r="E46" s="872"/>
      <c r="F46" s="872"/>
      <c r="G46" s="872"/>
      <c r="H46" s="873" t="s">
        <v>66</v>
      </c>
      <c r="I46" s="873"/>
      <c r="J46" s="872"/>
    </row>
    <row r="47" spans="1:10" s="997" customFormat="1">
      <c r="A47" s="869"/>
      <c r="B47" s="872"/>
      <c r="C47" s="872"/>
      <c r="D47" s="872"/>
      <c r="E47" s="872"/>
      <c r="F47" s="872"/>
      <c r="G47" s="872"/>
      <c r="H47" s="873"/>
      <c r="I47" s="873"/>
      <c r="J47" s="872"/>
    </row>
    <row r="48" spans="1:10" s="997" customFormat="1">
      <c r="A48" s="869"/>
      <c r="B48" s="872"/>
      <c r="C48" s="872"/>
      <c r="D48" s="872"/>
      <c r="E48" s="872"/>
      <c r="F48" s="872"/>
      <c r="G48" s="872"/>
      <c r="H48" s="873"/>
      <c r="I48" s="873"/>
      <c r="J48" s="872"/>
    </row>
    <row r="49" spans="1:10" s="997" customFormat="1">
      <c r="A49" s="869"/>
      <c r="B49" s="872"/>
      <c r="C49" s="872"/>
      <c r="D49" s="872"/>
      <c r="E49" s="872"/>
      <c r="F49" s="872"/>
      <c r="G49" s="872"/>
      <c r="H49" s="873"/>
      <c r="I49" s="873"/>
      <c r="J49" s="872"/>
    </row>
    <row r="50" spans="1:10" s="997" customFormat="1">
      <c r="A50" s="869"/>
      <c r="B50" s="872"/>
      <c r="C50" s="872"/>
      <c r="D50" s="872"/>
      <c r="E50" s="872"/>
      <c r="F50" s="872"/>
      <c r="G50" s="872"/>
      <c r="H50" s="873"/>
      <c r="I50" s="873"/>
      <c r="J50" s="872"/>
    </row>
    <row r="51" spans="1:10" s="997" customFormat="1">
      <c r="A51" s="869"/>
      <c r="B51" s="872"/>
      <c r="C51" s="872"/>
      <c r="D51" s="872"/>
      <c r="E51" s="872"/>
      <c r="F51" s="872"/>
      <c r="G51" s="872"/>
      <c r="H51" s="873"/>
      <c r="I51" s="873"/>
      <c r="J51" s="872"/>
    </row>
    <row r="52" spans="1:10" s="997" customFormat="1">
      <c r="A52" s="869"/>
      <c r="B52" s="872"/>
      <c r="C52" s="872"/>
      <c r="D52" s="872"/>
      <c r="E52" s="872"/>
      <c r="F52" s="872"/>
      <c r="G52" s="872"/>
      <c r="H52" s="873"/>
      <c r="I52" s="873"/>
      <c r="J52" s="872"/>
    </row>
    <row r="53" spans="1:10" s="997" customFormat="1">
      <c r="A53" s="869"/>
      <c r="B53" s="872"/>
      <c r="C53" s="872"/>
      <c r="D53" s="872"/>
      <c r="E53" s="872"/>
      <c r="F53" s="872"/>
      <c r="G53" s="872"/>
      <c r="H53" s="873"/>
      <c r="I53" s="873"/>
      <c r="J53" s="872"/>
    </row>
    <row r="54" spans="1:10" s="997" customFormat="1">
      <c r="A54" s="869"/>
      <c r="B54" s="872"/>
      <c r="C54" s="872"/>
      <c r="D54" s="872"/>
      <c r="E54" s="872"/>
      <c r="F54" s="872"/>
      <c r="G54" s="872"/>
      <c r="H54" s="873"/>
      <c r="I54" s="873"/>
      <c r="J54" s="872"/>
    </row>
    <row r="55" spans="1:10" s="997" customFormat="1">
      <c r="A55" s="869"/>
      <c r="B55" s="872"/>
      <c r="C55" s="872"/>
      <c r="D55" s="872"/>
      <c r="E55" s="872"/>
      <c r="F55" s="872"/>
      <c r="G55" s="872"/>
      <c r="H55" s="873"/>
      <c r="I55" s="873"/>
      <c r="J55" s="872"/>
    </row>
    <row r="56" spans="1:10" s="997" customFormat="1">
      <c r="A56" s="869"/>
      <c r="B56" s="872"/>
      <c r="C56" s="872"/>
      <c r="D56" s="872"/>
      <c r="E56" s="872"/>
      <c r="F56" s="872"/>
      <c r="G56" s="872"/>
      <c r="H56" s="873"/>
      <c r="I56" s="873"/>
      <c r="J56" s="872"/>
    </row>
    <row r="57" spans="1:10" s="997" customFormat="1">
      <c r="A57" s="869"/>
      <c r="B57" s="872"/>
      <c r="C57" s="872"/>
      <c r="D57" s="872"/>
      <c r="E57" s="872"/>
      <c r="F57" s="872"/>
      <c r="G57" s="872"/>
      <c r="H57" s="873"/>
      <c r="I57" s="873"/>
      <c r="J57" s="872"/>
    </row>
    <row r="58" spans="1:10" s="997" customFormat="1">
      <c r="A58" s="869"/>
      <c r="B58" s="872"/>
      <c r="C58" s="872"/>
      <c r="D58" s="872"/>
      <c r="E58" s="872"/>
      <c r="F58" s="872"/>
      <c r="G58" s="872"/>
      <c r="H58" s="873"/>
      <c r="I58" s="873"/>
      <c r="J58" s="872"/>
    </row>
    <row r="59" spans="1:10" s="997" customFormat="1">
      <c r="A59" s="869"/>
      <c r="B59" s="872"/>
      <c r="C59" s="872"/>
      <c r="D59" s="872"/>
      <c r="E59" s="872"/>
      <c r="F59" s="872"/>
      <c r="G59" s="872"/>
      <c r="H59" s="873"/>
      <c r="I59" s="873"/>
      <c r="J59" s="872"/>
    </row>
    <row r="60" spans="1:10" s="997" customFormat="1">
      <c r="A60" s="869"/>
      <c r="B60" s="872"/>
      <c r="C60" s="872"/>
      <c r="D60" s="872"/>
      <c r="E60" s="872"/>
      <c r="F60" s="872"/>
      <c r="G60" s="872"/>
      <c r="H60" s="873"/>
      <c r="I60" s="873"/>
      <c r="J60" s="872"/>
    </row>
    <row r="61" spans="1:10" s="997" customFormat="1">
      <c r="A61" s="869"/>
      <c r="B61" s="872"/>
      <c r="C61" s="872"/>
      <c r="D61" s="872"/>
      <c r="E61" s="872"/>
      <c r="F61" s="872"/>
      <c r="G61" s="872"/>
      <c r="H61" s="873"/>
      <c r="I61" s="873"/>
      <c r="J61" s="872"/>
    </row>
    <row r="62" spans="1:10" s="997" customFormat="1">
      <c r="A62" s="869"/>
      <c r="B62" s="872"/>
      <c r="C62" s="872"/>
      <c r="D62" s="872"/>
      <c r="E62" s="872"/>
      <c r="F62" s="872"/>
      <c r="G62" s="872"/>
      <c r="H62" s="873"/>
      <c r="I62" s="873"/>
      <c r="J62" s="872"/>
    </row>
    <row r="63" spans="1:10" s="997" customFormat="1">
      <c r="A63" s="869"/>
      <c r="B63" s="872"/>
      <c r="C63" s="872"/>
      <c r="D63" s="872"/>
      <c r="E63" s="872"/>
      <c r="F63" s="872"/>
      <c r="G63" s="872"/>
      <c r="H63" s="873"/>
      <c r="I63" s="873"/>
      <c r="J63" s="872"/>
    </row>
    <row r="64" spans="1:10" s="997" customFormat="1">
      <c r="A64" s="869"/>
      <c r="B64" s="872"/>
      <c r="C64" s="872"/>
      <c r="D64" s="872"/>
      <c r="E64" s="872"/>
      <c r="F64" s="872"/>
      <c r="G64" s="872"/>
      <c r="H64" s="873"/>
      <c r="I64" s="873"/>
      <c r="J64" s="872"/>
    </row>
    <row r="65" spans="1:10" s="997" customFormat="1">
      <c r="A65" s="869"/>
      <c r="B65" s="872"/>
      <c r="C65" s="872"/>
      <c r="D65" s="872"/>
      <c r="E65" s="872"/>
      <c r="F65" s="872"/>
      <c r="G65" s="872"/>
      <c r="H65" s="873"/>
      <c r="I65" s="873"/>
      <c r="J65" s="872"/>
    </row>
    <row r="66" spans="1:10" s="997" customFormat="1">
      <c r="A66" s="869"/>
      <c r="B66" s="872"/>
      <c r="C66" s="872"/>
      <c r="D66" s="872"/>
      <c r="E66" s="872"/>
      <c r="F66" s="872"/>
      <c r="G66" s="872"/>
      <c r="H66" s="873"/>
      <c r="I66" s="873"/>
      <c r="J66" s="872"/>
    </row>
    <row r="67" spans="1:10" s="997" customFormat="1">
      <c r="A67" s="869"/>
      <c r="B67" s="872"/>
      <c r="C67" s="872"/>
      <c r="D67" s="872"/>
      <c r="E67" s="872"/>
      <c r="F67" s="872"/>
      <c r="G67" s="872"/>
      <c r="H67" s="873"/>
      <c r="I67" s="873"/>
      <c r="J67" s="872"/>
    </row>
    <row r="68" spans="1:10" s="997" customFormat="1">
      <c r="A68" s="869"/>
      <c r="B68" s="872"/>
      <c r="C68" s="872"/>
      <c r="D68" s="872"/>
      <c r="E68" s="872"/>
      <c r="F68" s="872"/>
      <c r="G68" s="872"/>
      <c r="H68" s="873"/>
      <c r="I68" s="873"/>
      <c r="J68" s="872"/>
    </row>
    <row r="69" spans="1:10" s="997" customFormat="1">
      <c r="A69" s="869"/>
      <c r="B69" s="872"/>
      <c r="C69" s="872"/>
      <c r="D69" s="872"/>
      <c r="E69" s="872"/>
      <c r="F69" s="872"/>
      <c r="G69" s="872"/>
      <c r="H69" s="873"/>
      <c r="I69" s="873"/>
      <c r="J69" s="872"/>
    </row>
    <row r="70" spans="1:10" s="997" customFormat="1">
      <c r="A70" s="869"/>
      <c r="B70" s="872"/>
      <c r="C70" s="872"/>
      <c r="D70" s="872"/>
      <c r="E70" s="872"/>
      <c r="F70" s="872"/>
      <c r="G70" s="872"/>
      <c r="H70" s="873"/>
      <c r="I70" s="873"/>
      <c r="J70" s="872"/>
    </row>
    <row r="71" spans="1:10" s="997" customFormat="1">
      <c r="A71" s="869"/>
      <c r="B71" s="872"/>
      <c r="C71" s="872"/>
      <c r="D71" s="872"/>
      <c r="E71" s="872"/>
      <c r="F71" s="872"/>
      <c r="G71" s="872"/>
      <c r="H71" s="873"/>
      <c r="I71" s="873"/>
      <c r="J71" s="872"/>
    </row>
    <row r="72" spans="1:10" s="997" customFormat="1">
      <c r="A72" s="869"/>
      <c r="B72" s="872"/>
      <c r="C72" s="872"/>
      <c r="D72" s="872"/>
      <c r="E72" s="872"/>
      <c r="F72" s="872"/>
      <c r="G72" s="872"/>
      <c r="H72" s="873"/>
      <c r="I72" s="873"/>
      <c r="J72" s="872"/>
    </row>
    <row r="73" spans="1:10" s="997" customFormat="1">
      <c r="A73" s="869"/>
      <c r="B73" s="872"/>
      <c r="C73" s="872"/>
      <c r="D73" s="872"/>
      <c r="E73" s="872"/>
      <c r="F73" s="872"/>
      <c r="G73" s="872"/>
      <c r="H73" s="873"/>
      <c r="I73" s="873"/>
      <c r="J73" s="872"/>
    </row>
    <row r="74" spans="1:10" s="997" customFormat="1">
      <c r="A74" s="869"/>
      <c r="B74" s="872"/>
      <c r="C74" s="872"/>
      <c r="D74" s="872"/>
      <c r="E74" s="872"/>
      <c r="F74" s="872"/>
      <c r="G74" s="872"/>
      <c r="H74" s="873"/>
      <c r="I74" s="873"/>
      <c r="J74" s="872"/>
    </row>
    <row r="75" spans="1:10" s="997" customFormat="1">
      <c r="A75" s="869"/>
      <c r="B75" s="872"/>
      <c r="C75" s="872"/>
      <c r="D75" s="872"/>
      <c r="E75" s="872"/>
      <c r="F75" s="872"/>
      <c r="G75" s="872"/>
      <c r="H75" s="873"/>
      <c r="I75" s="873"/>
      <c r="J75" s="872"/>
    </row>
    <row r="76" spans="1:10" s="997" customFormat="1">
      <c r="A76" s="869"/>
      <c r="B76" s="872"/>
      <c r="C76" s="872"/>
      <c r="D76" s="872"/>
      <c r="E76" s="872"/>
      <c r="F76" s="872"/>
      <c r="G76" s="872"/>
      <c r="H76" s="873"/>
      <c r="I76" s="873"/>
      <c r="J76" s="872"/>
    </row>
    <row r="77" spans="1:10" s="997" customFormat="1">
      <c r="A77" s="869"/>
      <c r="B77" s="872"/>
      <c r="C77" s="872"/>
      <c r="D77" s="872"/>
      <c r="E77" s="872"/>
      <c r="F77" s="872"/>
      <c r="G77" s="872"/>
      <c r="H77" s="873"/>
      <c r="I77" s="873"/>
      <c r="J77" s="872"/>
    </row>
    <row r="78" spans="1:10" s="997" customFormat="1">
      <c r="A78" s="869"/>
      <c r="B78" s="872"/>
      <c r="C78" s="872"/>
      <c r="D78" s="872"/>
      <c r="E78" s="872"/>
      <c r="F78" s="872"/>
      <c r="G78" s="872"/>
      <c r="H78" s="873"/>
      <c r="I78" s="873"/>
      <c r="J78" s="872"/>
    </row>
    <row r="79" spans="1:10" s="997" customFormat="1">
      <c r="A79" s="869"/>
      <c r="B79" s="872"/>
      <c r="C79" s="872"/>
      <c r="D79" s="872"/>
      <c r="E79" s="872"/>
      <c r="F79" s="872"/>
      <c r="G79" s="872"/>
      <c r="H79" s="873"/>
      <c r="I79" s="873"/>
      <c r="J79" s="872"/>
    </row>
    <row r="80" spans="1:10" s="997" customFormat="1">
      <c r="A80" s="869"/>
      <c r="B80" s="872"/>
      <c r="C80" s="872"/>
      <c r="D80" s="872"/>
      <c r="E80" s="872"/>
      <c r="F80" s="872"/>
      <c r="G80" s="872"/>
      <c r="H80" s="873"/>
      <c r="I80" s="873"/>
      <c r="J80" s="872"/>
    </row>
    <row r="81" spans="1:10" s="997" customFormat="1">
      <c r="A81" s="869"/>
      <c r="B81" s="872"/>
      <c r="C81" s="872"/>
      <c r="D81" s="872"/>
      <c r="E81" s="872"/>
      <c r="F81" s="872"/>
      <c r="G81" s="872"/>
      <c r="H81" s="873"/>
      <c r="I81" s="873"/>
      <c r="J81" s="872"/>
    </row>
    <row r="82" spans="1:10" s="997" customFormat="1">
      <c r="A82" s="869"/>
      <c r="B82" s="872"/>
      <c r="C82" s="872"/>
      <c r="D82" s="872"/>
      <c r="E82" s="872"/>
      <c r="F82" s="872"/>
      <c r="G82" s="872"/>
      <c r="H82" s="873"/>
      <c r="I82" s="873"/>
      <c r="J82" s="872"/>
    </row>
    <row r="83" spans="1:10" s="997" customFormat="1">
      <c r="A83" s="869"/>
      <c r="B83" s="872"/>
      <c r="C83" s="872"/>
      <c r="D83" s="872"/>
      <c r="E83" s="872"/>
      <c r="F83" s="872"/>
      <c r="G83" s="872"/>
      <c r="H83" s="873"/>
      <c r="I83" s="873"/>
      <c r="J83" s="872"/>
    </row>
    <row r="84" spans="1:10" s="997" customFormat="1">
      <c r="A84" s="869"/>
      <c r="B84" s="872"/>
      <c r="C84" s="872"/>
      <c r="D84" s="872"/>
      <c r="E84" s="872"/>
      <c r="F84" s="872"/>
      <c r="G84" s="872"/>
      <c r="H84" s="873"/>
      <c r="I84" s="873"/>
      <c r="J84" s="872"/>
    </row>
    <row r="85" spans="1:10" s="997" customFormat="1">
      <c r="A85" s="869"/>
      <c r="B85" s="872"/>
      <c r="C85" s="872"/>
      <c r="D85" s="872"/>
      <c r="E85" s="872"/>
      <c r="F85" s="872"/>
      <c r="G85" s="872"/>
      <c r="H85" s="873"/>
      <c r="I85" s="873"/>
      <c r="J85" s="872"/>
    </row>
    <row r="86" spans="1:10" s="997" customFormat="1">
      <c r="A86" s="869"/>
      <c r="B86" s="872"/>
      <c r="C86" s="872"/>
      <c r="D86" s="872"/>
      <c r="E86" s="872"/>
      <c r="F86" s="872"/>
      <c r="G86" s="872"/>
      <c r="H86" s="873"/>
      <c r="I86" s="873"/>
      <c r="J86" s="872"/>
    </row>
    <row r="87" spans="1:10" s="997" customFormat="1">
      <c r="A87" s="869"/>
      <c r="B87" s="872"/>
      <c r="C87" s="872"/>
      <c r="D87" s="872"/>
      <c r="E87" s="872"/>
      <c r="F87" s="872"/>
      <c r="G87" s="872"/>
      <c r="H87" s="873"/>
      <c r="I87" s="873"/>
      <c r="J87" s="872"/>
    </row>
    <row r="88" spans="1:10" s="997" customFormat="1">
      <c r="A88" s="869"/>
      <c r="B88" s="872"/>
      <c r="C88" s="872"/>
      <c r="D88" s="872"/>
      <c r="E88" s="872"/>
      <c r="F88" s="872"/>
      <c r="G88" s="872"/>
      <c r="H88" s="873"/>
      <c r="I88" s="873"/>
      <c r="J88" s="872"/>
    </row>
    <row r="89" spans="1:10" s="997" customFormat="1">
      <c r="A89" s="869"/>
      <c r="B89" s="872"/>
      <c r="C89" s="872"/>
      <c r="D89" s="872"/>
      <c r="E89" s="872"/>
      <c r="F89" s="872"/>
      <c r="G89" s="872"/>
      <c r="H89" s="873"/>
      <c r="I89" s="873"/>
      <c r="J89" s="872"/>
    </row>
    <row r="90" spans="1:10" s="997" customFormat="1">
      <c r="A90" s="869"/>
      <c r="B90" s="872"/>
      <c r="C90" s="872"/>
      <c r="D90" s="872"/>
      <c r="E90" s="872"/>
      <c r="F90" s="872"/>
      <c r="G90" s="872"/>
      <c r="H90" s="873"/>
      <c r="I90" s="873"/>
      <c r="J90" s="872"/>
    </row>
    <row r="91" spans="1:10" s="997" customFormat="1">
      <c r="A91" s="869"/>
      <c r="B91" s="872"/>
      <c r="C91" s="872"/>
      <c r="D91" s="872"/>
      <c r="E91" s="872"/>
      <c r="F91" s="872"/>
      <c r="G91" s="872"/>
      <c r="H91" s="873"/>
      <c r="I91" s="873"/>
      <c r="J91" s="872"/>
    </row>
    <row r="92" spans="1:10" s="997" customFormat="1">
      <c r="A92" s="869"/>
      <c r="B92" s="872"/>
      <c r="C92" s="872"/>
      <c r="D92" s="872"/>
      <c r="E92" s="872"/>
      <c r="F92" s="872"/>
      <c r="G92" s="872"/>
      <c r="H92" s="873"/>
      <c r="I92" s="873"/>
      <c r="J92" s="872"/>
    </row>
    <row r="93" spans="1:10" s="997" customFormat="1">
      <c r="A93" s="869"/>
      <c r="B93" s="872"/>
      <c r="C93" s="872"/>
      <c r="D93" s="872"/>
      <c r="E93" s="872"/>
      <c r="F93" s="872"/>
      <c r="G93" s="872"/>
      <c r="H93" s="873"/>
      <c r="I93" s="873"/>
      <c r="J93" s="872"/>
    </row>
    <row r="94" spans="1:10" s="997" customFormat="1">
      <c r="A94" s="869"/>
      <c r="B94" s="872"/>
      <c r="C94" s="872"/>
      <c r="D94" s="872"/>
      <c r="E94" s="872"/>
      <c r="F94" s="872"/>
      <c r="G94" s="872"/>
      <c r="H94" s="873"/>
      <c r="I94" s="873"/>
      <c r="J94" s="872"/>
    </row>
    <row r="95" spans="1:10" s="997" customFormat="1">
      <c r="A95" s="869"/>
      <c r="B95" s="872"/>
      <c r="C95" s="872"/>
      <c r="D95" s="872"/>
      <c r="E95" s="872"/>
      <c r="F95" s="872"/>
      <c r="G95" s="872"/>
      <c r="H95" s="873"/>
      <c r="I95" s="873"/>
      <c r="J95" s="872"/>
    </row>
    <row r="96" spans="1:10" s="997" customFormat="1">
      <c r="A96" s="869"/>
      <c r="B96" s="872"/>
      <c r="C96" s="872"/>
      <c r="D96" s="872"/>
      <c r="E96" s="872"/>
      <c r="F96" s="872"/>
      <c r="G96" s="872"/>
      <c r="H96" s="873"/>
      <c r="I96" s="873"/>
      <c r="J96" s="872"/>
    </row>
    <row r="97" spans="1:10" s="997" customFormat="1">
      <c r="A97" s="869"/>
      <c r="B97" s="872"/>
      <c r="C97" s="872"/>
      <c r="D97" s="872"/>
      <c r="E97" s="872"/>
      <c r="F97" s="872"/>
      <c r="G97" s="872"/>
      <c r="H97" s="873"/>
      <c r="I97" s="873"/>
      <c r="J97" s="872"/>
    </row>
    <row r="98" spans="1:10" s="997" customFormat="1">
      <c r="A98" s="869"/>
      <c r="B98" s="872"/>
      <c r="C98" s="872"/>
      <c r="D98" s="872"/>
      <c r="E98" s="872"/>
      <c r="F98" s="872"/>
      <c r="G98" s="872"/>
      <c r="H98" s="873"/>
      <c r="I98" s="873"/>
      <c r="J98" s="872"/>
    </row>
    <row r="99" spans="1:10" s="997" customFormat="1">
      <c r="A99" s="869"/>
      <c r="B99" s="872"/>
      <c r="C99" s="872"/>
      <c r="D99" s="872"/>
      <c r="E99" s="872"/>
      <c r="F99" s="872"/>
      <c r="G99" s="872"/>
      <c r="H99" s="873"/>
      <c r="I99" s="873"/>
      <c r="J99" s="872"/>
    </row>
    <row r="100" spans="1:10" s="997" customFormat="1">
      <c r="A100" s="869"/>
      <c r="B100" s="872"/>
      <c r="C100" s="872"/>
      <c r="D100" s="872"/>
      <c r="E100" s="872"/>
      <c r="F100" s="872"/>
      <c r="G100" s="872"/>
      <c r="H100" s="873"/>
      <c r="I100" s="873"/>
      <c r="J100" s="872"/>
    </row>
    <row r="101" spans="1:10" s="997" customFormat="1">
      <c r="A101" s="869"/>
      <c r="B101" s="872"/>
      <c r="C101" s="872"/>
      <c r="D101" s="872"/>
      <c r="E101" s="872"/>
      <c r="F101" s="872"/>
      <c r="G101" s="872"/>
      <c r="H101" s="873"/>
      <c r="I101" s="873"/>
      <c r="J101" s="872"/>
    </row>
    <row r="102" spans="1:10" s="997" customFormat="1">
      <c r="A102" s="869"/>
      <c r="B102" s="872"/>
      <c r="C102" s="872"/>
      <c r="D102" s="872"/>
      <c r="E102" s="872"/>
      <c r="F102" s="872"/>
      <c r="G102" s="872"/>
      <c r="H102" s="873"/>
      <c r="I102" s="873"/>
      <c r="J102" s="872"/>
    </row>
    <row r="103" spans="1:10" s="997" customFormat="1">
      <c r="A103" s="869"/>
      <c r="B103" s="872"/>
      <c r="C103" s="872"/>
      <c r="D103" s="872"/>
      <c r="E103" s="872"/>
      <c r="F103" s="872"/>
      <c r="G103" s="872"/>
      <c r="H103" s="873"/>
      <c r="I103" s="873"/>
      <c r="J103" s="872"/>
    </row>
    <row r="104" spans="1:10" s="997" customFormat="1">
      <c r="A104" s="869"/>
      <c r="B104" s="872"/>
      <c r="C104" s="872"/>
      <c r="D104" s="872"/>
      <c r="E104" s="872"/>
      <c r="F104" s="872"/>
      <c r="G104" s="872"/>
      <c r="H104" s="873"/>
      <c r="I104" s="873"/>
      <c r="J104" s="872"/>
    </row>
    <row r="105" spans="1:10" s="997" customFormat="1">
      <c r="A105" s="869"/>
      <c r="B105" s="872"/>
      <c r="C105" s="872"/>
      <c r="D105" s="872"/>
      <c r="E105" s="872"/>
      <c r="F105" s="872"/>
      <c r="G105" s="872"/>
      <c r="H105" s="873"/>
      <c r="I105" s="873"/>
      <c r="J105" s="872"/>
    </row>
    <row r="106" spans="1:10" s="997" customFormat="1">
      <c r="A106" s="869"/>
      <c r="B106" s="872"/>
      <c r="C106" s="872"/>
      <c r="D106" s="872"/>
      <c r="E106" s="872"/>
      <c r="F106" s="872"/>
      <c r="G106" s="872"/>
      <c r="H106" s="873"/>
      <c r="I106" s="873"/>
      <c r="J106" s="872"/>
    </row>
    <row r="107" spans="1:10" s="997" customFormat="1">
      <c r="A107" s="869"/>
      <c r="B107" s="872"/>
      <c r="C107" s="872"/>
      <c r="D107" s="872"/>
      <c r="E107" s="872"/>
      <c r="F107" s="872"/>
      <c r="G107" s="872"/>
      <c r="H107" s="873"/>
      <c r="I107" s="873"/>
      <c r="J107" s="872"/>
    </row>
    <row r="108" spans="1:10" s="997" customFormat="1">
      <c r="A108" s="869"/>
      <c r="B108" s="872"/>
      <c r="C108" s="872"/>
      <c r="D108" s="872"/>
      <c r="E108" s="872"/>
      <c r="F108" s="872"/>
      <c r="G108" s="872"/>
      <c r="H108" s="873"/>
      <c r="I108" s="873"/>
      <c r="J108" s="872"/>
    </row>
    <row r="109" spans="1:10" s="997" customFormat="1">
      <c r="A109" s="869"/>
      <c r="B109" s="872"/>
      <c r="C109" s="872"/>
      <c r="D109" s="872"/>
      <c r="E109" s="872"/>
      <c r="F109" s="872"/>
      <c r="G109" s="872"/>
      <c r="H109" s="873"/>
      <c r="I109" s="873"/>
      <c r="J109" s="872"/>
    </row>
    <row r="110" spans="1:10" s="997" customFormat="1">
      <c r="A110" s="869"/>
      <c r="B110" s="872"/>
      <c r="C110" s="872"/>
      <c r="D110" s="872"/>
      <c r="E110" s="872"/>
      <c r="F110" s="872"/>
      <c r="G110" s="872"/>
      <c r="H110" s="873"/>
      <c r="I110" s="873"/>
      <c r="J110" s="872"/>
    </row>
    <row r="111" spans="1:10" s="997" customFormat="1">
      <c r="A111" s="869"/>
      <c r="B111" s="872"/>
      <c r="C111" s="872"/>
      <c r="D111" s="872"/>
      <c r="E111" s="872"/>
      <c r="F111" s="872"/>
      <c r="G111" s="872"/>
      <c r="H111" s="873"/>
      <c r="I111" s="873"/>
      <c r="J111" s="872"/>
    </row>
    <row r="112" spans="1:10" s="997" customFormat="1">
      <c r="A112" s="869"/>
      <c r="B112" s="872"/>
      <c r="C112" s="872"/>
      <c r="D112" s="872"/>
      <c r="E112" s="872"/>
      <c r="F112" s="872"/>
      <c r="G112" s="872"/>
      <c r="H112" s="873"/>
      <c r="I112" s="873"/>
      <c r="J112" s="872"/>
    </row>
    <row r="113" spans="1:10" s="997" customFormat="1">
      <c r="A113" s="869"/>
      <c r="B113" s="872"/>
      <c r="C113" s="872"/>
      <c r="D113" s="872"/>
      <c r="E113" s="872"/>
      <c r="F113" s="872"/>
      <c r="G113" s="872"/>
      <c r="H113" s="873"/>
      <c r="I113" s="873"/>
      <c r="J113" s="872"/>
    </row>
    <row r="114" spans="1:10" s="997" customFormat="1">
      <c r="A114" s="869"/>
      <c r="B114" s="872"/>
      <c r="C114" s="872"/>
      <c r="D114" s="872"/>
      <c r="E114" s="872"/>
      <c r="F114" s="872"/>
      <c r="G114" s="872"/>
      <c r="H114" s="873"/>
      <c r="I114" s="873"/>
      <c r="J114" s="872"/>
    </row>
    <row r="115" spans="1:10" s="997" customFormat="1">
      <c r="A115" s="869"/>
      <c r="B115" s="872"/>
      <c r="C115" s="872"/>
      <c r="D115" s="872"/>
      <c r="E115" s="872"/>
      <c r="F115" s="872"/>
      <c r="G115" s="872"/>
      <c r="H115" s="873"/>
      <c r="I115" s="873"/>
      <c r="J115" s="872"/>
    </row>
    <row r="116" spans="1:10" s="997" customFormat="1">
      <c r="A116" s="869"/>
      <c r="B116" s="872"/>
      <c r="C116" s="872"/>
      <c r="D116" s="872"/>
      <c r="E116" s="872"/>
      <c r="F116" s="872"/>
      <c r="G116" s="872"/>
      <c r="H116" s="873"/>
      <c r="I116" s="873"/>
      <c r="J116" s="872"/>
    </row>
    <row r="117" spans="1:10" s="997" customFormat="1">
      <c r="A117" s="869"/>
      <c r="B117" s="872"/>
      <c r="C117" s="872"/>
      <c r="D117" s="872"/>
      <c r="E117" s="872"/>
      <c r="F117" s="872"/>
      <c r="G117" s="872"/>
      <c r="H117" s="873"/>
      <c r="I117" s="873"/>
      <c r="J117" s="872"/>
    </row>
    <row r="118" spans="1:10" s="997" customFormat="1">
      <c r="A118" s="869"/>
      <c r="B118" s="872"/>
      <c r="C118" s="872"/>
      <c r="D118" s="872"/>
      <c r="E118" s="872"/>
      <c r="F118" s="872"/>
      <c r="G118" s="872"/>
      <c r="H118" s="873"/>
      <c r="I118" s="873"/>
      <c r="J118" s="872"/>
    </row>
    <row r="119" spans="1:10" s="997" customFormat="1">
      <c r="A119" s="869"/>
      <c r="B119" s="872"/>
      <c r="C119" s="872"/>
      <c r="D119" s="872"/>
      <c r="E119" s="872"/>
      <c r="F119" s="872"/>
      <c r="G119" s="872"/>
      <c r="H119" s="873"/>
      <c r="I119" s="873"/>
      <c r="J119" s="872"/>
    </row>
    <row r="120" spans="1:10" s="997" customFormat="1">
      <c r="A120" s="869"/>
      <c r="B120" s="872"/>
      <c r="C120" s="872"/>
      <c r="D120" s="872"/>
      <c r="E120" s="872"/>
      <c r="F120" s="872"/>
      <c r="G120" s="872"/>
      <c r="H120" s="873"/>
      <c r="I120" s="873"/>
      <c r="J120" s="872"/>
    </row>
    <row r="121" spans="1:10" s="997" customFormat="1">
      <c r="A121" s="869"/>
      <c r="B121" s="872"/>
      <c r="C121" s="872"/>
      <c r="D121" s="872"/>
      <c r="E121" s="872"/>
      <c r="F121" s="872"/>
      <c r="G121" s="872"/>
      <c r="H121" s="873"/>
      <c r="I121" s="873"/>
      <c r="J121" s="872"/>
    </row>
    <row r="122" spans="1:10" s="997" customFormat="1">
      <c r="A122" s="869"/>
      <c r="B122" s="872"/>
      <c r="C122" s="872"/>
      <c r="D122" s="872"/>
      <c r="E122" s="872"/>
      <c r="F122" s="872"/>
      <c r="G122" s="872"/>
      <c r="H122" s="873"/>
      <c r="I122" s="873"/>
      <c r="J122" s="872"/>
    </row>
    <row r="123" spans="1:10" s="997" customFormat="1">
      <c r="A123" s="869"/>
      <c r="B123" s="872"/>
      <c r="C123" s="872"/>
      <c r="D123" s="872"/>
      <c r="E123" s="872"/>
      <c r="F123" s="872"/>
      <c r="G123" s="872"/>
      <c r="H123" s="873"/>
      <c r="I123" s="873"/>
      <c r="J123" s="872"/>
    </row>
    <row r="124" spans="1:10" s="997" customFormat="1">
      <c r="A124" s="869"/>
      <c r="B124" s="872"/>
      <c r="C124" s="872"/>
      <c r="D124" s="872"/>
      <c r="E124" s="872"/>
      <c r="F124" s="872"/>
      <c r="G124" s="872"/>
      <c r="H124" s="873"/>
      <c r="I124" s="873"/>
      <c r="J124" s="872"/>
    </row>
    <row r="125" spans="1:10" s="997" customFormat="1">
      <c r="A125" s="869"/>
      <c r="B125" s="872"/>
      <c r="C125" s="872"/>
      <c r="D125" s="872"/>
      <c r="E125" s="872"/>
      <c r="F125" s="872"/>
      <c r="G125" s="872"/>
      <c r="H125" s="873"/>
      <c r="I125" s="873"/>
      <c r="J125" s="872"/>
    </row>
    <row r="126" spans="1:10" s="997" customFormat="1">
      <c r="A126" s="869"/>
      <c r="B126" s="872"/>
      <c r="C126" s="872"/>
      <c r="D126" s="872"/>
      <c r="E126" s="872"/>
      <c r="F126" s="872"/>
      <c r="G126" s="872"/>
      <c r="H126" s="873"/>
      <c r="I126" s="873"/>
      <c r="J126" s="872"/>
    </row>
    <row r="127" spans="1:10" s="997" customFormat="1">
      <c r="A127" s="869"/>
      <c r="B127" s="872"/>
      <c r="C127" s="872"/>
      <c r="D127" s="872"/>
      <c r="E127" s="872"/>
      <c r="F127" s="872"/>
      <c r="G127" s="872"/>
      <c r="H127" s="873"/>
      <c r="I127" s="873"/>
      <c r="J127" s="872"/>
    </row>
    <row r="128" spans="1:10" s="997" customFormat="1">
      <c r="A128" s="869"/>
      <c r="B128" s="872"/>
      <c r="C128" s="872"/>
      <c r="D128" s="872"/>
      <c r="E128" s="872"/>
      <c r="F128" s="872"/>
      <c r="G128" s="872"/>
      <c r="H128" s="873"/>
      <c r="I128" s="873"/>
      <c r="J128" s="872"/>
    </row>
    <row r="129" spans="1:10" s="997" customFormat="1">
      <c r="A129" s="869"/>
      <c r="B129" s="872"/>
      <c r="C129" s="872"/>
      <c r="D129" s="872"/>
      <c r="E129" s="872"/>
      <c r="F129" s="872"/>
      <c r="G129" s="872"/>
      <c r="H129" s="873"/>
      <c r="I129" s="873"/>
      <c r="J129" s="872"/>
    </row>
    <row r="130" spans="1:10" s="997" customFormat="1">
      <c r="A130" s="869"/>
      <c r="B130" s="872"/>
      <c r="C130" s="872"/>
      <c r="D130" s="872"/>
      <c r="E130" s="872"/>
      <c r="F130" s="872"/>
      <c r="G130" s="872"/>
      <c r="H130" s="873"/>
      <c r="I130" s="873"/>
      <c r="J130" s="872"/>
    </row>
    <row r="131" spans="1:10" s="997" customFormat="1">
      <c r="A131" s="869"/>
      <c r="B131" s="872"/>
      <c r="C131" s="872"/>
      <c r="D131" s="872"/>
      <c r="E131" s="872"/>
      <c r="F131" s="872"/>
      <c r="G131" s="872"/>
      <c r="H131" s="873"/>
      <c r="I131" s="873"/>
      <c r="J131" s="872"/>
    </row>
    <row r="132" spans="1:10" s="997" customFormat="1">
      <c r="A132" s="869"/>
      <c r="B132" s="872"/>
      <c r="C132" s="872"/>
      <c r="D132" s="872"/>
      <c r="E132" s="872"/>
      <c r="F132" s="872"/>
      <c r="G132" s="872"/>
      <c r="H132" s="873"/>
      <c r="I132" s="873"/>
      <c r="J132" s="872"/>
    </row>
    <row r="133" spans="1:10" s="997" customFormat="1">
      <c r="A133" s="869"/>
      <c r="B133" s="872"/>
      <c r="C133" s="872"/>
      <c r="D133" s="872"/>
      <c r="E133" s="872"/>
      <c r="F133" s="872"/>
      <c r="G133" s="872"/>
      <c r="H133" s="873"/>
      <c r="I133" s="873"/>
      <c r="J133" s="872"/>
    </row>
    <row r="134" spans="1:10" s="997" customFormat="1">
      <c r="A134" s="869"/>
      <c r="B134" s="872"/>
      <c r="C134" s="872"/>
      <c r="D134" s="872"/>
      <c r="E134" s="872"/>
      <c r="F134" s="872"/>
      <c r="G134" s="872"/>
      <c r="H134" s="873"/>
      <c r="I134" s="873"/>
      <c r="J134" s="872"/>
    </row>
    <row r="135" spans="1:10" s="997" customFormat="1">
      <c r="A135" s="869"/>
      <c r="B135" s="872"/>
      <c r="C135" s="872"/>
      <c r="D135" s="872"/>
      <c r="E135" s="872"/>
      <c r="F135" s="872"/>
      <c r="G135" s="872"/>
      <c r="H135" s="873"/>
      <c r="I135" s="873"/>
      <c r="J135" s="872"/>
    </row>
    <row r="136" spans="1:10" s="997" customFormat="1">
      <c r="A136" s="869"/>
      <c r="B136" s="872"/>
      <c r="C136" s="872"/>
      <c r="D136" s="872"/>
      <c r="E136" s="872"/>
      <c r="F136" s="872"/>
      <c r="G136" s="872"/>
      <c r="H136" s="873"/>
      <c r="I136" s="873"/>
      <c r="J136" s="872"/>
    </row>
    <row r="137" spans="1:10" s="997" customFormat="1">
      <c r="A137" s="869"/>
      <c r="B137" s="872"/>
      <c r="C137" s="872"/>
      <c r="D137" s="872"/>
      <c r="E137" s="872"/>
      <c r="F137" s="872"/>
      <c r="G137" s="872"/>
      <c r="H137" s="873"/>
      <c r="I137" s="873"/>
      <c r="J137" s="872"/>
    </row>
    <row r="138" spans="1:10" s="997" customFormat="1">
      <c r="A138" s="869"/>
      <c r="B138" s="872"/>
      <c r="C138" s="872"/>
      <c r="D138" s="872"/>
      <c r="E138" s="872"/>
      <c r="F138" s="872"/>
      <c r="G138" s="872"/>
      <c r="H138" s="873"/>
      <c r="I138" s="873"/>
      <c r="J138" s="872"/>
    </row>
    <row r="139" spans="1:10" s="997" customFormat="1">
      <c r="A139" s="869"/>
      <c r="B139" s="872"/>
      <c r="C139" s="872"/>
      <c r="D139" s="872"/>
      <c r="E139" s="872"/>
      <c r="F139" s="872"/>
      <c r="G139" s="872"/>
      <c r="H139" s="873"/>
      <c r="I139" s="873"/>
      <c r="J139" s="872"/>
    </row>
    <row r="140" spans="1:10" s="997" customFormat="1">
      <c r="A140" s="869"/>
      <c r="B140" s="872"/>
      <c r="C140" s="872"/>
      <c r="D140" s="872"/>
      <c r="E140" s="872"/>
      <c r="F140" s="872"/>
      <c r="G140" s="872"/>
      <c r="H140" s="873"/>
      <c r="I140" s="873"/>
      <c r="J140" s="872"/>
    </row>
    <row r="141" spans="1:10" s="999" customFormat="1">
      <c r="A141" s="869"/>
      <c r="B141" s="872"/>
      <c r="C141" s="872"/>
      <c r="D141" s="872"/>
      <c r="E141" s="872"/>
      <c r="F141" s="872"/>
      <c r="G141" s="872"/>
      <c r="H141" s="873"/>
      <c r="I141" s="873"/>
      <c r="J141" s="872"/>
    </row>
    <row r="142" spans="1:10" s="1005" customFormat="1">
      <c r="A142" s="869"/>
      <c r="B142" s="872"/>
      <c r="C142" s="872"/>
      <c r="D142" s="872"/>
      <c r="E142" s="872"/>
      <c r="F142" s="872"/>
      <c r="G142" s="872"/>
      <c r="H142" s="873"/>
      <c r="I142" s="873"/>
      <c r="J142" s="872"/>
    </row>
    <row r="143" spans="1:10" s="999" customFormat="1">
      <c r="A143" s="869"/>
      <c r="B143" s="872"/>
      <c r="C143" s="872"/>
      <c r="D143" s="872"/>
      <c r="E143" s="872"/>
      <c r="F143" s="872"/>
      <c r="G143" s="872"/>
      <c r="H143" s="873"/>
      <c r="I143" s="873"/>
      <c r="J143" s="872"/>
    </row>
    <row r="144" spans="1:10" s="999" customFormat="1">
      <c r="A144" s="869"/>
      <c r="B144" s="872"/>
      <c r="C144" s="872"/>
      <c r="D144" s="872"/>
      <c r="E144" s="872"/>
      <c r="F144" s="872"/>
      <c r="G144" s="872"/>
      <c r="H144" s="873"/>
      <c r="I144" s="873"/>
      <c r="J144" s="872"/>
    </row>
    <row r="145" spans="1:10" s="999" customFormat="1">
      <c r="A145" s="869"/>
      <c r="B145" s="872"/>
      <c r="C145" s="872"/>
      <c r="D145" s="872"/>
      <c r="E145" s="872"/>
      <c r="F145" s="872"/>
      <c r="G145" s="872"/>
      <c r="H145" s="873"/>
      <c r="I145" s="873"/>
      <c r="J145" s="872"/>
    </row>
    <row r="146" spans="1:10" s="999" customFormat="1">
      <c r="A146" s="869"/>
      <c r="B146" s="872"/>
      <c r="C146" s="872"/>
      <c r="D146" s="872"/>
      <c r="E146" s="872"/>
      <c r="F146" s="872"/>
      <c r="G146" s="872"/>
      <c r="H146" s="873"/>
      <c r="I146" s="873"/>
      <c r="J146" s="872"/>
    </row>
    <row r="147" spans="1:10" s="998" customFormat="1">
      <c r="A147" s="869"/>
      <c r="B147" s="872"/>
      <c r="C147" s="872"/>
      <c r="D147" s="872"/>
      <c r="E147" s="872"/>
      <c r="F147" s="872"/>
      <c r="G147" s="872"/>
      <c r="H147" s="873"/>
      <c r="I147" s="873"/>
      <c r="J147" s="872"/>
    </row>
    <row r="148" spans="1:10" s="998" customFormat="1">
      <c r="A148" s="869"/>
      <c r="B148" s="872"/>
      <c r="C148" s="872"/>
      <c r="D148" s="872"/>
      <c r="E148" s="872"/>
      <c r="F148" s="872"/>
      <c r="G148" s="872"/>
      <c r="H148" s="873"/>
      <c r="I148" s="873"/>
      <c r="J148" s="872"/>
    </row>
    <row r="149" spans="1:10" s="999" customFormat="1">
      <c r="A149" s="869"/>
      <c r="B149" s="872"/>
      <c r="C149" s="872"/>
      <c r="D149" s="872"/>
      <c r="E149" s="872"/>
      <c r="F149" s="872"/>
      <c r="G149" s="872"/>
      <c r="H149" s="873"/>
      <c r="I149" s="873"/>
      <c r="J149" s="872"/>
    </row>
    <row r="150" spans="1:10" s="999" customFormat="1">
      <c r="A150" s="869"/>
      <c r="B150" s="872"/>
      <c r="C150" s="872"/>
      <c r="D150" s="872"/>
      <c r="E150" s="872"/>
      <c r="F150" s="872"/>
      <c r="G150" s="872"/>
      <c r="H150" s="873"/>
      <c r="I150" s="873"/>
      <c r="J150" s="872"/>
    </row>
    <row r="151" spans="1:10" s="999" customFormat="1">
      <c r="A151" s="869"/>
      <c r="B151" s="872"/>
      <c r="C151" s="872"/>
      <c r="D151" s="872"/>
      <c r="E151" s="872"/>
      <c r="F151" s="872"/>
      <c r="G151" s="872"/>
      <c r="H151" s="873"/>
      <c r="I151" s="873"/>
      <c r="J151" s="872"/>
    </row>
    <row r="152" spans="1:10" s="999" customFormat="1">
      <c r="A152" s="869"/>
      <c r="B152" s="872"/>
      <c r="C152" s="872"/>
      <c r="D152" s="872"/>
      <c r="E152" s="872"/>
      <c r="F152" s="872"/>
      <c r="G152" s="872"/>
      <c r="H152" s="873"/>
      <c r="I152" s="873"/>
      <c r="J152" s="872"/>
    </row>
    <row r="153" spans="1:10" s="999" customFormat="1">
      <c r="A153" s="869"/>
      <c r="B153" s="872"/>
      <c r="C153" s="872"/>
      <c r="D153" s="872"/>
      <c r="E153" s="872"/>
      <c r="F153" s="872"/>
      <c r="G153" s="872"/>
      <c r="H153" s="873"/>
      <c r="I153" s="873"/>
      <c r="J153" s="872"/>
    </row>
    <row r="154" spans="1:10" s="999" customFormat="1">
      <c r="A154" s="869"/>
      <c r="B154" s="872"/>
      <c r="C154" s="872"/>
      <c r="D154" s="872"/>
      <c r="E154" s="872"/>
      <c r="F154" s="872"/>
      <c r="G154" s="872"/>
      <c r="H154" s="873"/>
      <c r="I154" s="873"/>
      <c r="J154" s="872"/>
    </row>
    <row r="155" spans="1:10" s="999" customFormat="1">
      <c r="A155" s="869"/>
      <c r="B155" s="872"/>
      <c r="C155" s="872"/>
      <c r="D155" s="872"/>
      <c r="E155" s="872"/>
      <c r="F155" s="872"/>
      <c r="G155" s="872"/>
      <c r="H155" s="873"/>
      <c r="I155" s="873"/>
      <c r="J155" s="872"/>
    </row>
    <row r="156" spans="1:10" s="999" customFormat="1">
      <c r="A156" s="869"/>
      <c r="B156" s="872"/>
      <c r="C156" s="872"/>
      <c r="D156" s="872"/>
      <c r="E156" s="872"/>
      <c r="F156" s="872"/>
      <c r="G156" s="872"/>
      <c r="H156" s="873"/>
      <c r="I156" s="873"/>
      <c r="J156" s="872"/>
    </row>
    <row r="157" spans="1:10" s="998" customFormat="1">
      <c r="A157" s="869"/>
      <c r="B157" s="872"/>
      <c r="C157" s="872"/>
      <c r="D157" s="872"/>
      <c r="E157" s="872"/>
      <c r="F157" s="872"/>
      <c r="G157" s="872"/>
      <c r="H157" s="873"/>
      <c r="I157" s="873"/>
      <c r="J157" s="872"/>
    </row>
    <row r="158" spans="1:10" s="998" customFormat="1">
      <c r="A158" s="869"/>
      <c r="B158" s="872"/>
      <c r="C158" s="872"/>
      <c r="D158" s="872"/>
      <c r="E158" s="872"/>
      <c r="F158" s="872"/>
      <c r="G158" s="872"/>
      <c r="H158" s="873"/>
      <c r="I158" s="873"/>
      <c r="J158" s="872"/>
    </row>
    <row r="159" spans="1:10" s="998" customFormat="1">
      <c r="A159" s="869"/>
      <c r="B159" s="872"/>
      <c r="C159" s="872"/>
      <c r="D159" s="872"/>
      <c r="E159" s="872"/>
      <c r="F159" s="872"/>
      <c r="G159" s="872"/>
      <c r="H159" s="873"/>
      <c r="I159" s="873"/>
      <c r="J159" s="872"/>
    </row>
    <row r="160" spans="1:10" s="998" customFormat="1">
      <c r="A160" s="869"/>
      <c r="B160" s="872"/>
      <c r="C160" s="872"/>
      <c r="D160" s="872"/>
      <c r="E160" s="872"/>
      <c r="F160" s="872"/>
      <c r="G160" s="872"/>
      <c r="H160" s="873"/>
      <c r="I160" s="873"/>
      <c r="J160" s="872"/>
    </row>
    <row r="161" spans="1:10" s="998" customFormat="1">
      <c r="A161" s="869"/>
      <c r="B161" s="872"/>
      <c r="C161" s="872"/>
      <c r="D161" s="872"/>
      <c r="E161" s="872"/>
      <c r="F161" s="872"/>
      <c r="G161" s="872"/>
      <c r="H161" s="873"/>
      <c r="I161" s="873"/>
      <c r="J161" s="872"/>
    </row>
    <row r="162" spans="1:10" s="998" customFormat="1">
      <c r="A162" s="869"/>
      <c r="B162" s="872"/>
      <c r="C162" s="872"/>
      <c r="D162" s="872"/>
      <c r="E162" s="872"/>
      <c r="F162" s="872"/>
      <c r="G162" s="872"/>
      <c r="H162" s="873"/>
      <c r="I162" s="873"/>
      <c r="J162" s="872"/>
    </row>
    <row r="163" spans="1:10" s="998" customFormat="1">
      <c r="A163" s="869"/>
      <c r="B163" s="872"/>
      <c r="C163" s="872"/>
      <c r="D163" s="872"/>
      <c r="E163" s="872"/>
      <c r="F163" s="872"/>
      <c r="G163" s="872"/>
      <c r="H163" s="873"/>
      <c r="I163" s="873"/>
      <c r="J163" s="872"/>
    </row>
    <row r="164" spans="1:10" s="998" customFormat="1">
      <c r="A164" s="869"/>
      <c r="B164" s="872"/>
      <c r="C164" s="872"/>
      <c r="D164" s="872"/>
      <c r="E164" s="872"/>
      <c r="F164" s="872"/>
      <c r="G164" s="872"/>
      <c r="H164" s="873"/>
      <c r="I164" s="873"/>
      <c r="J164" s="872"/>
    </row>
    <row r="165" spans="1:10" s="998" customFormat="1">
      <c r="A165" s="869"/>
      <c r="B165" s="872"/>
      <c r="C165" s="872"/>
      <c r="D165" s="872"/>
      <c r="E165" s="872"/>
      <c r="F165" s="872"/>
      <c r="G165" s="872"/>
      <c r="H165" s="873"/>
      <c r="I165" s="873"/>
      <c r="J165" s="872"/>
    </row>
    <row r="166" spans="1:10" s="998" customFormat="1">
      <c r="A166" s="869"/>
      <c r="B166" s="872"/>
      <c r="C166" s="872"/>
      <c r="D166" s="872"/>
      <c r="E166" s="872"/>
      <c r="F166" s="872"/>
      <c r="G166" s="872"/>
      <c r="H166" s="873"/>
      <c r="I166" s="873"/>
      <c r="J166" s="872"/>
    </row>
    <row r="167" spans="1:10" s="997" customFormat="1">
      <c r="A167" s="869"/>
      <c r="B167" s="872"/>
      <c r="C167" s="872"/>
      <c r="D167" s="872"/>
      <c r="E167" s="872"/>
      <c r="F167" s="872"/>
      <c r="G167" s="872"/>
      <c r="H167" s="873"/>
      <c r="I167" s="873"/>
      <c r="J167" s="872"/>
    </row>
    <row r="168" spans="1:10" s="997" customFormat="1">
      <c r="A168" s="869"/>
      <c r="B168" s="872"/>
      <c r="C168" s="872"/>
      <c r="D168" s="872"/>
      <c r="E168" s="872"/>
      <c r="F168" s="872"/>
      <c r="G168" s="872"/>
      <c r="H168" s="873"/>
      <c r="I168" s="873"/>
      <c r="J168" s="872"/>
    </row>
    <row r="169" spans="1:10" s="997" customFormat="1">
      <c r="A169" s="869"/>
      <c r="B169" s="872"/>
      <c r="C169" s="872"/>
      <c r="D169" s="872"/>
      <c r="E169" s="872"/>
      <c r="F169" s="872"/>
      <c r="G169" s="872"/>
      <c r="H169" s="873"/>
      <c r="I169" s="873"/>
      <c r="J169" s="872"/>
    </row>
    <row r="170" spans="1:10" s="998" customFormat="1">
      <c r="A170" s="869"/>
      <c r="B170" s="872"/>
      <c r="C170" s="872"/>
      <c r="D170" s="872"/>
      <c r="E170" s="872"/>
      <c r="F170" s="872"/>
      <c r="G170" s="872"/>
      <c r="H170" s="873"/>
      <c r="I170" s="873"/>
      <c r="J170" s="872"/>
    </row>
    <row r="171" spans="1:10" s="998" customFormat="1">
      <c r="A171" s="869"/>
      <c r="B171" s="872"/>
      <c r="C171" s="872"/>
      <c r="D171" s="872"/>
      <c r="E171" s="872"/>
      <c r="F171" s="872"/>
      <c r="G171" s="872"/>
      <c r="H171" s="873"/>
      <c r="I171" s="873"/>
      <c r="J171" s="872"/>
    </row>
    <row r="172" spans="1:10" s="998" customFormat="1">
      <c r="A172" s="869"/>
      <c r="B172" s="872"/>
      <c r="C172" s="872"/>
      <c r="D172" s="872"/>
      <c r="E172" s="872"/>
      <c r="F172" s="872"/>
      <c r="G172" s="872"/>
      <c r="H172" s="873"/>
      <c r="I172" s="873"/>
      <c r="J172" s="872"/>
    </row>
    <row r="173" spans="1:10" s="998" customFormat="1">
      <c r="A173" s="869"/>
      <c r="B173" s="872"/>
      <c r="C173" s="872"/>
      <c r="D173" s="872"/>
      <c r="E173" s="872"/>
      <c r="F173" s="872"/>
      <c r="G173" s="872"/>
      <c r="H173" s="873"/>
      <c r="I173" s="873"/>
      <c r="J173" s="872"/>
    </row>
    <row r="174" spans="1:10" s="998" customFormat="1">
      <c r="A174" s="869"/>
      <c r="B174" s="872"/>
      <c r="C174" s="872"/>
      <c r="D174" s="872"/>
      <c r="E174" s="872"/>
      <c r="F174" s="872"/>
      <c r="G174" s="872"/>
      <c r="H174" s="873"/>
      <c r="I174" s="873"/>
      <c r="J174" s="872"/>
    </row>
    <row r="175" spans="1:10" s="998" customFormat="1">
      <c r="A175" s="869"/>
      <c r="B175" s="872"/>
      <c r="C175" s="872"/>
      <c r="D175" s="872"/>
      <c r="E175" s="872"/>
      <c r="F175" s="872"/>
      <c r="G175" s="872"/>
      <c r="H175" s="873"/>
      <c r="I175" s="873"/>
      <c r="J175" s="872"/>
    </row>
    <row r="176" spans="1:10" s="998" customFormat="1">
      <c r="A176" s="869"/>
      <c r="B176" s="872"/>
      <c r="C176" s="872"/>
      <c r="D176" s="872"/>
      <c r="E176" s="872"/>
      <c r="F176" s="872"/>
      <c r="G176" s="872"/>
      <c r="H176" s="873"/>
      <c r="I176" s="873"/>
      <c r="J176" s="872"/>
    </row>
    <row r="177" spans="1:10" s="997" customFormat="1">
      <c r="A177" s="869"/>
      <c r="B177" s="872"/>
      <c r="C177" s="872"/>
      <c r="D177" s="872"/>
      <c r="E177" s="872"/>
      <c r="F177" s="872"/>
      <c r="G177" s="872"/>
      <c r="H177" s="873"/>
      <c r="I177" s="873"/>
      <c r="J177" s="872"/>
    </row>
    <row r="178" spans="1:10" s="997" customFormat="1">
      <c r="A178" s="869"/>
      <c r="B178" s="872"/>
      <c r="C178" s="872"/>
      <c r="D178" s="872"/>
      <c r="E178" s="872"/>
      <c r="F178" s="872"/>
      <c r="G178" s="872"/>
      <c r="H178" s="873"/>
      <c r="I178" s="873"/>
      <c r="J178" s="872"/>
    </row>
    <row r="179" spans="1:10" s="997" customFormat="1">
      <c r="A179" s="869"/>
      <c r="B179" s="872"/>
      <c r="C179" s="872"/>
      <c r="D179" s="872"/>
      <c r="E179" s="872"/>
      <c r="F179" s="872"/>
      <c r="G179" s="872"/>
      <c r="H179" s="873"/>
      <c r="I179" s="873"/>
      <c r="J179" s="872"/>
    </row>
    <row r="180" spans="1:10" s="997" customFormat="1">
      <c r="A180" s="869"/>
      <c r="B180" s="872"/>
      <c r="C180" s="872"/>
      <c r="D180" s="872"/>
      <c r="E180" s="872"/>
      <c r="F180" s="872"/>
      <c r="G180" s="872"/>
      <c r="H180" s="873"/>
      <c r="I180" s="873"/>
      <c r="J180" s="872"/>
    </row>
    <row r="181" spans="1:10" s="887" customFormat="1">
      <c r="A181" s="874"/>
      <c r="B181" s="870"/>
      <c r="C181" s="870"/>
      <c r="D181" s="870"/>
      <c r="E181" s="870"/>
      <c r="F181" s="870"/>
      <c r="G181" s="870"/>
      <c r="H181" s="870"/>
      <c r="I181" s="870"/>
      <c r="J181" s="870"/>
    </row>
    <row r="182" spans="1:10">
      <c r="B182" s="726"/>
      <c r="C182" s="726"/>
      <c r="D182" s="726"/>
      <c r="E182" s="726"/>
      <c r="F182" s="726"/>
      <c r="G182" s="726"/>
      <c r="H182" s="726"/>
      <c r="I182" s="726"/>
      <c r="J182" s="726"/>
    </row>
    <row r="183" spans="1:10">
      <c r="B183" s="726"/>
      <c r="C183" s="726"/>
      <c r="D183" s="726"/>
      <c r="E183" s="726"/>
      <c r="F183" s="726"/>
      <c r="G183" s="726"/>
      <c r="H183" s="726"/>
      <c r="I183" s="726"/>
      <c r="J183" s="726"/>
    </row>
    <row r="184" spans="1:10">
      <c r="B184" s="726"/>
      <c r="C184" s="726"/>
      <c r="D184" s="726"/>
      <c r="E184" s="726"/>
      <c r="F184" s="726"/>
      <c r="G184" s="726"/>
      <c r="H184" s="726"/>
      <c r="I184" s="726"/>
      <c r="J184" s="726"/>
    </row>
    <row r="185" spans="1:10">
      <c r="B185" s="726"/>
      <c r="C185" s="726"/>
      <c r="D185" s="726"/>
      <c r="E185" s="726"/>
      <c r="F185" s="726"/>
      <c r="G185" s="726"/>
      <c r="H185" s="726"/>
      <c r="I185" s="726"/>
      <c r="J185" s="726"/>
    </row>
    <row r="186" spans="1:10">
      <c r="B186" s="726"/>
      <c r="C186" s="726"/>
      <c r="D186" s="726"/>
      <c r="E186" s="726"/>
      <c r="F186" s="726"/>
      <c r="G186" s="726"/>
      <c r="H186" s="726"/>
      <c r="I186" s="726"/>
      <c r="J186" s="726"/>
    </row>
    <row r="187" spans="1:10">
      <c r="B187" s="726"/>
      <c r="C187" s="726"/>
      <c r="D187" s="726"/>
      <c r="E187" s="726"/>
      <c r="F187" s="726"/>
      <c r="G187" s="726"/>
      <c r="H187" s="726"/>
      <c r="I187" s="726"/>
      <c r="J187" s="726"/>
    </row>
    <row r="188" spans="1:10">
      <c r="B188" s="726"/>
      <c r="C188" s="726"/>
      <c r="D188" s="726"/>
      <c r="E188" s="726"/>
      <c r="F188" s="726"/>
      <c r="G188" s="726"/>
      <c r="H188" s="726"/>
      <c r="I188" s="726"/>
      <c r="J188" s="726"/>
    </row>
    <row r="189" spans="1:10">
      <c r="B189" s="726"/>
      <c r="C189" s="726"/>
      <c r="D189" s="726"/>
      <c r="E189" s="726"/>
      <c r="F189" s="726"/>
      <c r="G189" s="726"/>
      <c r="H189" s="726"/>
      <c r="I189" s="726"/>
      <c r="J189" s="726"/>
    </row>
    <row r="190" spans="1:10">
      <c r="B190" s="726"/>
      <c r="C190" s="726"/>
      <c r="D190" s="726"/>
      <c r="E190" s="726"/>
      <c r="F190" s="726"/>
      <c r="G190" s="726"/>
      <c r="H190" s="726"/>
      <c r="I190" s="726"/>
      <c r="J190" s="726"/>
    </row>
    <row r="191" spans="1:10">
      <c r="B191" s="726"/>
      <c r="C191" s="726"/>
      <c r="D191" s="726"/>
      <c r="E191" s="726"/>
      <c r="F191" s="726"/>
      <c r="G191" s="726"/>
      <c r="H191" s="726"/>
      <c r="I191" s="726"/>
      <c r="J191" s="726"/>
    </row>
    <row r="192" spans="1:10">
      <c r="B192" s="726"/>
      <c r="C192" s="726"/>
      <c r="D192" s="726"/>
      <c r="E192" s="726"/>
      <c r="F192" s="726"/>
      <c r="G192" s="726"/>
      <c r="H192" s="726"/>
      <c r="I192" s="726"/>
      <c r="J192" s="726"/>
    </row>
  </sheetData>
  <mergeCells count="1">
    <mergeCell ref="A1:G1"/>
  </mergeCells>
  <phoneticPr fontId="91" type="noConversion"/>
  <printOptions horizontalCentered="1"/>
  <pageMargins left="0.5" right="0.5" top="1" bottom="0.5" header="0.5" footer="0.5"/>
  <pageSetup scale="44" fitToWidth="2" fitToHeight="2" orientation="portrait" r:id="rId1"/>
  <headerFooter alignWithMargins="0"/>
  <rowBreaks count="2" manualBreakCount="2">
    <brk id="49" max="16383" man="1"/>
    <brk id="14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C331"/>
  <sheetViews>
    <sheetView zoomScaleNormal="100" zoomScaleSheetLayoutView="100" workbookViewId="0">
      <selection sqref="A1:J1"/>
    </sheetView>
  </sheetViews>
  <sheetFormatPr defaultRowHeight="12.75"/>
  <cols>
    <col min="1" max="1" width="4.140625" style="732" customWidth="1"/>
    <col min="2" max="2" width="4.7109375" style="732" customWidth="1"/>
    <col min="3" max="3" width="7.140625" style="732" customWidth="1"/>
    <col min="4" max="4" width="12" style="730" customWidth="1"/>
    <col min="5" max="5" width="14.140625" style="730" customWidth="1"/>
    <col min="6" max="6" width="17.42578125" style="730" customWidth="1"/>
    <col min="7" max="7" width="15.140625" style="730" customWidth="1"/>
    <col min="8" max="8" width="12.42578125" style="730" customWidth="1"/>
    <col min="9" max="9" width="12.28515625" style="730" customWidth="1"/>
    <col min="10" max="10" width="15.5703125" style="730" customWidth="1"/>
    <col min="11" max="11" width="15.42578125" style="730" customWidth="1"/>
    <col min="12" max="12" width="15.85546875" style="730" customWidth="1"/>
    <col min="13" max="13" width="11.85546875" style="730" customWidth="1"/>
    <col min="14" max="14" width="13.42578125" style="730" customWidth="1"/>
    <col min="15" max="15" width="14.5703125" style="730" bestFit="1" customWidth="1"/>
    <col min="16" max="16" width="9.140625" style="730"/>
    <col min="17" max="17" width="12" style="730" bestFit="1" customWidth="1"/>
    <col min="18" max="18" width="9.7109375" style="730" bestFit="1" customWidth="1"/>
    <col min="19" max="21" width="9.140625" style="730"/>
    <col min="22" max="22" width="11" style="730" bestFit="1" customWidth="1"/>
    <col min="23" max="16384" width="9.140625" style="730"/>
  </cols>
  <sheetData>
    <row r="1" spans="1:29" ht="18">
      <c r="A1" s="1250" t="str">
        <f>'ATT H-3D'!A4</f>
        <v>Delmarva Power &amp; Light Company</v>
      </c>
      <c r="B1" s="1251"/>
      <c r="C1" s="1251"/>
      <c r="D1" s="1251"/>
      <c r="E1" s="1251"/>
      <c r="F1" s="1251"/>
      <c r="G1" s="1251"/>
      <c r="H1" s="1251"/>
      <c r="I1" s="1251"/>
      <c r="J1" s="1251"/>
    </row>
    <row r="2" spans="1:29">
      <c r="A2" s="731"/>
    </row>
    <row r="3" spans="1:29" ht="18">
      <c r="A3" s="1252" t="s">
        <v>626</v>
      </c>
      <c r="B3" s="1252"/>
      <c r="C3" s="1252"/>
      <c r="D3" s="1252"/>
      <c r="E3" s="1252"/>
      <c r="F3" s="1252"/>
      <c r="G3" s="1252"/>
      <c r="H3" s="1252"/>
      <c r="I3" s="1253"/>
      <c r="J3" s="1253"/>
    </row>
    <row r="4" spans="1:29">
      <c r="K4" s="850"/>
      <c r="L4" s="851"/>
    </row>
    <row r="5" spans="1:29" ht="16.5">
      <c r="J5" s="733"/>
      <c r="K5" s="850"/>
      <c r="L5" s="851"/>
    </row>
    <row r="6" spans="1:29" ht="13.5">
      <c r="A6" s="734" t="s">
        <v>353</v>
      </c>
      <c r="B6" s="734" t="s">
        <v>354</v>
      </c>
      <c r="C6" s="734" t="s">
        <v>355</v>
      </c>
      <c r="D6" s="734" t="s">
        <v>356</v>
      </c>
      <c r="E6" s="735"/>
      <c r="F6" s="735"/>
      <c r="G6" s="735"/>
      <c r="H6" s="735"/>
      <c r="I6" s="735"/>
      <c r="J6" s="735"/>
      <c r="K6" s="850"/>
      <c r="L6" s="851"/>
      <c r="M6" s="735"/>
      <c r="N6" s="735"/>
      <c r="O6" s="735"/>
      <c r="P6" s="735"/>
      <c r="Q6" s="735"/>
      <c r="R6" s="735"/>
      <c r="S6" s="735"/>
      <c r="T6" s="735"/>
      <c r="U6" s="735"/>
      <c r="V6" s="735"/>
      <c r="W6" s="735"/>
      <c r="X6" s="735"/>
      <c r="Y6" s="735"/>
      <c r="Z6" s="735"/>
      <c r="AA6" s="735"/>
      <c r="AB6" s="735"/>
      <c r="AC6" s="736"/>
    </row>
    <row r="7" spans="1:29" ht="13.5">
      <c r="B7" s="734"/>
      <c r="C7" s="734"/>
      <c r="D7" s="735"/>
      <c r="E7" s="735"/>
      <c r="F7" s="735"/>
      <c r="G7" s="735"/>
      <c r="H7" s="735"/>
      <c r="I7" s="735"/>
      <c r="J7" s="735"/>
      <c r="K7" s="735"/>
      <c r="L7" s="735"/>
      <c r="M7" s="735"/>
      <c r="N7" s="735"/>
      <c r="O7" s="735"/>
      <c r="P7" s="735"/>
      <c r="Q7" s="735"/>
      <c r="R7" s="735"/>
      <c r="S7" s="735"/>
      <c r="T7" s="735"/>
      <c r="U7" s="735"/>
      <c r="V7" s="735"/>
      <c r="W7" s="735"/>
      <c r="X7" s="735"/>
      <c r="Y7" s="735"/>
      <c r="Z7" s="735"/>
      <c r="AA7" s="735"/>
      <c r="AB7" s="735"/>
      <c r="AC7" s="736"/>
    </row>
    <row r="8" spans="1:29" ht="13.5">
      <c r="A8" s="737" t="s">
        <v>357</v>
      </c>
      <c r="B8" s="734"/>
      <c r="C8" s="734"/>
      <c r="D8" s="735"/>
      <c r="E8" s="735"/>
      <c r="F8" s="735"/>
      <c r="G8" s="735"/>
      <c r="H8" s="735"/>
      <c r="I8" s="735"/>
      <c r="J8" s="735"/>
      <c r="K8" s="735"/>
      <c r="L8" s="735"/>
      <c r="M8" s="735"/>
      <c r="N8" s="735"/>
      <c r="O8" s="735"/>
      <c r="P8" s="735"/>
      <c r="Q8" s="735"/>
      <c r="R8" s="735"/>
      <c r="S8" s="735"/>
      <c r="T8" s="735"/>
      <c r="U8" s="735"/>
      <c r="V8" s="735"/>
      <c r="W8" s="735"/>
      <c r="X8" s="735"/>
      <c r="Y8" s="735"/>
      <c r="Z8" s="735"/>
      <c r="AA8" s="735"/>
      <c r="AB8" s="735"/>
      <c r="AC8" s="736"/>
    </row>
    <row r="9" spans="1:29" ht="13.5">
      <c r="A9" s="734">
        <v>1</v>
      </c>
      <c r="B9" s="734" t="s">
        <v>358</v>
      </c>
      <c r="C9" s="738" t="s">
        <v>543</v>
      </c>
      <c r="D9" s="739" t="s">
        <v>647</v>
      </c>
      <c r="E9" s="735"/>
      <c r="F9" s="735"/>
      <c r="G9" s="735"/>
      <c r="H9" s="735"/>
      <c r="I9" s="735"/>
      <c r="J9" s="735"/>
      <c r="K9" s="735"/>
      <c r="L9" s="735"/>
      <c r="M9" s="735"/>
      <c r="N9" s="735"/>
      <c r="O9" s="735"/>
      <c r="P9" s="735"/>
      <c r="Q9" s="735"/>
      <c r="R9" s="735"/>
      <c r="S9" s="735"/>
      <c r="T9" s="735"/>
      <c r="U9" s="735"/>
      <c r="V9" s="735"/>
      <c r="W9" s="735"/>
      <c r="X9" s="735"/>
      <c r="Y9" s="735"/>
      <c r="Z9" s="735"/>
      <c r="AA9" s="735"/>
      <c r="AB9" s="735"/>
      <c r="AC9" s="736"/>
    </row>
    <row r="10" spans="1:29" ht="13.5">
      <c r="A10" s="734">
        <v>2</v>
      </c>
      <c r="B10" s="734" t="str">
        <f>+B9</f>
        <v>April</v>
      </c>
      <c r="C10" s="738" t="str">
        <f>+C9</f>
        <v>Year 2</v>
      </c>
      <c r="D10" s="739" t="s">
        <v>648</v>
      </c>
      <c r="E10" s="735"/>
      <c r="F10" s="735"/>
      <c r="G10" s="735"/>
      <c r="H10" s="735"/>
      <c r="I10" s="735"/>
      <c r="J10" s="735"/>
      <c r="K10" s="735"/>
      <c r="L10" s="735"/>
      <c r="M10" s="735"/>
      <c r="N10" s="735"/>
      <c r="O10" s="735"/>
      <c r="P10" s="735"/>
      <c r="Q10" s="735"/>
      <c r="R10" s="735"/>
      <c r="S10" s="735"/>
      <c r="T10" s="735"/>
      <c r="U10" s="735"/>
      <c r="V10" s="735"/>
      <c r="W10" s="735"/>
      <c r="X10" s="735"/>
      <c r="Y10" s="735"/>
      <c r="Z10" s="735"/>
      <c r="AA10" s="735"/>
      <c r="AB10" s="735"/>
      <c r="AC10" s="736"/>
    </row>
    <row r="11" spans="1:29" ht="13.5">
      <c r="A11" s="734">
        <v>3</v>
      </c>
      <c r="B11" s="734" t="s">
        <v>358</v>
      </c>
      <c r="C11" s="738" t="str">
        <f>+C10</f>
        <v>Year 2</v>
      </c>
      <c r="D11" s="739" t="s">
        <v>400</v>
      </c>
      <c r="E11" s="735"/>
      <c r="F11" s="735"/>
      <c r="G11" s="735"/>
      <c r="H11" s="735"/>
      <c r="I11" s="735"/>
      <c r="J11" s="735"/>
      <c r="K11" s="735"/>
      <c r="L11" s="735"/>
      <c r="M11" s="735"/>
      <c r="N11" s="735"/>
      <c r="O11" s="735"/>
      <c r="P11" s="735"/>
      <c r="Q11" s="735"/>
      <c r="R11" s="735"/>
      <c r="S11" s="735"/>
      <c r="T11" s="735"/>
      <c r="U11" s="735"/>
      <c r="V11" s="735"/>
      <c r="W11" s="735"/>
      <c r="X11" s="735"/>
      <c r="Y11" s="735"/>
      <c r="Z11" s="735"/>
      <c r="AA11" s="735"/>
      <c r="AB11" s="735"/>
      <c r="AC11" s="736"/>
    </row>
    <row r="12" spans="1:29" ht="13.5">
      <c r="A12" s="734">
        <v>4</v>
      </c>
      <c r="B12" s="734" t="s">
        <v>359</v>
      </c>
      <c r="C12" s="738" t="str">
        <f>+C11</f>
        <v>Year 2</v>
      </c>
      <c r="D12" s="739" t="s">
        <v>564</v>
      </c>
      <c r="E12" s="735"/>
      <c r="F12" s="735"/>
      <c r="G12" s="735"/>
      <c r="H12" s="735"/>
      <c r="I12" s="735"/>
      <c r="J12" s="735"/>
      <c r="K12" s="735"/>
      <c r="L12" s="735"/>
      <c r="M12" s="735"/>
      <c r="N12" s="735"/>
      <c r="O12" s="735"/>
      <c r="P12" s="735"/>
      <c r="Q12" s="735"/>
      <c r="R12" s="735"/>
      <c r="S12" s="735"/>
      <c r="T12" s="735"/>
      <c r="U12" s="735"/>
      <c r="V12" s="735"/>
      <c r="W12" s="735"/>
      <c r="X12" s="735"/>
      <c r="Y12" s="735"/>
      <c r="Z12" s="735"/>
      <c r="AA12" s="735"/>
      <c r="AB12" s="735"/>
      <c r="AC12" s="736"/>
    </row>
    <row r="13" spans="1:29" ht="13.5">
      <c r="A13" s="734">
        <v>5</v>
      </c>
      <c r="B13" s="740" t="s">
        <v>360</v>
      </c>
      <c r="C13" s="738" t="str">
        <f>+C12</f>
        <v>Year 2</v>
      </c>
      <c r="D13" s="739" t="s">
        <v>649</v>
      </c>
      <c r="E13" s="735"/>
      <c r="F13" s="735"/>
      <c r="G13" s="735"/>
      <c r="H13" s="735"/>
      <c r="I13" s="735"/>
      <c r="J13" s="735"/>
      <c r="K13" s="735"/>
      <c r="L13" s="735"/>
      <c r="M13" s="735"/>
      <c r="N13" s="735"/>
      <c r="O13" s="735"/>
      <c r="P13" s="735"/>
      <c r="Q13" s="735"/>
      <c r="R13" s="735"/>
      <c r="S13" s="735"/>
      <c r="T13" s="735"/>
      <c r="U13" s="735"/>
      <c r="V13" s="735"/>
      <c r="W13" s="735"/>
      <c r="X13" s="735"/>
      <c r="Y13" s="735"/>
      <c r="Z13" s="735"/>
      <c r="AA13" s="735"/>
      <c r="AB13" s="735"/>
      <c r="AC13" s="736"/>
    </row>
    <row r="14" spans="1:29" ht="13.5">
      <c r="A14" s="734"/>
      <c r="B14" s="734"/>
      <c r="C14" s="738"/>
      <c r="D14" s="739"/>
      <c r="E14" s="735"/>
      <c r="F14" s="735"/>
      <c r="G14" s="735"/>
      <c r="H14" s="735"/>
      <c r="I14" s="735"/>
      <c r="J14" s="735"/>
      <c r="K14" s="735"/>
      <c r="L14" s="735"/>
      <c r="M14" s="735"/>
      <c r="N14" s="735"/>
      <c r="O14" s="735"/>
      <c r="P14" s="735"/>
      <c r="Q14" s="735"/>
      <c r="R14" s="735"/>
      <c r="S14" s="735"/>
      <c r="T14" s="735"/>
      <c r="U14" s="735"/>
      <c r="V14" s="735"/>
      <c r="W14" s="735"/>
      <c r="X14" s="735"/>
      <c r="Y14" s="735"/>
      <c r="Z14" s="735"/>
      <c r="AA14" s="735"/>
      <c r="AB14" s="735"/>
      <c r="AC14" s="736"/>
    </row>
    <row r="15" spans="1:29" ht="13.5">
      <c r="A15" s="734">
        <v>6</v>
      </c>
      <c r="B15" s="734" t="str">
        <f>+B9</f>
        <v>April</v>
      </c>
      <c r="C15" s="738" t="s">
        <v>539</v>
      </c>
      <c r="D15" s="739" t="s">
        <v>457</v>
      </c>
      <c r="E15" s="735"/>
      <c r="F15" s="735"/>
      <c r="G15" s="735"/>
      <c r="H15" s="735"/>
      <c r="I15" s="735"/>
      <c r="J15" s="735"/>
      <c r="K15" s="735"/>
      <c r="L15" s="735"/>
      <c r="M15" s="735"/>
      <c r="N15" s="735"/>
      <c r="O15" s="735"/>
      <c r="P15" s="735"/>
      <c r="Q15" s="735"/>
      <c r="R15" s="735"/>
      <c r="S15" s="735"/>
      <c r="T15" s="735"/>
      <c r="U15" s="735"/>
      <c r="V15" s="735"/>
      <c r="W15" s="735"/>
      <c r="X15" s="735"/>
      <c r="Y15" s="735"/>
      <c r="Z15" s="735"/>
      <c r="AA15" s="735"/>
      <c r="AB15" s="735"/>
      <c r="AC15" s="736"/>
    </row>
    <row r="16" spans="1:29" ht="13.5">
      <c r="A16" s="734">
        <v>7</v>
      </c>
      <c r="B16" s="734" t="str">
        <f>+B18</f>
        <v>April</v>
      </c>
      <c r="C16" s="738" t="str">
        <f>+C18</f>
        <v>Year 3</v>
      </c>
      <c r="D16" s="739" t="s">
        <v>650</v>
      </c>
      <c r="E16" s="741"/>
      <c r="F16" s="741"/>
      <c r="G16" s="741"/>
      <c r="H16" s="741"/>
      <c r="I16" s="741"/>
      <c r="J16" s="741"/>
      <c r="K16" s="735"/>
      <c r="L16" s="735"/>
      <c r="M16" s="735"/>
      <c r="N16" s="735"/>
      <c r="O16" s="735"/>
      <c r="P16" s="735"/>
      <c r="Q16" s="735"/>
      <c r="R16" s="735"/>
      <c r="S16" s="735"/>
      <c r="T16" s="735"/>
      <c r="U16" s="735"/>
      <c r="V16" s="735"/>
      <c r="W16" s="735"/>
      <c r="X16" s="735"/>
      <c r="Y16" s="735"/>
      <c r="Z16" s="735"/>
      <c r="AA16" s="735"/>
      <c r="AB16" s="735"/>
      <c r="AC16" s="736"/>
    </row>
    <row r="17" spans="1:29" ht="13.5">
      <c r="A17" s="734"/>
      <c r="B17" s="734"/>
      <c r="C17" s="738"/>
      <c r="D17" s="739" t="s">
        <v>476</v>
      </c>
      <c r="E17" s="741"/>
      <c r="F17" s="741"/>
      <c r="G17" s="741"/>
      <c r="H17" s="741"/>
      <c r="I17" s="741"/>
      <c r="J17" s="741"/>
      <c r="K17" s="735"/>
      <c r="L17" s="735"/>
      <c r="M17" s="735"/>
      <c r="N17" s="735"/>
      <c r="O17" s="735"/>
      <c r="P17" s="735"/>
      <c r="Q17" s="735"/>
      <c r="R17" s="735"/>
      <c r="S17" s="735"/>
      <c r="T17" s="735"/>
      <c r="U17" s="735"/>
      <c r="V17" s="735"/>
      <c r="W17" s="735"/>
      <c r="X17" s="735"/>
      <c r="Y17" s="735"/>
      <c r="Z17" s="735"/>
      <c r="AA17" s="735"/>
      <c r="AB17" s="735"/>
      <c r="AC17" s="736"/>
    </row>
    <row r="18" spans="1:29" ht="13.5">
      <c r="A18" s="734">
        <v>8</v>
      </c>
      <c r="B18" s="734" t="str">
        <f>+B15</f>
        <v>April</v>
      </c>
      <c r="C18" s="738" t="str">
        <f>+C15</f>
        <v>Year 3</v>
      </c>
      <c r="D18" s="739" t="s">
        <v>651</v>
      </c>
      <c r="E18" s="735"/>
      <c r="F18" s="735"/>
      <c r="G18" s="735"/>
      <c r="H18" s="735"/>
      <c r="I18" s="735"/>
      <c r="J18" s="735"/>
      <c r="K18" s="735"/>
      <c r="L18" s="735"/>
      <c r="M18" s="735"/>
      <c r="N18" s="735"/>
      <c r="O18" s="735"/>
      <c r="P18" s="735"/>
      <c r="Q18" s="735"/>
      <c r="R18" s="735"/>
      <c r="S18" s="735"/>
      <c r="T18" s="735"/>
      <c r="U18" s="735"/>
      <c r="V18" s="735"/>
      <c r="W18" s="735"/>
      <c r="X18" s="735"/>
      <c r="Y18" s="735"/>
      <c r="Z18" s="735"/>
      <c r="AA18" s="735"/>
      <c r="AB18" s="735"/>
      <c r="AC18" s="736"/>
    </row>
    <row r="19" spans="1:29" ht="13.5">
      <c r="A19" s="734">
        <v>9</v>
      </c>
      <c r="B19" s="734" t="str">
        <f>+B16</f>
        <v>April</v>
      </c>
      <c r="C19" s="738" t="str">
        <f>+C16</f>
        <v>Year 3</v>
      </c>
      <c r="D19" s="739" t="s">
        <v>652</v>
      </c>
      <c r="E19" s="735"/>
      <c r="F19" s="735"/>
      <c r="G19" s="735"/>
      <c r="H19" s="735"/>
      <c r="I19" s="735"/>
      <c r="J19" s="735"/>
      <c r="K19" s="735"/>
      <c r="L19" s="735"/>
      <c r="M19" s="735"/>
      <c r="N19" s="735"/>
      <c r="O19" s="735"/>
      <c r="P19" s="735"/>
      <c r="Q19" s="735"/>
      <c r="R19" s="735"/>
      <c r="S19" s="735"/>
      <c r="T19" s="735"/>
      <c r="U19" s="735"/>
      <c r="V19" s="735"/>
      <c r="W19" s="735"/>
      <c r="X19" s="735"/>
      <c r="Y19" s="735"/>
      <c r="Z19" s="735"/>
      <c r="AA19" s="735"/>
      <c r="AB19" s="735"/>
      <c r="AC19" s="736"/>
    </row>
    <row r="20" spans="1:29" ht="13.5">
      <c r="A20" s="734">
        <v>10</v>
      </c>
      <c r="B20" s="734" t="str">
        <f>+B12</f>
        <v>May</v>
      </c>
      <c r="C20" s="738" t="str">
        <f>+C19</f>
        <v>Year 3</v>
      </c>
      <c r="D20" s="739" t="s">
        <v>565</v>
      </c>
      <c r="E20" s="735"/>
      <c r="F20" s="735"/>
      <c r="G20" s="735"/>
      <c r="H20" s="735"/>
      <c r="I20" s="735"/>
      <c r="J20" s="735"/>
      <c r="K20" s="735"/>
      <c r="L20" s="735"/>
      <c r="M20" s="735"/>
      <c r="N20" s="735"/>
      <c r="O20" s="735"/>
      <c r="P20" s="735"/>
      <c r="Q20" s="735"/>
      <c r="R20" s="735"/>
      <c r="S20" s="735"/>
      <c r="T20" s="735"/>
      <c r="U20" s="735"/>
      <c r="V20" s="735"/>
      <c r="W20" s="735"/>
      <c r="X20" s="735"/>
      <c r="Y20" s="735"/>
      <c r="Z20" s="735"/>
      <c r="AA20" s="735"/>
      <c r="AB20" s="735"/>
      <c r="AC20" s="736"/>
    </row>
    <row r="21" spans="1:29" ht="13.5">
      <c r="A21" s="734">
        <v>11</v>
      </c>
      <c r="B21" s="740" t="str">
        <f>+B13</f>
        <v>June</v>
      </c>
      <c r="C21" s="738" t="str">
        <f>+C20</f>
        <v>Year 3</v>
      </c>
      <c r="D21" s="739" t="s">
        <v>458</v>
      </c>
      <c r="E21" s="735"/>
      <c r="F21" s="735"/>
      <c r="G21" s="735"/>
      <c r="H21" s="735"/>
      <c r="I21" s="735"/>
      <c r="J21" s="735"/>
      <c r="K21" s="735"/>
      <c r="L21" s="735"/>
      <c r="M21" s="735"/>
      <c r="N21" s="735"/>
      <c r="O21" s="735"/>
      <c r="P21" s="735"/>
      <c r="Q21" s="735"/>
      <c r="R21" s="735"/>
      <c r="S21" s="735"/>
      <c r="T21" s="735"/>
      <c r="U21" s="735"/>
      <c r="V21" s="735"/>
      <c r="W21" s="735"/>
      <c r="X21" s="735"/>
      <c r="Y21" s="735"/>
      <c r="Z21" s="735"/>
      <c r="AA21" s="735"/>
      <c r="AB21" s="735"/>
      <c r="AC21" s="736"/>
    </row>
    <row r="22" spans="1:29" ht="13.5">
      <c r="A22" s="734"/>
      <c r="B22" s="740"/>
      <c r="C22" s="734"/>
      <c r="D22" s="739"/>
      <c r="E22" s="735"/>
      <c r="F22" s="735"/>
      <c r="G22" s="735"/>
      <c r="H22" s="735"/>
      <c r="I22" s="735"/>
      <c r="J22" s="735"/>
      <c r="K22" s="735"/>
      <c r="L22" s="735"/>
      <c r="M22" s="735"/>
      <c r="N22" s="735"/>
      <c r="O22" s="735"/>
      <c r="P22" s="735"/>
      <c r="Q22" s="735"/>
      <c r="R22" s="735"/>
      <c r="S22" s="735"/>
      <c r="T22" s="735"/>
      <c r="U22" s="735"/>
      <c r="V22" s="735"/>
      <c r="W22" s="735"/>
      <c r="X22" s="735"/>
      <c r="Y22" s="735"/>
      <c r="Z22" s="735"/>
      <c r="AA22" s="735"/>
      <c r="AB22" s="735"/>
      <c r="AC22" s="736"/>
    </row>
    <row r="23" spans="1:29" ht="13.5">
      <c r="A23" s="742"/>
      <c r="B23" s="738"/>
      <c r="C23" s="734"/>
      <c r="D23" s="743"/>
      <c r="E23" s="735"/>
      <c r="F23" s="735"/>
      <c r="G23" s="735"/>
      <c r="H23" s="735"/>
      <c r="I23" s="735"/>
      <c r="J23" s="735"/>
      <c r="K23" s="735"/>
      <c r="L23" s="735"/>
      <c r="M23" s="735"/>
      <c r="N23" s="735"/>
      <c r="O23" s="735"/>
      <c r="P23" s="735"/>
      <c r="Q23" s="735"/>
      <c r="R23" s="735"/>
      <c r="S23" s="735"/>
      <c r="T23" s="735"/>
      <c r="U23" s="735"/>
      <c r="V23" s="735"/>
      <c r="W23" s="735"/>
      <c r="X23" s="735"/>
      <c r="Y23" s="735"/>
      <c r="Z23" s="735"/>
      <c r="AA23" s="735"/>
      <c r="AB23" s="735"/>
      <c r="AC23" s="736"/>
    </row>
    <row r="24" spans="1:29" ht="13.5">
      <c r="A24" s="734">
        <f>+A9</f>
        <v>1</v>
      </c>
      <c r="B24" s="734" t="str">
        <f>+B9</f>
        <v>April</v>
      </c>
      <c r="C24" s="734" t="str">
        <f>+C9</f>
        <v>Year 2</v>
      </c>
      <c r="D24" s="735" t="str">
        <f>+D9</f>
        <v>TO populates the formula with Year 1 data from FERC Form 1 data for Year 1 (e.g., 2004)</v>
      </c>
      <c r="E24" s="735"/>
      <c r="F24" s="735"/>
      <c r="G24" s="735"/>
      <c r="H24" s="735"/>
      <c r="I24" s="735"/>
      <c r="K24" s="735"/>
      <c r="L24" s="735"/>
      <c r="M24" s="735"/>
      <c r="N24" s="735"/>
      <c r="O24" s="735"/>
      <c r="P24" s="735"/>
      <c r="Q24" s="735"/>
      <c r="R24" s="735"/>
      <c r="S24" s="735"/>
      <c r="T24" s="735"/>
      <c r="U24" s="735"/>
      <c r="V24" s="735"/>
      <c r="W24" s="735"/>
      <c r="X24" s="735"/>
      <c r="Y24" s="735"/>
      <c r="Z24" s="735"/>
      <c r="AA24" s="735"/>
      <c r="AB24" s="735"/>
      <c r="AC24" s="736"/>
    </row>
    <row r="25" spans="1:29" ht="13.5">
      <c r="A25" s="734"/>
      <c r="B25" s="734"/>
      <c r="C25" s="734"/>
      <c r="D25" s="843">
        <v>128461949.83859509</v>
      </c>
      <c r="E25" s="735" t="s">
        <v>548</v>
      </c>
      <c r="F25" s="735"/>
      <c r="G25" s="744" t="s">
        <v>653</v>
      </c>
      <c r="H25" s="735"/>
      <c r="I25" s="735"/>
      <c r="J25" s="735"/>
      <c r="K25" s="735"/>
      <c r="L25" s="735"/>
      <c r="M25" s="735"/>
      <c r="N25" s="735"/>
      <c r="O25" s="735"/>
      <c r="P25" s="735"/>
      <c r="Q25" s="735"/>
      <c r="R25" s="735"/>
      <c r="S25" s="735"/>
      <c r="T25" s="735"/>
      <c r="U25" s="735"/>
      <c r="V25" s="735"/>
      <c r="W25" s="735"/>
      <c r="X25" s="735"/>
      <c r="Y25" s="735"/>
      <c r="Z25" s="735"/>
      <c r="AA25" s="735"/>
      <c r="AB25" s="735"/>
      <c r="AC25" s="736"/>
    </row>
    <row r="26" spans="1:29" ht="13.5">
      <c r="A26" s="734"/>
      <c r="B26" s="734"/>
      <c r="C26" s="734"/>
      <c r="D26" s="735"/>
      <c r="E26" s="735"/>
      <c r="F26" s="735"/>
      <c r="G26" s="735"/>
      <c r="H26" s="735"/>
      <c r="I26" s="735"/>
      <c r="J26" s="735"/>
      <c r="K26" s="735"/>
      <c r="L26" s="735"/>
      <c r="M26" s="735"/>
      <c r="N26" s="735"/>
      <c r="O26" s="735"/>
      <c r="P26" s="735"/>
      <c r="Q26" s="735"/>
      <c r="R26" s="735"/>
      <c r="S26" s="735"/>
      <c r="T26" s="735"/>
      <c r="U26" s="735"/>
      <c r="V26" s="735"/>
      <c r="W26" s="735"/>
      <c r="X26" s="735"/>
      <c r="Y26" s="735"/>
      <c r="Z26" s="735"/>
      <c r="AA26" s="735"/>
      <c r="AB26" s="735"/>
      <c r="AC26" s="736"/>
    </row>
    <row r="27" spans="1:29" ht="13.5">
      <c r="A27" s="734">
        <v>2</v>
      </c>
      <c r="B27" s="734" t="str">
        <f>+B24</f>
        <v>April</v>
      </c>
      <c r="C27" s="734" t="str">
        <f>+C24</f>
        <v>Year 2</v>
      </c>
      <c r="D27" s="739" t="str">
        <f>+D10</f>
        <v>TO estimates all transmission Cap Adds and CWIP for Year 2 weighted based on Months expected to be in service in Year 2 (e.g., 2005)</v>
      </c>
      <c r="E27" s="735"/>
      <c r="F27" s="735"/>
      <c r="G27" s="735"/>
      <c r="H27" s="735"/>
      <c r="I27" s="735"/>
      <c r="K27" s="735"/>
      <c r="L27" s="735"/>
      <c r="M27" s="735"/>
      <c r="N27" s="735"/>
      <c r="O27" s="735"/>
      <c r="P27" s="735"/>
      <c r="Q27" s="735"/>
      <c r="R27" s="735"/>
      <c r="S27" s="735"/>
      <c r="T27" s="735"/>
      <c r="U27" s="735"/>
      <c r="V27" s="735"/>
      <c r="W27" s="735"/>
      <c r="X27" s="735"/>
      <c r="Y27" s="735"/>
      <c r="Z27" s="735"/>
      <c r="AA27" s="735"/>
      <c r="AB27" s="735"/>
      <c r="AC27" s="736"/>
    </row>
    <row r="28" spans="1:29" ht="13.5">
      <c r="A28" s="734"/>
      <c r="B28" s="734"/>
      <c r="C28" s="734"/>
      <c r="D28" s="739"/>
      <c r="E28" s="735"/>
      <c r="F28" s="735"/>
      <c r="G28" s="735"/>
      <c r="H28" s="735"/>
      <c r="I28" s="735"/>
      <c r="K28" s="735"/>
      <c r="L28" s="735"/>
      <c r="M28" s="735"/>
      <c r="N28" s="735"/>
      <c r="O28" s="735"/>
      <c r="P28" s="735"/>
      <c r="Q28" s="735"/>
      <c r="R28" s="735"/>
      <c r="S28" s="735"/>
      <c r="T28" s="735"/>
      <c r="U28" s="735"/>
      <c r="V28" s="735"/>
      <c r="W28" s="735"/>
      <c r="X28" s="735"/>
      <c r="Y28" s="735"/>
      <c r="Z28" s="735"/>
      <c r="AA28" s="735"/>
      <c r="AB28" s="735"/>
      <c r="AC28" s="736"/>
    </row>
    <row r="29" spans="1:29" ht="13.5">
      <c r="A29" s="734"/>
      <c r="B29" s="734"/>
      <c r="C29" s="734"/>
      <c r="E29" s="745" t="s">
        <v>654</v>
      </c>
      <c r="F29" s="745" t="s">
        <v>655</v>
      </c>
      <c r="G29" s="745" t="s">
        <v>656</v>
      </c>
      <c r="H29" s="745" t="s">
        <v>657</v>
      </c>
      <c r="I29" s="745" t="s">
        <v>658</v>
      </c>
      <c r="J29" s="745" t="s">
        <v>659</v>
      </c>
      <c r="K29" s="745" t="s">
        <v>660</v>
      </c>
      <c r="L29" s="745" t="s">
        <v>661</v>
      </c>
      <c r="M29" s="745" t="s">
        <v>662</v>
      </c>
      <c r="N29" s="745" t="s">
        <v>663</v>
      </c>
      <c r="O29" s="734" t="s">
        <v>664</v>
      </c>
      <c r="P29" s="734" t="s">
        <v>665</v>
      </c>
      <c r="Q29" s="734" t="s">
        <v>666</v>
      </c>
      <c r="R29" s="735"/>
      <c r="S29" s="735"/>
      <c r="T29" s="735"/>
      <c r="U29" s="735"/>
      <c r="V29" s="735"/>
      <c r="W29" s="735"/>
      <c r="X29" s="735"/>
      <c r="Y29" s="735"/>
      <c r="Z29" s="735"/>
      <c r="AA29" s="735"/>
      <c r="AB29" s="735"/>
      <c r="AC29" s="736"/>
    </row>
    <row r="30" spans="1:29" ht="13.5">
      <c r="A30" s="734"/>
      <c r="B30" s="734"/>
      <c r="C30" s="734"/>
      <c r="E30" s="734" t="s">
        <v>667</v>
      </c>
      <c r="F30" s="734" t="s">
        <v>667</v>
      </c>
      <c r="G30" s="734" t="s">
        <v>667</v>
      </c>
      <c r="H30" s="734" t="s">
        <v>667</v>
      </c>
      <c r="J30" s="734" t="str">
        <f>+E31</f>
        <v>Other Plant In Service</v>
      </c>
      <c r="K30" s="734" t="str">
        <f>+F31</f>
        <v>Other Plant In Service</v>
      </c>
      <c r="L30" s="734" t="str">
        <f>+G31</f>
        <v>MAPP CWIP</v>
      </c>
      <c r="M30" s="734" t="str">
        <f>+H31</f>
        <v>MAPP In Service</v>
      </c>
      <c r="N30" s="734" t="str">
        <f>+E31</f>
        <v>Other Plant In Service</v>
      </c>
      <c r="O30" s="734" t="str">
        <f>+F31</f>
        <v>Other Plant In Service</v>
      </c>
      <c r="P30" s="734" t="str">
        <f>+G31</f>
        <v>MAPP CWIP</v>
      </c>
      <c r="Q30" s="734" t="str">
        <f>+H31</f>
        <v>MAPP In Service</v>
      </c>
      <c r="R30" s="735"/>
      <c r="S30" s="735"/>
      <c r="T30" s="735"/>
      <c r="U30" s="735"/>
      <c r="V30" s="735"/>
      <c r="W30" s="735"/>
      <c r="X30" s="735"/>
      <c r="Y30" s="735"/>
      <c r="Z30" s="735"/>
      <c r="AA30" s="735"/>
      <c r="AB30" s="735"/>
      <c r="AC30" s="736"/>
    </row>
    <row r="31" spans="1:29" ht="13.5">
      <c r="A31" s="734"/>
      <c r="B31" s="734"/>
      <c r="C31" s="734"/>
      <c r="D31" s="735"/>
      <c r="E31" s="734" t="s">
        <v>668</v>
      </c>
      <c r="F31" s="734" t="s">
        <v>668</v>
      </c>
      <c r="G31" s="734" t="s">
        <v>669</v>
      </c>
      <c r="H31" s="734" t="s">
        <v>670</v>
      </c>
      <c r="I31" s="734" t="s">
        <v>361</v>
      </c>
      <c r="J31" s="734" t="s">
        <v>671</v>
      </c>
      <c r="K31" s="734" t="s">
        <v>672</v>
      </c>
      <c r="L31" s="734" t="s">
        <v>673</v>
      </c>
      <c r="M31" s="734" t="s">
        <v>674</v>
      </c>
      <c r="N31" s="734" t="s">
        <v>675</v>
      </c>
      <c r="O31" s="734" t="s">
        <v>676</v>
      </c>
      <c r="P31" s="734" t="s">
        <v>677</v>
      </c>
      <c r="Q31" s="734" t="s">
        <v>678</v>
      </c>
      <c r="R31" s="735"/>
      <c r="S31" s="735"/>
      <c r="T31" s="735"/>
      <c r="U31" s="735"/>
      <c r="V31" s="735"/>
      <c r="W31" s="735"/>
      <c r="X31" s="735"/>
      <c r="Y31" s="735"/>
      <c r="Z31" s="735"/>
      <c r="AA31" s="735"/>
      <c r="AB31" s="735"/>
      <c r="AC31" s="736"/>
    </row>
    <row r="32" spans="1:29" ht="13.5">
      <c r="A32" s="734"/>
      <c r="B32" s="734"/>
      <c r="C32" s="734"/>
      <c r="D32" s="735" t="s">
        <v>362</v>
      </c>
      <c r="E32" s="849"/>
      <c r="F32" s="746"/>
      <c r="G32" s="849">
        <v>0</v>
      </c>
      <c r="H32" s="747"/>
      <c r="I32" s="735">
        <v>11.5</v>
      </c>
      <c r="J32" s="748">
        <f t="shared" ref="J32:J43" si="0">+I32*E32</f>
        <v>0</v>
      </c>
      <c r="K32" s="748">
        <f>+I32*F32</f>
        <v>0</v>
      </c>
      <c r="L32" s="748">
        <f t="shared" ref="L32:L44" si="1">+I32*G32</f>
        <v>0</v>
      </c>
      <c r="M32" s="748">
        <f t="shared" ref="M32:M44" si="2">+I32*H32</f>
        <v>0</v>
      </c>
      <c r="N32" s="743">
        <f t="shared" ref="N32:N41" si="3">+J32/12</f>
        <v>0</v>
      </c>
      <c r="O32" s="743">
        <f t="shared" ref="O32:O39" si="4">+K32/12</f>
        <v>0</v>
      </c>
      <c r="P32" s="743">
        <f t="shared" ref="P32:P39" si="5">+L32/12</f>
        <v>0</v>
      </c>
      <c r="Q32" s="743">
        <f t="shared" ref="Q32:Q39" si="6">+M32/12</f>
        <v>0</v>
      </c>
      <c r="R32" s="735"/>
      <c r="S32" s="735"/>
      <c r="T32" s="735"/>
      <c r="U32" s="735"/>
      <c r="V32" s="735"/>
      <c r="W32" s="735"/>
      <c r="X32" s="735"/>
      <c r="Y32" s="735"/>
      <c r="Z32" s="735"/>
      <c r="AA32" s="735"/>
      <c r="AB32" s="735"/>
      <c r="AC32" s="736"/>
    </row>
    <row r="33" spans="1:29" ht="13.5">
      <c r="A33" s="734"/>
      <c r="B33" s="734"/>
      <c r="C33" s="734"/>
      <c r="D33" s="735" t="s">
        <v>363</v>
      </c>
      <c r="E33" s="849"/>
      <c r="F33" s="746"/>
      <c r="G33" s="849"/>
      <c r="H33" s="747"/>
      <c r="I33" s="735">
        <f t="shared" ref="I33:I43" si="7">+I32-1</f>
        <v>10.5</v>
      </c>
      <c r="J33" s="748">
        <f t="shared" si="0"/>
        <v>0</v>
      </c>
      <c r="K33" s="748">
        <f t="shared" ref="K33:K43" si="8">+I33*F33</f>
        <v>0</v>
      </c>
      <c r="L33" s="748">
        <f t="shared" si="1"/>
        <v>0</v>
      </c>
      <c r="M33" s="748">
        <f t="shared" si="2"/>
        <v>0</v>
      </c>
      <c r="N33" s="743">
        <f t="shared" si="3"/>
        <v>0</v>
      </c>
      <c r="O33" s="743">
        <f t="shared" si="4"/>
        <v>0</v>
      </c>
      <c r="P33" s="743">
        <f t="shared" si="5"/>
        <v>0</v>
      </c>
      <c r="Q33" s="743">
        <f t="shared" si="6"/>
        <v>0</v>
      </c>
      <c r="R33" s="735"/>
      <c r="S33" s="735"/>
      <c r="T33" s="735"/>
      <c r="U33" s="735"/>
      <c r="V33" s="735"/>
      <c r="W33" s="735"/>
      <c r="X33" s="735"/>
      <c r="Y33" s="735"/>
      <c r="Z33" s="735"/>
      <c r="AA33" s="735"/>
      <c r="AB33" s="735"/>
      <c r="AC33" s="736"/>
    </row>
    <row r="34" spans="1:29" ht="13.5">
      <c r="A34" s="734"/>
      <c r="B34" s="734"/>
      <c r="C34" s="734"/>
      <c r="D34" s="735" t="s">
        <v>364</v>
      </c>
      <c r="E34" s="849"/>
      <c r="F34" s="746"/>
      <c r="G34" s="849">
        <v>0</v>
      </c>
      <c r="H34" s="747"/>
      <c r="I34" s="735">
        <f t="shared" si="7"/>
        <v>9.5</v>
      </c>
      <c r="J34" s="748">
        <f t="shared" si="0"/>
        <v>0</v>
      </c>
      <c r="K34" s="748">
        <f t="shared" si="8"/>
        <v>0</v>
      </c>
      <c r="L34" s="748">
        <f t="shared" si="1"/>
        <v>0</v>
      </c>
      <c r="M34" s="748">
        <f t="shared" si="2"/>
        <v>0</v>
      </c>
      <c r="N34" s="743">
        <f t="shared" si="3"/>
        <v>0</v>
      </c>
      <c r="O34" s="743">
        <f t="shared" si="4"/>
        <v>0</v>
      </c>
      <c r="P34" s="743">
        <f t="shared" si="5"/>
        <v>0</v>
      </c>
      <c r="Q34" s="743">
        <f t="shared" si="6"/>
        <v>0</v>
      </c>
      <c r="R34" s="735"/>
      <c r="S34" s="735"/>
      <c r="T34" s="735"/>
      <c r="U34" s="735"/>
      <c r="V34" s="735"/>
      <c r="W34" s="735"/>
      <c r="X34" s="735"/>
      <c r="Y34" s="735"/>
      <c r="Z34" s="735"/>
      <c r="AA34" s="735"/>
      <c r="AB34" s="735"/>
      <c r="AC34" s="736"/>
    </row>
    <row r="35" spans="1:29" ht="13.5">
      <c r="A35" s="734"/>
      <c r="B35" s="734"/>
      <c r="C35" s="734"/>
      <c r="D35" s="735" t="s">
        <v>365</v>
      </c>
      <c r="E35" s="849"/>
      <c r="F35" s="746"/>
      <c r="G35" s="849"/>
      <c r="H35" s="747"/>
      <c r="I35" s="735">
        <f t="shared" si="7"/>
        <v>8.5</v>
      </c>
      <c r="J35" s="748">
        <f t="shared" si="0"/>
        <v>0</v>
      </c>
      <c r="K35" s="748">
        <f t="shared" si="8"/>
        <v>0</v>
      </c>
      <c r="L35" s="748">
        <f t="shared" si="1"/>
        <v>0</v>
      </c>
      <c r="M35" s="748">
        <f t="shared" si="2"/>
        <v>0</v>
      </c>
      <c r="N35" s="743">
        <f t="shared" si="3"/>
        <v>0</v>
      </c>
      <c r="O35" s="743">
        <f t="shared" si="4"/>
        <v>0</v>
      </c>
      <c r="P35" s="743">
        <f t="shared" si="5"/>
        <v>0</v>
      </c>
      <c r="Q35" s="743">
        <f t="shared" si="6"/>
        <v>0</v>
      </c>
      <c r="R35" s="735"/>
      <c r="S35" s="735"/>
      <c r="T35" s="735"/>
      <c r="U35" s="735"/>
      <c r="V35" s="735"/>
      <c r="W35" s="735"/>
      <c r="X35" s="735"/>
      <c r="Y35" s="735"/>
      <c r="Z35" s="735"/>
      <c r="AA35" s="735"/>
      <c r="AB35" s="735"/>
      <c r="AC35" s="736"/>
    </row>
    <row r="36" spans="1:29" ht="13.5">
      <c r="A36" s="734"/>
      <c r="B36" s="734"/>
      <c r="C36" s="734"/>
      <c r="D36" s="735" t="s">
        <v>359</v>
      </c>
      <c r="E36" s="849">
        <v>55956082.460000008</v>
      </c>
      <c r="F36" s="746"/>
      <c r="G36" s="849"/>
      <c r="H36" s="747"/>
      <c r="I36" s="735">
        <f t="shared" si="7"/>
        <v>7.5</v>
      </c>
      <c r="J36" s="748">
        <f t="shared" si="0"/>
        <v>419670618.45000005</v>
      </c>
      <c r="K36" s="748">
        <f t="shared" si="8"/>
        <v>0</v>
      </c>
      <c r="L36" s="748">
        <f t="shared" si="1"/>
        <v>0</v>
      </c>
      <c r="M36" s="748">
        <f t="shared" si="2"/>
        <v>0</v>
      </c>
      <c r="N36" s="743">
        <f t="shared" si="3"/>
        <v>34972551.537500001</v>
      </c>
      <c r="O36" s="743">
        <f t="shared" si="4"/>
        <v>0</v>
      </c>
      <c r="P36" s="743">
        <f t="shared" si="5"/>
        <v>0</v>
      </c>
      <c r="Q36" s="743">
        <f t="shared" si="6"/>
        <v>0</v>
      </c>
      <c r="R36" s="735"/>
      <c r="S36" s="735"/>
      <c r="T36" s="735"/>
      <c r="U36" s="735"/>
      <c r="V36" s="735"/>
      <c r="W36" s="735"/>
      <c r="X36" s="735"/>
      <c r="Y36" s="735"/>
      <c r="Z36" s="735"/>
      <c r="AA36" s="735"/>
      <c r="AB36" s="735"/>
      <c r="AC36" s="736"/>
    </row>
    <row r="37" spans="1:29" ht="13.5">
      <c r="A37" s="734"/>
      <c r="B37" s="734"/>
      <c r="C37" s="734"/>
      <c r="D37" s="735" t="s">
        <v>366</v>
      </c>
      <c r="E37" s="849"/>
      <c r="F37" s="746"/>
      <c r="G37" s="849"/>
      <c r="H37" s="747"/>
      <c r="I37" s="735">
        <f t="shared" si="7"/>
        <v>6.5</v>
      </c>
      <c r="J37" s="748">
        <f t="shared" si="0"/>
        <v>0</v>
      </c>
      <c r="K37" s="748">
        <f t="shared" si="8"/>
        <v>0</v>
      </c>
      <c r="L37" s="748">
        <f t="shared" si="1"/>
        <v>0</v>
      </c>
      <c r="M37" s="748">
        <f t="shared" si="2"/>
        <v>0</v>
      </c>
      <c r="N37" s="743">
        <f t="shared" si="3"/>
        <v>0</v>
      </c>
      <c r="O37" s="743">
        <f t="shared" si="4"/>
        <v>0</v>
      </c>
      <c r="P37" s="743">
        <f t="shared" si="5"/>
        <v>0</v>
      </c>
      <c r="Q37" s="743">
        <f t="shared" si="6"/>
        <v>0</v>
      </c>
      <c r="R37" s="735"/>
      <c r="S37" s="735"/>
      <c r="T37" s="735"/>
      <c r="U37" s="735"/>
      <c r="V37" s="735"/>
      <c r="W37" s="735"/>
      <c r="X37" s="735"/>
      <c r="Y37" s="735"/>
      <c r="Z37" s="735"/>
      <c r="AA37" s="735"/>
      <c r="AB37" s="735"/>
      <c r="AC37" s="736"/>
    </row>
    <row r="38" spans="1:29" ht="13.5">
      <c r="A38" s="734"/>
      <c r="B38" s="734"/>
      <c r="C38" s="734"/>
      <c r="D38" s="735" t="s">
        <v>367</v>
      </c>
      <c r="E38" s="849"/>
      <c r="F38" s="746"/>
      <c r="G38" s="849"/>
      <c r="H38" s="747"/>
      <c r="I38" s="735">
        <f t="shared" si="7"/>
        <v>5.5</v>
      </c>
      <c r="J38" s="748">
        <f t="shared" si="0"/>
        <v>0</v>
      </c>
      <c r="K38" s="748">
        <f t="shared" si="8"/>
        <v>0</v>
      </c>
      <c r="L38" s="748">
        <f t="shared" si="1"/>
        <v>0</v>
      </c>
      <c r="M38" s="748">
        <f t="shared" si="2"/>
        <v>0</v>
      </c>
      <c r="N38" s="743">
        <f t="shared" si="3"/>
        <v>0</v>
      </c>
      <c r="O38" s="743">
        <f t="shared" si="4"/>
        <v>0</v>
      </c>
      <c r="P38" s="743">
        <f t="shared" si="5"/>
        <v>0</v>
      </c>
      <c r="Q38" s="743">
        <f t="shared" si="6"/>
        <v>0</v>
      </c>
      <c r="R38" s="735"/>
      <c r="S38" s="735"/>
      <c r="T38" s="735"/>
      <c r="U38" s="735"/>
      <c r="V38" s="735"/>
      <c r="W38" s="735"/>
      <c r="X38" s="735"/>
      <c r="Y38" s="735"/>
      <c r="Z38" s="735"/>
      <c r="AA38" s="735"/>
      <c r="AB38" s="735"/>
      <c r="AC38" s="736"/>
    </row>
    <row r="39" spans="1:29" ht="13.5">
      <c r="A39" s="734"/>
      <c r="B39" s="734"/>
      <c r="C39" s="734"/>
      <c r="D39" s="735" t="s">
        <v>368</v>
      </c>
      <c r="E39" s="849"/>
      <c r="F39" s="746"/>
      <c r="G39" s="849"/>
      <c r="H39" s="747"/>
      <c r="I39" s="735">
        <f t="shared" si="7"/>
        <v>4.5</v>
      </c>
      <c r="J39" s="748">
        <f t="shared" si="0"/>
        <v>0</v>
      </c>
      <c r="K39" s="748">
        <f t="shared" si="8"/>
        <v>0</v>
      </c>
      <c r="L39" s="748">
        <f t="shared" si="1"/>
        <v>0</v>
      </c>
      <c r="M39" s="748">
        <f t="shared" si="2"/>
        <v>0</v>
      </c>
      <c r="N39" s="743">
        <f t="shared" si="3"/>
        <v>0</v>
      </c>
      <c r="O39" s="743">
        <f t="shared" si="4"/>
        <v>0</v>
      </c>
      <c r="P39" s="743">
        <f t="shared" si="5"/>
        <v>0</v>
      </c>
      <c r="Q39" s="743">
        <f t="shared" si="6"/>
        <v>0</v>
      </c>
      <c r="R39" s="735"/>
      <c r="S39" s="735"/>
      <c r="T39" s="735"/>
      <c r="U39" s="735"/>
      <c r="V39" s="735"/>
      <c r="W39" s="735"/>
      <c r="X39" s="735"/>
      <c r="Y39" s="735"/>
      <c r="Z39" s="735"/>
      <c r="AA39" s="735"/>
      <c r="AB39" s="735"/>
      <c r="AC39" s="736"/>
    </row>
    <row r="40" spans="1:29" ht="13.5">
      <c r="A40" s="734"/>
      <c r="B40" s="734"/>
      <c r="C40" s="734"/>
      <c r="D40" s="735" t="s">
        <v>369</v>
      </c>
      <c r="E40" s="849"/>
      <c r="F40" s="746"/>
      <c r="G40" s="849"/>
      <c r="H40" s="747"/>
      <c r="I40" s="735">
        <f t="shared" si="7"/>
        <v>3.5</v>
      </c>
      <c r="J40" s="748">
        <f t="shared" si="0"/>
        <v>0</v>
      </c>
      <c r="K40" s="748">
        <f t="shared" si="8"/>
        <v>0</v>
      </c>
      <c r="L40" s="748">
        <f t="shared" si="1"/>
        <v>0</v>
      </c>
      <c r="M40" s="748">
        <f t="shared" si="2"/>
        <v>0</v>
      </c>
      <c r="N40" s="743">
        <f t="shared" si="3"/>
        <v>0</v>
      </c>
      <c r="O40" s="743">
        <f t="shared" ref="O40:Q41" si="9">+K40/12</f>
        <v>0</v>
      </c>
      <c r="P40" s="743">
        <f t="shared" si="9"/>
        <v>0</v>
      </c>
      <c r="Q40" s="743">
        <f t="shared" si="9"/>
        <v>0</v>
      </c>
      <c r="R40" s="735"/>
      <c r="S40" s="735"/>
      <c r="T40" s="735"/>
      <c r="U40" s="735"/>
      <c r="V40" s="735"/>
      <c r="W40" s="735"/>
      <c r="X40" s="735"/>
      <c r="Y40" s="735"/>
      <c r="Z40" s="735"/>
      <c r="AA40" s="735"/>
      <c r="AB40" s="735"/>
      <c r="AC40" s="736"/>
    </row>
    <row r="41" spans="1:29" ht="13.5">
      <c r="A41" s="734"/>
      <c r="B41" s="734"/>
      <c r="C41" s="734"/>
      <c r="D41" s="735" t="s">
        <v>370</v>
      </c>
      <c r="E41" s="849"/>
      <c r="F41" s="746"/>
      <c r="G41" s="849"/>
      <c r="H41" s="747"/>
      <c r="I41" s="735">
        <f t="shared" si="7"/>
        <v>2.5</v>
      </c>
      <c r="J41" s="748">
        <f t="shared" si="0"/>
        <v>0</v>
      </c>
      <c r="K41" s="748">
        <f t="shared" si="8"/>
        <v>0</v>
      </c>
      <c r="L41" s="748">
        <f t="shared" si="1"/>
        <v>0</v>
      </c>
      <c r="M41" s="748">
        <f t="shared" si="2"/>
        <v>0</v>
      </c>
      <c r="N41" s="743">
        <f t="shared" si="3"/>
        <v>0</v>
      </c>
      <c r="O41" s="743">
        <f t="shared" si="9"/>
        <v>0</v>
      </c>
      <c r="P41" s="743">
        <f t="shared" si="9"/>
        <v>0</v>
      </c>
      <c r="Q41" s="743">
        <f t="shared" si="9"/>
        <v>0</v>
      </c>
      <c r="R41" s="735"/>
      <c r="S41" s="735"/>
      <c r="T41" s="735"/>
      <c r="U41" s="735"/>
      <c r="V41" s="735"/>
      <c r="W41" s="735"/>
      <c r="X41" s="735"/>
      <c r="Y41" s="735"/>
      <c r="Z41" s="735"/>
      <c r="AA41" s="735"/>
      <c r="AB41" s="735"/>
      <c r="AC41" s="736"/>
    </row>
    <row r="42" spans="1:29" ht="13.5">
      <c r="A42" s="734"/>
      <c r="B42" s="734"/>
      <c r="C42" s="734"/>
      <c r="D42" s="735" t="s">
        <v>371</v>
      </c>
      <c r="E42" s="849"/>
      <c r="F42" s="746"/>
      <c r="G42" s="849"/>
      <c r="H42" s="747"/>
      <c r="I42" s="735">
        <f t="shared" si="7"/>
        <v>1.5</v>
      </c>
      <c r="J42" s="748">
        <f t="shared" si="0"/>
        <v>0</v>
      </c>
      <c r="K42" s="748">
        <f t="shared" si="8"/>
        <v>0</v>
      </c>
      <c r="L42" s="748">
        <f t="shared" si="1"/>
        <v>0</v>
      </c>
      <c r="M42" s="748">
        <f t="shared" si="2"/>
        <v>0</v>
      </c>
      <c r="N42" s="743">
        <f t="shared" ref="N42:Q43" si="10">+J42/12</f>
        <v>0</v>
      </c>
      <c r="O42" s="743">
        <f t="shared" si="10"/>
        <v>0</v>
      </c>
      <c r="P42" s="743">
        <f t="shared" si="10"/>
        <v>0</v>
      </c>
      <c r="Q42" s="743">
        <f t="shared" si="10"/>
        <v>0</v>
      </c>
      <c r="R42" s="735"/>
      <c r="S42" s="735"/>
      <c r="T42" s="735"/>
      <c r="U42" s="735"/>
      <c r="V42" s="735"/>
      <c r="W42" s="735"/>
      <c r="X42" s="735"/>
      <c r="Y42" s="735"/>
      <c r="Z42" s="735"/>
      <c r="AA42" s="735"/>
      <c r="AB42" s="735"/>
      <c r="AC42" s="736"/>
    </row>
    <row r="43" spans="1:29" ht="13.5">
      <c r="A43" s="734"/>
      <c r="B43" s="734"/>
      <c r="D43" s="735" t="s">
        <v>372</v>
      </c>
      <c r="E43" s="849">
        <v>0</v>
      </c>
      <c r="F43" s="746"/>
      <c r="G43" s="849"/>
      <c r="H43" s="747"/>
      <c r="I43" s="735">
        <f t="shared" si="7"/>
        <v>0.5</v>
      </c>
      <c r="J43" s="748">
        <f t="shared" si="0"/>
        <v>0</v>
      </c>
      <c r="K43" s="748">
        <f t="shared" si="8"/>
        <v>0</v>
      </c>
      <c r="L43" s="748">
        <f t="shared" si="1"/>
        <v>0</v>
      </c>
      <c r="M43" s="748">
        <f t="shared" si="2"/>
        <v>0</v>
      </c>
      <c r="N43" s="743">
        <f t="shared" si="10"/>
        <v>0</v>
      </c>
      <c r="O43" s="743">
        <f t="shared" si="10"/>
        <v>0</v>
      </c>
      <c r="P43" s="743">
        <f t="shared" si="10"/>
        <v>0</v>
      </c>
      <c r="Q43" s="743">
        <f t="shared" si="10"/>
        <v>0</v>
      </c>
      <c r="R43" s="735"/>
      <c r="S43" s="735"/>
      <c r="T43" s="735"/>
      <c r="U43" s="735"/>
      <c r="V43" s="735"/>
      <c r="W43" s="735"/>
      <c r="X43" s="735"/>
      <c r="Y43" s="735"/>
      <c r="Z43" s="735"/>
      <c r="AA43" s="735"/>
      <c r="AB43" s="735"/>
      <c r="AC43" s="736"/>
    </row>
    <row r="44" spans="1:29" ht="13.5">
      <c r="A44" s="734"/>
      <c r="B44" s="734"/>
      <c r="C44" s="735"/>
      <c r="D44" s="735" t="s">
        <v>181</v>
      </c>
      <c r="E44" s="748">
        <f>SUM(E32:E43)</f>
        <v>55956082.460000008</v>
      </c>
      <c r="F44" s="748">
        <f>SUM(F32:F43)</f>
        <v>0</v>
      </c>
      <c r="G44" s="748">
        <f>SUM(G32:G43)</f>
        <v>0</v>
      </c>
      <c r="H44" s="748">
        <f>SUM(H32:H43)</f>
        <v>0</v>
      </c>
      <c r="I44" s="735"/>
      <c r="J44" s="748">
        <f>SUM(J32:J43)</f>
        <v>419670618.45000005</v>
      </c>
      <c r="K44" s="748">
        <f>SUM(K32:K43)</f>
        <v>0</v>
      </c>
      <c r="L44" s="748">
        <f t="shared" si="1"/>
        <v>0</v>
      </c>
      <c r="M44" s="748">
        <f t="shared" si="2"/>
        <v>0</v>
      </c>
      <c r="N44" s="743">
        <f>SUM(N32:N43)</f>
        <v>34972551.537500001</v>
      </c>
      <c r="O44" s="743">
        <f>SUM(O32:O43)</f>
        <v>0</v>
      </c>
      <c r="P44" s="743">
        <f>SUM(P32:P43)</f>
        <v>0</v>
      </c>
      <c r="Q44" s="743">
        <f>SUM(Q32:Q43)</f>
        <v>0</v>
      </c>
      <c r="R44" s="735"/>
      <c r="S44" s="735"/>
      <c r="T44" s="735"/>
      <c r="U44" s="735"/>
      <c r="V44" s="735"/>
      <c r="W44" s="735"/>
      <c r="X44" s="735"/>
      <c r="Y44" s="735"/>
      <c r="Z44" s="735"/>
      <c r="AA44" s="735"/>
      <c r="AB44" s="735"/>
      <c r="AC44" s="736"/>
    </row>
    <row r="45" spans="1:29" ht="13.5">
      <c r="A45" s="734"/>
      <c r="B45" s="734"/>
      <c r="C45" s="735"/>
      <c r="D45" s="735" t="s">
        <v>679</v>
      </c>
      <c r="E45" s="735"/>
      <c r="G45" s="735"/>
      <c r="H45" s="735"/>
      <c r="I45" s="735"/>
      <c r="J45" s="735"/>
      <c r="N45" s="749">
        <f>+N44</f>
        <v>34972551.537500001</v>
      </c>
      <c r="O45" s="749">
        <f>+O44</f>
        <v>0</v>
      </c>
      <c r="P45" s="749">
        <f>+P44</f>
        <v>0</v>
      </c>
      <c r="Q45" s="749">
        <f>+Q44</f>
        <v>0</v>
      </c>
      <c r="R45" s="735"/>
      <c r="S45" s="735"/>
      <c r="T45" s="735"/>
      <c r="U45" s="735"/>
      <c r="V45" s="735"/>
      <c r="W45" s="735"/>
      <c r="X45" s="735"/>
      <c r="Y45" s="735"/>
      <c r="Z45" s="735"/>
      <c r="AA45" s="735"/>
      <c r="AB45" s="735"/>
      <c r="AC45" s="736"/>
    </row>
    <row r="46" spans="1:29" ht="13.5">
      <c r="A46" s="734"/>
      <c r="B46" s="734"/>
      <c r="C46" s="735"/>
      <c r="D46" s="735"/>
      <c r="E46" s="735"/>
      <c r="I46" s="735"/>
      <c r="J46" s="735"/>
      <c r="L46" s="749" t="s">
        <v>680</v>
      </c>
      <c r="M46" s="735"/>
      <c r="N46" s="748">
        <f>+N45</f>
        <v>34972551.537500001</v>
      </c>
      <c r="O46" s="748">
        <f>+O45</f>
        <v>0</v>
      </c>
      <c r="P46" s="735"/>
      <c r="Q46" s="748">
        <f>+Q45</f>
        <v>0</v>
      </c>
      <c r="R46" s="748">
        <f>+N46+Q46</f>
        <v>34972551.537500001</v>
      </c>
      <c r="S46" s="735"/>
      <c r="T46" s="735"/>
      <c r="U46" s="735"/>
      <c r="V46" s="735"/>
      <c r="W46" s="735"/>
      <c r="X46" s="735"/>
      <c r="Y46" s="735"/>
      <c r="Z46" s="735"/>
      <c r="AA46" s="735"/>
      <c r="AB46" s="735"/>
      <c r="AC46" s="736"/>
    </row>
    <row r="47" spans="1:29" ht="13.5">
      <c r="A47" s="734"/>
      <c r="B47" s="734"/>
      <c r="C47" s="734"/>
      <c r="D47" s="735"/>
      <c r="E47" s="735"/>
      <c r="G47" s="735"/>
      <c r="H47" s="735"/>
      <c r="I47" s="748"/>
      <c r="J47" s="735"/>
      <c r="L47" s="735" t="s">
        <v>681</v>
      </c>
      <c r="M47" s="735"/>
      <c r="N47" s="735"/>
      <c r="O47" s="735"/>
      <c r="P47" s="748">
        <f>+P45</f>
        <v>0</v>
      </c>
      <c r="Q47" s="735"/>
      <c r="R47" s="748">
        <f>+P47</f>
        <v>0</v>
      </c>
      <c r="S47" s="735"/>
      <c r="T47" s="735"/>
      <c r="U47" s="735"/>
      <c r="V47" s="735"/>
      <c r="W47" s="735"/>
      <c r="X47" s="735"/>
      <c r="Y47" s="735"/>
      <c r="Z47" s="735"/>
      <c r="AA47" s="735"/>
      <c r="AB47" s="735"/>
      <c r="AC47" s="736"/>
    </row>
    <row r="48" spans="1:29" ht="13.5">
      <c r="A48" s="734"/>
      <c r="B48" s="734"/>
      <c r="C48" s="734"/>
      <c r="D48" s="735"/>
      <c r="E48" s="735"/>
      <c r="G48" s="735"/>
      <c r="H48" s="735"/>
      <c r="I48" s="748"/>
      <c r="J48" s="735"/>
      <c r="L48" s="735" t="s">
        <v>682</v>
      </c>
      <c r="M48" s="735"/>
      <c r="N48" s="750">
        <f>12-N46/E44*12</f>
        <v>4.5000000000000018</v>
      </c>
      <c r="O48" s="750" t="e">
        <f>12-O46/F44*12</f>
        <v>#DIV/0!</v>
      </c>
      <c r="P48" s="750" t="e">
        <f>12-P45/G44*12</f>
        <v>#DIV/0!</v>
      </c>
      <c r="Q48" s="750" t="e">
        <f>12-Q46/H44*12</f>
        <v>#DIV/0!</v>
      </c>
      <c r="R48" s="748"/>
      <c r="S48" s="735"/>
      <c r="T48" s="735"/>
      <c r="U48" s="735"/>
      <c r="V48" s="735"/>
      <c r="W48" s="735"/>
      <c r="X48" s="735"/>
      <c r="Y48" s="735"/>
      <c r="Z48" s="735"/>
      <c r="AA48" s="735"/>
      <c r="AB48" s="735"/>
      <c r="AC48" s="736"/>
    </row>
    <row r="49" spans="1:29" ht="13.5">
      <c r="A49" s="734">
        <v>3</v>
      </c>
      <c r="B49" s="734" t="str">
        <f>+B27</f>
        <v>April</v>
      </c>
      <c r="C49" s="734" t="str">
        <f>+C27</f>
        <v>Year 2</v>
      </c>
      <c r="D49" s="739" t="str">
        <f>+D11</f>
        <v>TO adds weighted Cap Adds to plant in service in Formula</v>
      </c>
      <c r="E49" s="735"/>
      <c r="F49" s="735"/>
      <c r="G49" s="735"/>
      <c r="H49" s="735"/>
      <c r="I49" s="735"/>
      <c r="J49" s="735"/>
      <c r="K49" s="735"/>
      <c r="L49" s="748"/>
      <c r="M49" s="735"/>
      <c r="N49" s="735"/>
      <c r="O49" s="735"/>
      <c r="P49" s="735"/>
      <c r="Q49" s="735"/>
      <c r="R49" s="735"/>
      <c r="S49" s="735"/>
      <c r="T49" s="735"/>
      <c r="U49" s="735"/>
      <c r="V49" s="735"/>
      <c r="W49" s="735"/>
      <c r="X49" s="735"/>
      <c r="Y49" s="735"/>
      <c r="Z49" s="735"/>
      <c r="AA49" s="735"/>
      <c r="AB49" s="735"/>
      <c r="AC49" s="736"/>
    </row>
    <row r="50" spans="1:29" ht="13.5">
      <c r="A50" s="734"/>
      <c r="B50" s="734"/>
      <c r="C50" s="734"/>
      <c r="D50" s="751">
        <f>N45</f>
        <v>34972551.537500001</v>
      </c>
      <c r="E50" s="735" t="s">
        <v>619</v>
      </c>
      <c r="F50" s="748"/>
      <c r="G50" s="734"/>
      <c r="H50" s="748"/>
      <c r="I50" s="735"/>
      <c r="J50" s="735"/>
      <c r="K50" s="735"/>
      <c r="L50" s="748"/>
      <c r="M50" s="735"/>
      <c r="N50" s="735"/>
      <c r="O50" s="735"/>
      <c r="P50" s="735"/>
      <c r="Q50" s="735"/>
      <c r="R50" s="735"/>
      <c r="S50" s="735"/>
      <c r="T50" s="735"/>
      <c r="U50" s="735"/>
      <c r="V50" s="735"/>
      <c r="W50" s="735"/>
      <c r="X50" s="735"/>
      <c r="Y50" s="735"/>
      <c r="Z50" s="735"/>
      <c r="AA50" s="735"/>
      <c r="AB50" s="735"/>
      <c r="AC50" s="736"/>
    </row>
    <row r="51" spans="1:29" ht="13.5">
      <c r="A51" s="734"/>
      <c r="B51" s="734"/>
      <c r="C51" s="734"/>
      <c r="D51" s="751"/>
      <c r="E51" s="734"/>
      <c r="F51" s="748"/>
      <c r="G51" s="734"/>
      <c r="H51" s="748"/>
      <c r="I51" s="735"/>
      <c r="J51" s="735"/>
      <c r="K51" s="735"/>
      <c r="L51" s="735"/>
      <c r="M51" s="735"/>
      <c r="N51" s="735"/>
      <c r="O51" s="735"/>
      <c r="P51" s="735"/>
      <c r="Q51" s="735"/>
      <c r="R51" s="735"/>
      <c r="S51" s="735"/>
      <c r="T51" s="735"/>
      <c r="U51" s="735"/>
      <c r="V51" s="735"/>
      <c r="W51" s="735"/>
      <c r="X51" s="735"/>
      <c r="Y51" s="735"/>
      <c r="Z51" s="735"/>
      <c r="AA51" s="735"/>
      <c r="AB51" s="735"/>
      <c r="AC51" s="736"/>
    </row>
    <row r="52" spans="1:29" ht="13.5">
      <c r="A52" s="734">
        <v>4</v>
      </c>
      <c r="B52" s="734" t="str">
        <f>+B12</f>
        <v>May</v>
      </c>
      <c r="C52" s="734" t="str">
        <f>+C49</f>
        <v>Year 2</v>
      </c>
      <c r="D52" s="735" t="str">
        <f>+D12</f>
        <v>Post results of Step 3 on PJM web site</v>
      </c>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6"/>
    </row>
    <row r="53" spans="1:29" ht="13.5">
      <c r="A53" s="734"/>
      <c r="B53" s="734"/>
      <c r="C53" s="734"/>
      <c r="D53" s="843">
        <v>132037000.36826676</v>
      </c>
      <c r="F53" s="751"/>
      <c r="G53" s="744" t="s">
        <v>683</v>
      </c>
      <c r="H53" s="735"/>
      <c r="I53" s="735"/>
      <c r="J53" s="735"/>
      <c r="K53" s="735"/>
      <c r="L53" s="735"/>
      <c r="M53" s="735"/>
      <c r="N53" s="735"/>
      <c r="O53" s="735"/>
      <c r="P53" s="735"/>
      <c r="Q53" s="735"/>
      <c r="R53" s="735"/>
      <c r="S53" s="735"/>
      <c r="T53" s="735"/>
      <c r="U53" s="735"/>
      <c r="V53" s="735"/>
      <c r="W53" s="735"/>
      <c r="X53" s="735"/>
      <c r="Y53" s="735"/>
      <c r="Z53" s="735"/>
      <c r="AA53" s="735"/>
      <c r="AB53" s="735"/>
      <c r="AC53" s="736"/>
    </row>
    <row r="54" spans="1:29" ht="13.5">
      <c r="A54" s="734"/>
      <c r="B54" s="734"/>
      <c r="C54" s="734"/>
      <c r="D54" s="752"/>
      <c r="E54" s="735"/>
      <c r="F54" s="735"/>
      <c r="G54" s="735"/>
      <c r="H54" s="735"/>
      <c r="I54" s="735"/>
      <c r="J54" s="735"/>
      <c r="K54" s="735"/>
      <c r="L54" s="735"/>
      <c r="M54" s="735"/>
      <c r="N54" s="735"/>
      <c r="O54" s="735"/>
      <c r="P54" s="735"/>
      <c r="Q54" s="735"/>
      <c r="R54" s="735"/>
      <c r="S54" s="735"/>
      <c r="T54" s="735"/>
      <c r="U54" s="735"/>
      <c r="V54" s="735"/>
      <c r="W54" s="735"/>
      <c r="X54" s="735"/>
      <c r="Y54" s="735"/>
      <c r="Z54" s="735"/>
      <c r="AA54" s="735"/>
      <c r="AB54" s="735"/>
      <c r="AC54" s="736"/>
    </row>
    <row r="55" spans="1:29" ht="13.5">
      <c r="A55" s="734">
        <f>+A13</f>
        <v>5</v>
      </c>
      <c r="B55" s="734" t="str">
        <f>+B13</f>
        <v>June</v>
      </c>
      <c r="C55" s="734" t="str">
        <f>+C13</f>
        <v>Year 2</v>
      </c>
      <c r="D55" s="739" t="str">
        <f>+D13</f>
        <v>Results of Step 3 go into effect for the Rate Year 1 (e.g., June 1, 2005 - May 31, 2006)</v>
      </c>
      <c r="E55" s="735"/>
      <c r="F55" s="735"/>
      <c r="G55" s="735"/>
      <c r="H55" s="735"/>
      <c r="I55" s="735"/>
      <c r="J55" s="735"/>
      <c r="K55" s="735"/>
      <c r="L55" s="735"/>
      <c r="M55" s="735"/>
      <c r="N55" s="735"/>
      <c r="O55" s="735"/>
      <c r="P55" s="735"/>
      <c r="Q55" s="735"/>
      <c r="R55" s="735"/>
      <c r="S55" s="735"/>
      <c r="T55" s="735"/>
      <c r="U55" s="735"/>
      <c r="V55" s="735"/>
      <c r="W55" s="735"/>
      <c r="X55" s="735"/>
      <c r="Y55" s="735"/>
      <c r="Z55" s="735"/>
      <c r="AA55" s="735"/>
      <c r="AB55" s="735"/>
      <c r="AC55" s="736"/>
    </row>
    <row r="56" spans="1:29" ht="13.5">
      <c r="A56" s="734"/>
      <c r="B56" s="734"/>
      <c r="C56" s="734"/>
      <c r="D56" s="751">
        <f>+D53</f>
        <v>132037000.36826676</v>
      </c>
      <c r="E56" s="735"/>
      <c r="F56" s="735"/>
      <c r="G56" s="735"/>
      <c r="H56" s="735"/>
      <c r="I56" s="735"/>
      <c r="J56" s="735"/>
      <c r="K56" s="735"/>
      <c r="L56" s="735"/>
      <c r="M56" s="735"/>
      <c r="N56" s="735"/>
      <c r="O56" s="735"/>
      <c r="P56" s="735"/>
      <c r="Q56" s="735"/>
      <c r="R56" s="735"/>
      <c r="S56" s="735"/>
      <c r="T56" s="735"/>
      <c r="U56" s="735"/>
      <c r="V56" s="735"/>
      <c r="W56" s="735"/>
      <c r="X56" s="735"/>
      <c r="Y56" s="735"/>
      <c r="Z56" s="735"/>
      <c r="AA56" s="735"/>
      <c r="AB56" s="735"/>
      <c r="AC56" s="736"/>
    </row>
    <row r="57" spans="1:29" ht="13.5">
      <c r="A57" s="753"/>
      <c r="B57" s="753"/>
      <c r="C57" s="753"/>
      <c r="D57" s="754"/>
      <c r="E57" s="754"/>
      <c r="F57" s="754"/>
      <c r="G57" s="754"/>
      <c r="H57" s="754"/>
      <c r="I57" s="754"/>
      <c r="J57" s="754"/>
      <c r="K57" s="754"/>
      <c r="L57" s="735"/>
      <c r="M57" s="735"/>
      <c r="N57" s="735"/>
      <c r="O57" s="735"/>
      <c r="P57" s="735"/>
      <c r="Q57" s="735"/>
      <c r="R57" s="735"/>
      <c r="S57" s="735"/>
      <c r="T57" s="735"/>
      <c r="U57" s="735"/>
      <c r="V57" s="735"/>
      <c r="W57" s="735"/>
      <c r="X57" s="735"/>
      <c r="Y57" s="735"/>
      <c r="Z57" s="735"/>
      <c r="AA57" s="735"/>
      <c r="AB57" s="735"/>
      <c r="AC57" s="736"/>
    </row>
    <row r="58" spans="1:29" ht="15.75">
      <c r="A58" s="753"/>
      <c r="B58" s="753"/>
      <c r="C58" s="753"/>
      <c r="D58" s="754"/>
      <c r="E58" s="754"/>
      <c r="F58" s="754"/>
      <c r="G58" s="754"/>
      <c r="H58" s="754"/>
      <c r="I58" s="754"/>
      <c r="J58" s="755"/>
      <c r="K58" s="754"/>
      <c r="L58" s="735"/>
      <c r="M58" s="735"/>
      <c r="N58" s="735"/>
      <c r="O58" s="735"/>
      <c r="P58" s="735"/>
      <c r="Q58" s="735"/>
      <c r="R58" s="735"/>
      <c r="S58" s="735"/>
      <c r="T58" s="735"/>
      <c r="U58" s="735"/>
      <c r="V58" s="735"/>
      <c r="W58" s="735"/>
      <c r="X58" s="735"/>
      <c r="Y58" s="735"/>
      <c r="Z58" s="735"/>
      <c r="AA58" s="735"/>
      <c r="AB58" s="735"/>
      <c r="AC58" s="736"/>
    </row>
    <row r="59" spans="1:29" ht="15.75">
      <c r="A59" s="753"/>
      <c r="B59" s="753"/>
      <c r="C59" s="753"/>
      <c r="D59" s="754"/>
      <c r="E59" s="754"/>
      <c r="F59" s="754"/>
      <c r="G59" s="754"/>
      <c r="H59" s="754"/>
      <c r="I59" s="754"/>
      <c r="J59" s="755"/>
      <c r="K59" s="754"/>
      <c r="L59" s="735"/>
      <c r="M59" s="735"/>
      <c r="N59" s="735"/>
      <c r="O59" s="735"/>
      <c r="P59" s="735"/>
      <c r="Q59" s="735"/>
      <c r="R59" s="735"/>
      <c r="S59" s="735"/>
      <c r="T59" s="735"/>
      <c r="U59" s="735"/>
      <c r="V59" s="735"/>
      <c r="W59" s="735"/>
      <c r="X59" s="735"/>
      <c r="Y59" s="735"/>
      <c r="Z59" s="735"/>
      <c r="AA59" s="735"/>
      <c r="AB59" s="735"/>
      <c r="AC59" s="736"/>
    </row>
    <row r="60" spans="1:29" ht="13.5">
      <c r="A60" s="734">
        <f>+A15</f>
        <v>6</v>
      </c>
      <c r="B60" s="734" t="str">
        <f>+B15</f>
        <v>April</v>
      </c>
      <c r="C60" s="734" t="str">
        <f>+C15</f>
        <v>Year 3</v>
      </c>
      <c r="D60" s="739" t="str">
        <f>+D15</f>
        <v>TO populates the formula with Year 2 data from FERC Form 1 for Year 2 (e.g., 2005)</v>
      </c>
      <c r="E60" s="735"/>
      <c r="F60" s="735"/>
      <c r="G60" s="735"/>
      <c r="H60" s="735"/>
      <c r="I60" s="735"/>
      <c r="J60" s="735"/>
      <c r="K60" s="735"/>
      <c r="L60" s="735"/>
      <c r="M60" s="735"/>
      <c r="N60" s="735"/>
      <c r="O60" s="735"/>
      <c r="P60" s="735"/>
      <c r="Q60" s="735"/>
      <c r="R60" s="735"/>
      <c r="S60" s="735"/>
      <c r="T60" s="735"/>
      <c r="U60" s="735"/>
      <c r="V60" s="735"/>
      <c r="W60" s="735"/>
      <c r="X60" s="735"/>
      <c r="Y60" s="735"/>
      <c r="Z60" s="735"/>
      <c r="AA60" s="735"/>
      <c r="AB60" s="735"/>
      <c r="AC60" s="736"/>
    </row>
    <row r="61" spans="1:29" ht="13.5">
      <c r="A61" s="734"/>
      <c r="B61" s="734"/>
      <c r="C61" s="734"/>
      <c r="D61" s="823">
        <v>141462219.02291822</v>
      </c>
      <c r="E61" s="735" t="s">
        <v>401</v>
      </c>
      <c r="F61" s="735"/>
      <c r="G61" s="744" t="s">
        <v>653</v>
      </c>
      <c r="H61" s="735"/>
      <c r="I61" s="735"/>
      <c r="K61" s="735"/>
      <c r="L61" s="735"/>
      <c r="M61" s="735"/>
      <c r="N61" s="735"/>
      <c r="O61" s="735"/>
      <c r="P61" s="735"/>
      <c r="Q61" s="735"/>
      <c r="R61" s="735"/>
      <c r="S61" s="735"/>
      <c r="T61" s="735"/>
      <c r="U61" s="735"/>
      <c r="V61" s="735"/>
      <c r="W61" s="735"/>
      <c r="X61" s="735"/>
      <c r="Y61" s="735"/>
      <c r="Z61" s="735"/>
      <c r="AA61" s="735"/>
      <c r="AB61" s="735"/>
      <c r="AC61" s="736"/>
    </row>
    <row r="62" spans="1:29" ht="13.5">
      <c r="A62" s="734"/>
      <c r="B62" s="734"/>
      <c r="C62" s="734"/>
      <c r="D62" s="756"/>
      <c r="E62" s="735"/>
      <c r="F62" s="735"/>
      <c r="G62" s="735"/>
      <c r="H62" s="735"/>
      <c r="I62" s="735"/>
      <c r="J62" s="735"/>
      <c r="K62" s="735"/>
      <c r="L62" s="735"/>
      <c r="M62" s="735"/>
      <c r="N62" s="735"/>
      <c r="O62" s="735"/>
      <c r="P62" s="735"/>
      <c r="Q62" s="735"/>
      <c r="R62" s="735"/>
      <c r="S62" s="735"/>
      <c r="T62" s="735"/>
      <c r="U62" s="735"/>
      <c r="V62" s="735"/>
      <c r="W62" s="735"/>
      <c r="X62" s="735"/>
      <c r="Y62" s="735"/>
      <c r="Z62" s="735"/>
      <c r="AA62" s="735"/>
      <c r="AB62" s="735"/>
      <c r="AC62" s="736"/>
    </row>
    <row r="63" spans="1:29" ht="13.5">
      <c r="A63" s="734"/>
      <c r="B63" s="734"/>
      <c r="C63" s="734"/>
      <c r="D63" s="757"/>
      <c r="E63" s="735"/>
      <c r="F63" s="735"/>
      <c r="G63" s="735"/>
      <c r="H63" s="735"/>
      <c r="I63" s="735"/>
      <c r="J63" s="735"/>
      <c r="K63" s="735"/>
      <c r="L63" s="735"/>
      <c r="M63" s="735"/>
      <c r="N63" s="735"/>
      <c r="O63" s="735"/>
      <c r="P63" s="735"/>
      <c r="Q63" s="735"/>
      <c r="R63" s="735"/>
      <c r="S63" s="735"/>
      <c r="T63" s="735"/>
      <c r="U63" s="735"/>
      <c r="V63" s="735"/>
      <c r="W63" s="735"/>
      <c r="X63" s="735"/>
      <c r="Y63" s="735"/>
      <c r="Z63" s="735"/>
      <c r="AA63" s="735"/>
      <c r="AB63" s="735"/>
      <c r="AC63" s="736"/>
    </row>
    <row r="64" spans="1:29" ht="13.5">
      <c r="A64" s="734"/>
      <c r="B64" s="734"/>
      <c r="C64" s="734"/>
      <c r="D64" s="735"/>
      <c r="E64" s="735"/>
      <c r="F64" s="735"/>
      <c r="G64" s="735"/>
      <c r="H64" s="748"/>
      <c r="I64" s="735"/>
      <c r="J64" s="735"/>
      <c r="K64" s="735"/>
      <c r="L64" s="735"/>
      <c r="M64" s="735"/>
      <c r="N64" s="735"/>
      <c r="O64" s="735"/>
      <c r="P64" s="735"/>
      <c r="Q64" s="735"/>
      <c r="R64" s="735"/>
      <c r="S64" s="735"/>
      <c r="T64" s="735"/>
      <c r="U64" s="735"/>
      <c r="V64" s="735"/>
      <c r="W64" s="735"/>
      <c r="X64" s="735"/>
      <c r="Y64" s="735"/>
      <c r="Z64" s="735"/>
      <c r="AA64" s="735"/>
      <c r="AB64" s="735"/>
      <c r="AC64" s="736"/>
    </row>
    <row r="65" spans="1:29" ht="13.5">
      <c r="A65" s="734">
        <v>7</v>
      </c>
      <c r="B65" s="734" t="str">
        <f>+B16</f>
        <v>April</v>
      </c>
      <c r="C65" s="734" t="str">
        <f>+C16</f>
        <v>Year 3</v>
      </c>
      <c r="D65" s="739" t="str">
        <f>+D16</f>
        <v>Reconciliation - TO calculates Reconciliation by removing from Year 2 data - the total Cap Adds placed in service in Year 2 and adding weighted average in Year 2 actual Cap Adds and CWIP in Reconciliation</v>
      </c>
      <c r="E65" s="741"/>
      <c r="F65" s="741"/>
      <c r="G65" s="741"/>
      <c r="H65" s="741"/>
      <c r="I65" s="741"/>
      <c r="J65" s="741"/>
      <c r="K65" s="735"/>
      <c r="L65" s="735"/>
      <c r="M65" s="735"/>
      <c r="N65" s="735"/>
      <c r="O65" s="735"/>
      <c r="P65" s="735"/>
      <c r="Q65" s="735"/>
      <c r="R65" s="735"/>
      <c r="S65" s="735"/>
      <c r="T65" s="735"/>
      <c r="U65" s="735"/>
      <c r="V65" s="735"/>
      <c r="W65" s="735"/>
      <c r="X65" s="735"/>
      <c r="Y65" s="735"/>
      <c r="Z65" s="735"/>
      <c r="AA65" s="735"/>
      <c r="AB65" s="735"/>
      <c r="AC65" s="736"/>
    </row>
    <row r="66" spans="1:29" ht="13.5">
      <c r="A66" s="734"/>
      <c r="B66" s="734"/>
      <c r="C66" s="734"/>
      <c r="D66" s="758" t="str">
        <f>+D17</f>
        <v>(adjusted to include any Reconciliation amount from prior year)</v>
      </c>
      <c r="E66" s="759"/>
      <c r="F66" s="759"/>
      <c r="G66" s="759"/>
      <c r="H66" s="741"/>
      <c r="I66" s="741"/>
      <c r="J66" s="741"/>
      <c r="K66" s="735"/>
      <c r="L66" s="735"/>
      <c r="M66" s="735"/>
      <c r="N66" s="735"/>
      <c r="O66" s="735"/>
      <c r="P66" s="735"/>
      <c r="Q66" s="735"/>
      <c r="R66" s="735"/>
      <c r="S66" s="735"/>
      <c r="T66" s="735"/>
      <c r="U66" s="735"/>
      <c r="V66" s="735"/>
      <c r="W66" s="735"/>
      <c r="X66" s="735"/>
      <c r="Y66" s="735"/>
      <c r="Z66" s="735"/>
      <c r="AA66" s="735"/>
      <c r="AB66" s="735"/>
      <c r="AC66" s="736"/>
    </row>
    <row r="67" spans="1:29" ht="13.5">
      <c r="A67" s="734"/>
      <c r="B67" s="734"/>
      <c r="C67" s="734"/>
      <c r="D67" s="760"/>
      <c r="E67" s="760"/>
      <c r="F67" s="760"/>
      <c r="G67" s="760"/>
      <c r="H67" s="760"/>
      <c r="I67" s="760"/>
      <c r="J67" s="760"/>
      <c r="K67" s="735"/>
      <c r="L67" s="735"/>
      <c r="M67" s="735"/>
      <c r="N67" s="735"/>
      <c r="O67" s="735"/>
      <c r="P67" s="735"/>
      <c r="Q67" s="735"/>
      <c r="R67" s="735"/>
      <c r="S67" s="735"/>
      <c r="T67" s="735"/>
      <c r="U67" s="735"/>
      <c r="V67" s="735"/>
      <c r="W67" s="735"/>
      <c r="X67" s="735"/>
      <c r="Y67" s="735"/>
      <c r="Z67" s="735"/>
      <c r="AA67" s="735"/>
      <c r="AB67" s="735"/>
      <c r="AC67" s="736"/>
    </row>
    <row r="68" spans="1:29" ht="13.5">
      <c r="A68" s="734"/>
      <c r="B68" s="734"/>
      <c r="C68" s="734"/>
      <c r="D68" s="756" t="s">
        <v>540</v>
      </c>
      <c r="E68" s="735"/>
      <c r="G68" s="735"/>
      <c r="H68" s="761"/>
      <c r="I68" s="735"/>
      <c r="K68" s="735"/>
      <c r="L68" s="735"/>
      <c r="M68" s="735"/>
      <c r="N68" s="735"/>
      <c r="O68" s="735"/>
      <c r="P68" s="735"/>
      <c r="Q68" s="735"/>
      <c r="R68" s="735"/>
      <c r="S68" s="735"/>
      <c r="T68" s="735"/>
      <c r="U68" s="735"/>
      <c r="V68" s="735"/>
      <c r="W68" s="735"/>
      <c r="X68" s="735"/>
      <c r="Y68" s="735"/>
      <c r="Z68" s="735"/>
      <c r="AA68" s="735"/>
      <c r="AB68" s="735"/>
      <c r="AC68" s="736"/>
    </row>
    <row r="69" spans="1:29" ht="13.5">
      <c r="A69" s="734"/>
      <c r="B69" s="734"/>
      <c r="C69" s="734"/>
      <c r="D69" s="735" t="s">
        <v>27</v>
      </c>
      <c r="E69" s="761"/>
      <c r="F69" s="735"/>
      <c r="G69" s="735"/>
      <c r="H69" s="762">
        <f>E89</f>
        <v>113215597</v>
      </c>
      <c r="I69" s="735" t="s">
        <v>620</v>
      </c>
      <c r="J69" s="735"/>
      <c r="K69" s="735"/>
      <c r="L69" s="735"/>
      <c r="M69" s="735"/>
      <c r="N69" s="735"/>
      <c r="O69" s="735"/>
      <c r="P69" s="735"/>
      <c r="Q69" s="735"/>
      <c r="R69" s="735"/>
      <c r="S69" s="735"/>
      <c r="T69" s="735"/>
      <c r="U69" s="735"/>
      <c r="V69" s="735"/>
      <c r="W69" s="735"/>
      <c r="X69" s="735"/>
      <c r="Y69" s="735"/>
      <c r="Z69" s="735"/>
      <c r="AA69" s="735"/>
      <c r="AB69" s="735"/>
      <c r="AC69" s="736"/>
    </row>
    <row r="70" spans="1:29" ht="13.5">
      <c r="A70" s="734"/>
      <c r="B70" s="734"/>
      <c r="C70" s="734"/>
      <c r="D70" s="756"/>
      <c r="E70" s="735"/>
      <c r="F70" s="735"/>
      <c r="G70" s="735"/>
      <c r="H70" s="735"/>
      <c r="I70" s="735"/>
      <c r="J70" s="735"/>
      <c r="K70" s="735"/>
      <c r="L70" s="735"/>
      <c r="M70" s="735"/>
      <c r="N70" s="735"/>
      <c r="O70" s="735"/>
      <c r="P70" s="735"/>
      <c r="Q70" s="735"/>
      <c r="R70" s="735"/>
      <c r="S70" s="735"/>
      <c r="T70" s="735"/>
      <c r="U70" s="735"/>
      <c r="V70" s="735"/>
      <c r="W70" s="735"/>
      <c r="X70" s="735"/>
      <c r="Y70" s="735"/>
      <c r="Z70" s="735"/>
      <c r="AA70" s="735"/>
      <c r="AB70" s="735"/>
      <c r="AC70" s="736"/>
    </row>
    <row r="71" spans="1:29" ht="13.5">
      <c r="A71" s="734"/>
      <c r="B71" s="734"/>
      <c r="C71" s="734"/>
      <c r="D71" s="763" t="s">
        <v>28</v>
      </c>
      <c r="E71" s="735"/>
      <c r="F71" s="735"/>
      <c r="G71" s="735"/>
      <c r="H71" s="735"/>
      <c r="I71" s="735"/>
      <c r="J71" s="735"/>
      <c r="K71" s="735"/>
      <c r="L71" s="735"/>
      <c r="M71" s="735"/>
      <c r="N71" s="735"/>
      <c r="O71" s="735"/>
      <c r="P71" s="735"/>
      <c r="Q71" s="735"/>
      <c r="R71" s="735"/>
      <c r="S71" s="735"/>
      <c r="T71" s="735"/>
      <c r="U71" s="735"/>
      <c r="V71" s="735"/>
      <c r="W71" s="735"/>
      <c r="X71" s="735"/>
      <c r="Y71" s="735"/>
      <c r="Z71" s="735"/>
      <c r="AA71" s="735"/>
      <c r="AB71" s="735"/>
      <c r="AC71" s="736"/>
    </row>
    <row r="72" spans="1:29" ht="13.5">
      <c r="A72" s="734"/>
      <c r="B72" s="734"/>
      <c r="C72" s="734"/>
      <c r="D72" s="763"/>
      <c r="E72" s="735"/>
      <c r="F72" s="735"/>
      <c r="G72" s="735"/>
      <c r="H72" s="735"/>
      <c r="I72" s="735"/>
      <c r="J72" s="735"/>
      <c r="K72" s="735"/>
      <c r="L72" s="735"/>
      <c r="M72" s="735"/>
      <c r="N72" s="735"/>
      <c r="O72" s="735"/>
      <c r="P72" s="735"/>
      <c r="Q72" s="735"/>
      <c r="R72" s="735"/>
      <c r="S72" s="735"/>
      <c r="T72" s="735"/>
      <c r="U72" s="735"/>
      <c r="V72" s="735"/>
      <c r="W72" s="735"/>
      <c r="X72" s="735"/>
      <c r="Y72" s="735"/>
      <c r="Z72" s="735"/>
      <c r="AA72" s="735"/>
      <c r="AB72" s="735"/>
      <c r="AC72" s="736"/>
    </row>
    <row r="73" spans="1:29" ht="13.5">
      <c r="A73" s="734"/>
      <c r="B73" s="734"/>
      <c r="C73" s="734"/>
      <c r="D73" s="763"/>
      <c r="E73" s="735"/>
      <c r="F73" s="735"/>
      <c r="G73" s="735"/>
      <c r="H73" s="735"/>
      <c r="I73" s="735"/>
      <c r="J73" s="735"/>
      <c r="K73" s="735"/>
      <c r="L73" s="735"/>
      <c r="M73" s="735"/>
      <c r="N73" s="735"/>
      <c r="O73" s="735"/>
      <c r="P73" s="735"/>
      <c r="Q73" s="735"/>
      <c r="R73" s="735"/>
      <c r="S73" s="735"/>
      <c r="T73" s="735"/>
      <c r="U73" s="735"/>
      <c r="V73" s="735"/>
      <c r="W73" s="735"/>
      <c r="X73" s="735"/>
      <c r="Y73" s="735"/>
      <c r="Z73" s="735"/>
      <c r="AA73" s="735"/>
      <c r="AB73" s="735"/>
      <c r="AC73" s="736"/>
    </row>
    <row r="74" spans="1:29" ht="13.5">
      <c r="A74" s="734"/>
      <c r="B74" s="734"/>
      <c r="C74" s="734"/>
      <c r="E74" s="745" t="s">
        <v>654</v>
      </c>
      <c r="F74" s="745" t="s">
        <v>655</v>
      </c>
      <c r="G74" s="745" t="s">
        <v>656</v>
      </c>
      <c r="H74" s="745" t="s">
        <v>657</v>
      </c>
      <c r="I74" s="745" t="s">
        <v>658</v>
      </c>
      <c r="J74" s="745" t="s">
        <v>659</v>
      </c>
      <c r="K74" s="745" t="s">
        <v>660</v>
      </c>
      <c r="L74" s="745" t="s">
        <v>661</v>
      </c>
      <c r="M74" s="745" t="s">
        <v>662</v>
      </c>
      <c r="N74" s="745" t="s">
        <v>663</v>
      </c>
      <c r="O74" s="734" t="s">
        <v>664</v>
      </c>
      <c r="P74" s="734" t="s">
        <v>665</v>
      </c>
      <c r="Q74" s="734" t="s">
        <v>666</v>
      </c>
      <c r="R74" s="735"/>
      <c r="S74" s="735"/>
      <c r="T74" s="735"/>
      <c r="U74" s="735"/>
      <c r="V74" s="735"/>
      <c r="W74" s="735"/>
      <c r="X74" s="735"/>
      <c r="Y74" s="735"/>
      <c r="Z74" s="735"/>
      <c r="AA74" s="735"/>
      <c r="AB74" s="735"/>
      <c r="AC74" s="736"/>
    </row>
    <row r="75" spans="1:29" ht="13.5">
      <c r="A75" s="734"/>
      <c r="B75" s="734"/>
      <c r="C75" s="734"/>
      <c r="E75" s="734" t="s">
        <v>667</v>
      </c>
      <c r="F75" s="734" t="s">
        <v>667</v>
      </c>
      <c r="G75" s="734" t="s">
        <v>667</v>
      </c>
      <c r="H75" s="734" t="s">
        <v>667</v>
      </c>
      <c r="J75" s="734" t="str">
        <f>+E76</f>
        <v>Other Plant In Service</v>
      </c>
      <c r="K75" s="734" t="str">
        <f>+F76</f>
        <v>Other Plant In Service</v>
      </c>
      <c r="L75" s="734" t="str">
        <f>+G76</f>
        <v>MAPP CWIP</v>
      </c>
      <c r="M75" s="734" t="str">
        <f>+H76</f>
        <v>MAPP In Service</v>
      </c>
      <c r="N75" s="734" t="str">
        <f>+E76</f>
        <v>Other Plant In Service</v>
      </c>
      <c r="O75" s="734" t="str">
        <f>+F76</f>
        <v>Other Plant In Service</v>
      </c>
      <c r="P75" s="734" t="str">
        <f>+G76</f>
        <v>MAPP CWIP</v>
      </c>
      <c r="Q75" s="734" t="str">
        <f>+H76</f>
        <v>MAPP In Service</v>
      </c>
      <c r="R75" s="735"/>
      <c r="S75" s="735"/>
      <c r="T75" s="735"/>
      <c r="U75" s="735"/>
      <c r="V75" s="735"/>
      <c r="W75" s="735"/>
      <c r="X75" s="735"/>
      <c r="Y75" s="735"/>
      <c r="Z75" s="735"/>
      <c r="AA75" s="735"/>
      <c r="AB75" s="735"/>
      <c r="AC75" s="736"/>
    </row>
    <row r="76" spans="1:29" ht="13.5">
      <c r="A76" s="734"/>
      <c r="B76" s="734"/>
      <c r="C76" s="734"/>
      <c r="D76" s="735"/>
      <c r="E76" s="734" t="s">
        <v>668</v>
      </c>
      <c r="F76" s="734" t="s">
        <v>668</v>
      </c>
      <c r="G76" s="734" t="s">
        <v>669</v>
      </c>
      <c r="H76" s="734" t="s">
        <v>670</v>
      </c>
      <c r="I76" s="734" t="s">
        <v>361</v>
      </c>
      <c r="J76" s="734" t="s">
        <v>671</v>
      </c>
      <c r="K76" s="734" t="s">
        <v>672</v>
      </c>
      <c r="L76" s="734" t="s">
        <v>673</v>
      </c>
      <c r="M76" s="734" t="s">
        <v>674</v>
      </c>
      <c r="N76" s="734" t="s">
        <v>675</v>
      </c>
      <c r="O76" s="734" t="s">
        <v>676</v>
      </c>
      <c r="P76" s="734" t="s">
        <v>677</v>
      </c>
      <c r="Q76" s="734" t="s">
        <v>678</v>
      </c>
      <c r="R76" s="735"/>
      <c r="S76" s="735"/>
      <c r="T76" s="735"/>
      <c r="U76" s="735"/>
      <c r="V76" s="735"/>
      <c r="W76" s="735"/>
      <c r="X76" s="735"/>
      <c r="Y76" s="735"/>
      <c r="Z76" s="735"/>
      <c r="AA76" s="735"/>
      <c r="AB76" s="735"/>
      <c r="AC76" s="736"/>
    </row>
    <row r="77" spans="1:29" ht="13.5">
      <c r="A77" s="734"/>
      <c r="B77" s="734"/>
      <c r="C77" s="734"/>
      <c r="D77" s="735" t="s">
        <v>362</v>
      </c>
      <c r="E77" s="746">
        <v>-2811654.29</v>
      </c>
      <c r="F77" s="746"/>
      <c r="G77" s="849"/>
      <c r="H77" s="747"/>
      <c r="I77" s="735">
        <v>11.5</v>
      </c>
      <c r="J77" s="748">
        <f t="shared" ref="J77:J88" si="11">+I77*E77</f>
        <v>-32334024.335000001</v>
      </c>
      <c r="K77" s="748">
        <f>+I77*F77</f>
        <v>0</v>
      </c>
      <c r="L77" s="748">
        <f t="shared" ref="L77:L89" si="12">+I77*G77</f>
        <v>0</v>
      </c>
      <c r="M77" s="748">
        <f t="shared" ref="M77:M89" si="13">+I77*H77</f>
        <v>0</v>
      </c>
      <c r="N77" s="743">
        <f t="shared" ref="N77:N86" si="14">+J77/12</f>
        <v>-2694502.0279166666</v>
      </c>
      <c r="O77" s="743">
        <f t="shared" ref="O77:O85" si="15">+K77/12</f>
        <v>0</v>
      </c>
      <c r="P77" s="743">
        <f t="shared" ref="P77:P85" si="16">+L77/12</f>
        <v>0</v>
      </c>
      <c r="Q77" s="743">
        <f t="shared" ref="Q77:Q85" si="17">+M77/12</f>
        <v>0</v>
      </c>
      <c r="R77" s="735"/>
      <c r="S77" s="735"/>
      <c r="T77" s="735"/>
      <c r="U77" s="735"/>
      <c r="V77" s="735"/>
      <c r="W77" s="735"/>
      <c r="X77" s="735"/>
      <c r="Y77" s="735"/>
      <c r="Z77" s="735"/>
      <c r="AA77" s="735"/>
      <c r="AB77" s="735"/>
      <c r="AC77" s="736"/>
    </row>
    <row r="78" spans="1:29" ht="13.5">
      <c r="A78" s="734"/>
      <c r="B78" s="734"/>
      <c r="C78" s="734"/>
      <c r="D78" s="735" t="s">
        <v>363</v>
      </c>
      <c r="E78" s="746">
        <v>500069.17000000214</v>
      </c>
      <c r="F78" s="746"/>
      <c r="G78" s="849"/>
      <c r="H78" s="747"/>
      <c r="I78" s="735">
        <f t="shared" ref="I78:I88" si="18">+I77-1</f>
        <v>10.5</v>
      </c>
      <c r="J78" s="748">
        <f t="shared" si="11"/>
        <v>5250726.2850000225</v>
      </c>
      <c r="K78" s="748">
        <f t="shared" ref="K78:K88" si="19">+I78*F78</f>
        <v>0</v>
      </c>
      <c r="L78" s="748">
        <f t="shared" si="12"/>
        <v>0</v>
      </c>
      <c r="M78" s="748">
        <f t="shared" si="13"/>
        <v>0</v>
      </c>
      <c r="N78" s="743">
        <f t="shared" si="14"/>
        <v>437560.52375000186</v>
      </c>
      <c r="O78" s="743">
        <f t="shared" si="15"/>
        <v>0</v>
      </c>
      <c r="P78" s="743">
        <f t="shared" si="16"/>
        <v>0</v>
      </c>
      <c r="Q78" s="743">
        <f t="shared" si="17"/>
        <v>0</v>
      </c>
      <c r="R78" s="735"/>
      <c r="S78" s="735"/>
      <c r="T78" s="735"/>
      <c r="U78" s="735"/>
      <c r="V78" s="735"/>
      <c r="W78" s="735"/>
      <c r="X78" s="735"/>
      <c r="Y78" s="735"/>
      <c r="Z78" s="735"/>
      <c r="AA78" s="735"/>
      <c r="AB78" s="735"/>
      <c r="AC78" s="736"/>
    </row>
    <row r="79" spans="1:29" ht="13.5">
      <c r="A79" s="734"/>
      <c r="B79" s="734"/>
      <c r="C79" s="734"/>
      <c r="D79" s="735" t="s">
        <v>364</v>
      </c>
      <c r="E79" s="746">
        <v>3524838.36</v>
      </c>
      <c r="F79" s="746"/>
      <c r="G79" s="849"/>
      <c r="H79" s="747"/>
      <c r="I79" s="735">
        <f t="shared" si="18"/>
        <v>9.5</v>
      </c>
      <c r="J79" s="748">
        <f t="shared" si="11"/>
        <v>33485964.419999998</v>
      </c>
      <c r="K79" s="748">
        <f t="shared" si="19"/>
        <v>0</v>
      </c>
      <c r="L79" s="748">
        <f t="shared" si="12"/>
        <v>0</v>
      </c>
      <c r="M79" s="748">
        <f t="shared" si="13"/>
        <v>0</v>
      </c>
      <c r="N79" s="743">
        <f t="shared" si="14"/>
        <v>2790497.0349999997</v>
      </c>
      <c r="O79" s="743">
        <f t="shared" si="15"/>
        <v>0</v>
      </c>
      <c r="P79" s="743">
        <f t="shared" si="16"/>
        <v>0</v>
      </c>
      <c r="Q79" s="743">
        <f t="shared" si="17"/>
        <v>0</v>
      </c>
      <c r="R79" s="735"/>
      <c r="S79" s="735"/>
      <c r="T79" s="735"/>
      <c r="U79" s="735"/>
      <c r="V79" s="735"/>
      <c r="W79" s="735"/>
      <c r="X79" s="735"/>
      <c r="Y79" s="735"/>
      <c r="Z79" s="735"/>
      <c r="AA79" s="735"/>
      <c r="AB79" s="735"/>
      <c r="AC79" s="736"/>
    </row>
    <row r="80" spans="1:29" ht="13.5">
      <c r="A80" s="734"/>
      <c r="B80" s="734"/>
      <c r="C80" s="734"/>
      <c r="D80" s="735" t="s">
        <v>365</v>
      </c>
      <c r="E80" s="746">
        <v>10717285.450000001</v>
      </c>
      <c r="F80" s="746"/>
      <c r="G80" s="849"/>
      <c r="H80" s="747"/>
      <c r="I80" s="735">
        <f t="shared" si="18"/>
        <v>8.5</v>
      </c>
      <c r="J80" s="748">
        <f t="shared" si="11"/>
        <v>91096926.325000003</v>
      </c>
      <c r="K80" s="748">
        <f t="shared" si="19"/>
        <v>0</v>
      </c>
      <c r="L80" s="748">
        <f t="shared" si="12"/>
        <v>0</v>
      </c>
      <c r="M80" s="748">
        <f t="shared" si="13"/>
        <v>0</v>
      </c>
      <c r="N80" s="743">
        <f t="shared" si="14"/>
        <v>7591410.5270833336</v>
      </c>
      <c r="O80" s="743">
        <f t="shared" si="15"/>
        <v>0</v>
      </c>
      <c r="P80" s="743">
        <f t="shared" si="16"/>
        <v>0</v>
      </c>
      <c r="Q80" s="743">
        <f t="shared" si="17"/>
        <v>0</v>
      </c>
      <c r="R80" s="735"/>
      <c r="S80" s="735"/>
      <c r="T80" s="735"/>
      <c r="U80" s="735"/>
      <c r="V80" s="735"/>
      <c r="W80" s="735"/>
      <c r="X80" s="735"/>
      <c r="Y80" s="735"/>
      <c r="Z80" s="735"/>
      <c r="AA80" s="735"/>
      <c r="AB80" s="735"/>
      <c r="AC80" s="736"/>
    </row>
    <row r="81" spans="1:29" ht="13.5">
      <c r="A81" s="734"/>
      <c r="B81" s="734"/>
      <c r="C81" s="734"/>
      <c r="D81" s="735" t="s">
        <v>359</v>
      </c>
      <c r="E81" s="746">
        <v>16051076.370000001</v>
      </c>
      <c r="F81" s="746"/>
      <c r="G81" s="849"/>
      <c r="H81" s="747"/>
      <c r="I81" s="735">
        <f t="shared" si="18"/>
        <v>7.5</v>
      </c>
      <c r="J81" s="748">
        <f t="shared" si="11"/>
        <v>120383072.77500001</v>
      </c>
      <c r="K81" s="748">
        <f t="shared" si="19"/>
        <v>0</v>
      </c>
      <c r="L81" s="748">
        <f t="shared" si="12"/>
        <v>0</v>
      </c>
      <c r="M81" s="748">
        <f t="shared" si="13"/>
        <v>0</v>
      </c>
      <c r="N81" s="743">
        <f t="shared" si="14"/>
        <v>10031922.731250001</v>
      </c>
      <c r="O81" s="743">
        <f t="shared" si="15"/>
        <v>0</v>
      </c>
      <c r="P81" s="743">
        <f t="shared" si="16"/>
        <v>0</v>
      </c>
      <c r="Q81" s="743">
        <f t="shared" si="17"/>
        <v>0</v>
      </c>
      <c r="R81" s="735"/>
      <c r="S81" s="735"/>
      <c r="T81" s="735"/>
      <c r="U81" s="735"/>
      <c r="V81" s="735"/>
      <c r="W81" s="735"/>
      <c r="X81" s="735"/>
      <c r="Y81" s="735"/>
      <c r="Z81" s="735"/>
      <c r="AA81" s="735"/>
      <c r="AB81" s="735"/>
      <c r="AC81" s="736"/>
    </row>
    <row r="82" spans="1:29" ht="13.5">
      <c r="A82" s="734"/>
      <c r="B82" s="734"/>
      <c r="C82" s="734"/>
      <c r="D82" s="735" t="s">
        <v>366</v>
      </c>
      <c r="E82" s="746">
        <v>42868240.279999994</v>
      </c>
      <c r="F82" s="746"/>
      <c r="G82" s="849"/>
      <c r="H82" s="747"/>
      <c r="I82" s="735">
        <f t="shared" si="18"/>
        <v>6.5</v>
      </c>
      <c r="J82" s="748">
        <f t="shared" si="11"/>
        <v>278643561.81999993</v>
      </c>
      <c r="K82" s="748">
        <f t="shared" si="19"/>
        <v>0</v>
      </c>
      <c r="L82" s="748">
        <f t="shared" si="12"/>
        <v>0</v>
      </c>
      <c r="M82" s="748">
        <f t="shared" si="13"/>
        <v>0</v>
      </c>
      <c r="N82" s="743">
        <f t="shared" si="14"/>
        <v>23220296.818333328</v>
      </c>
      <c r="O82" s="743">
        <f t="shared" si="15"/>
        <v>0</v>
      </c>
      <c r="P82" s="743">
        <f t="shared" si="16"/>
        <v>0</v>
      </c>
      <c r="Q82" s="743">
        <f t="shared" si="17"/>
        <v>0</v>
      </c>
      <c r="R82" s="735"/>
      <c r="S82" s="735"/>
      <c r="T82" s="735"/>
      <c r="U82" s="735"/>
      <c r="V82" s="735"/>
      <c r="W82" s="735"/>
      <c r="X82" s="735"/>
      <c r="Y82" s="735"/>
      <c r="Z82" s="735"/>
      <c r="AA82" s="735"/>
      <c r="AB82" s="735"/>
      <c r="AC82" s="736"/>
    </row>
    <row r="83" spans="1:29" ht="13.5">
      <c r="A83" s="734"/>
      <c r="B83" s="734"/>
      <c r="C83" s="734"/>
      <c r="D83" s="735" t="s">
        <v>367</v>
      </c>
      <c r="E83" s="746">
        <v>2117986.8999999994</v>
      </c>
      <c r="F83" s="746"/>
      <c r="G83" s="849"/>
      <c r="H83" s="747"/>
      <c r="I83" s="735">
        <f t="shared" si="18"/>
        <v>5.5</v>
      </c>
      <c r="J83" s="748">
        <f t="shared" si="11"/>
        <v>11648927.949999997</v>
      </c>
      <c r="K83" s="748">
        <f t="shared" si="19"/>
        <v>0</v>
      </c>
      <c r="L83" s="748">
        <f t="shared" si="12"/>
        <v>0</v>
      </c>
      <c r="M83" s="748">
        <f t="shared" si="13"/>
        <v>0</v>
      </c>
      <c r="N83" s="743">
        <f t="shared" si="14"/>
        <v>970743.99583333312</v>
      </c>
      <c r="O83" s="743">
        <f t="shared" si="15"/>
        <v>0</v>
      </c>
      <c r="P83" s="743">
        <f t="shared" si="16"/>
        <v>0</v>
      </c>
      <c r="Q83" s="743">
        <f t="shared" si="17"/>
        <v>0</v>
      </c>
      <c r="R83" s="735"/>
      <c r="S83" s="735"/>
      <c r="T83" s="735"/>
      <c r="U83" s="735"/>
      <c r="V83" s="735"/>
      <c r="W83" s="735"/>
      <c r="X83" s="735"/>
      <c r="Y83" s="735"/>
      <c r="Z83" s="735"/>
      <c r="AA83" s="735"/>
      <c r="AB83" s="735"/>
      <c r="AC83" s="736"/>
    </row>
    <row r="84" spans="1:29" ht="13.5">
      <c r="A84" s="734"/>
      <c r="B84" s="734"/>
      <c r="C84" s="734"/>
      <c r="D84" s="735" t="s">
        <v>368</v>
      </c>
      <c r="E84" s="746">
        <v>-691310.48000000161</v>
      </c>
      <c r="F84" s="746"/>
      <c r="G84" s="849"/>
      <c r="H84" s="747"/>
      <c r="I84" s="735">
        <f t="shared" si="18"/>
        <v>4.5</v>
      </c>
      <c r="J84" s="748">
        <f t="shared" si="11"/>
        <v>-3110897.1600000071</v>
      </c>
      <c r="K84" s="748">
        <f t="shared" si="19"/>
        <v>0</v>
      </c>
      <c r="L84" s="748">
        <f t="shared" si="12"/>
        <v>0</v>
      </c>
      <c r="M84" s="748">
        <f t="shared" si="13"/>
        <v>0</v>
      </c>
      <c r="N84" s="743">
        <f t="shared" si="14"/>
        <v>-259241.4300000006</v>
      </c>
      <c r="O84" s="743">
        <f t="shared" si="15"/>
        <v>0</v>
      </c>
      <c r="P84" s="743">
        <f t="shared" si="16"/>
        <v>0</v>
      </c>
      <c r="Q84" s="743">
        <f t="shared" si="17"/>
        <v>0</v>
      </c>
      <c r="R84" s="735"/>
      <c r="S84" s="735"/>
      <c r="T84" s="735"/>
      <c r="U84" s="735"/>
      <c r="V84" s="735"/>
      <c r="W84" s="735"/>
      <c r="X84" s="735"/>
      <c r="Y84" s="735"/>
      <c r="Z84" s="735"/>
      <c r="AA84" s="735"/>
      <c r="AB84" s="735"/>
      <c r="AC84" s="736"/>
    </row>
    <row r="85" spans="1:29" ht="13.5">
      <c r="A85" s="734"/>
      <c r="B85" s="734"/>
      <c r="C85" s="734"/>
      <c r="D85" s="735" t="s">
        <v>369</v>
      </c>
      <c r="E85" s="746">
        <v>754292</v>
      </c>
      <c r="F85" s="746"/>
      <c r="G85" s="849"/>
      <c r="H85" s="747"/>
      <c r="I85" s="735">
        <f t="shared" si="18"/>
        <v>3.5</v>
      </c>
      <c r="J85" s="748">
        <f t="shared" si="11"/>
        <v>2640022</v>
      </c>
      <c r="K85" s="748">
        <f t="shared" si="19"/>
        <v>0</v>
      </c>
      <c r="L85" s="748">
        <f t="shared" si="12"/>
        <v>0</v>
      </c>
      <c r="M85" s="748">
        <f t="shared" si="13"/>
        <v>0</v>
      </c>
      <c r="N85" s="743">
        <f t="shared" si="14"/>
        <v>220001.83333333334</v>
      </c>
      <c r="O85" s="743">
        <f t="shared" si="15"/>
        <v>0</v>
      </c>
      <c r="P85" s="743">
        <f t="shared" si="16"/>
        <v>0</v>
      </c>
      <c r="Q85" s="743">
        <f t="shared" si="17"/>
        <v>0</v>
      </c>
      <c r="R85" s="735"/>
      <c r="S85" s="735"/>
      <c r="T85" s="735"/>
      <c r="U85" s="735"/>
      <c r="V85" s="735"/>
      <c r="W85" s="735"/>
      <c r="X85" s="735"/>
      <c r="Y85" s="735"/>
      <c r="Z85" s="735"/>
      <c r="AA85" s="735"/>
      <c r="AB85" s="735"/>
      <c r="AC85" s="736"/>
    </row>
    <row r="86" spans="1:29" ht="13.5">
      <c r="A86" s="734"/>
      <c r="B86" s="734"/>
      <c r="C86" s="734"/>
      <c r="D86" s="735" t="s">
        <v>370</v>
      </c>
      <c r="E86" s="746">
        <v>1676373.2300000037</v>
      </c>
      <c r="F86" s="746"/>
      <c r="G86" s="849"/>
      <c r="H86" s="747"/>
      <c r="I86" s="735">
        <f t="shared" si="18"/>
        <v>2.5</v>
      </c>
      <c r="J86" s="748">
        <f t="shared" si="11"/>
        <v>4190933.0750000095</v>
      </c>
      <c r="K86" s="748">
        <f t="shared" si="19"/>
        <v>0</v>
      </c>
      <c r="L86" s="748">
        <f t="shared" si="12"/>
        <v>0</v>
      </c>
      <c r="M86" s="748">
        <f t="shared" si="13"/>
        <v>0</v>
      </c>
      <c r="N86" s="743">
        <f t="shared" si="14"/>
        <v>349244.42291666748</v>
      </c>
      <c r="O86" s="743">
        <f>+K86/12</f>
        <v>0</v>
      </c>
      <c r="P86" s="743">
        <f>+L86/12</f>
        <v>0</v>
      </c>
      <c r="Q86" s="743">
        <f>+M86/12</f>
        <v>0</v>
      </c>
      <c r="R86" s="735"/>
      <c r="S86" s="735"/>
      <c r="T86" s="735"/>
      <c r="U86" s="735"/>
      <c r="V86" s="735"/>
      <c r="W86" s="735"/>
      <c r="X86" s="735"/>
      <c r="Y86" s="735"/>
      <c r="Z86" s="735"/>
      <c r="AA86" s="735"/>
      <c r="AB86" s="735"/>
      <c r="AC86" s="736"/>
    </row>
    <row r="87" spans="1:29" ht="13.5">
      <c r="A87" s="734"/>
      <c r="B87" s="734"/>
      <c r="C87" s="734"/>
      <c r="D87" s="735" t="s">
        <v>371</v>
      </c>
      <c r="E87" s="746">
        <v>5890965.8100000015</v>
      </c>
      <c r="F87" s="746"/>
      <c r="G87" s="849"/>
      <c r="H87" s="747"/>
      <c r="I87" s="735">
        <f t="shared" si="18"/>
        <v>1.5</v>
      </c>
      <c r="J87" s="748">
        <f t="shared" si="11"/>
        <v>8836448.7150000017</v>
      </c>
      <c r="K87" s="748">
        <f t="shared" si="19"/>
        <v>0</v>
      </c>
      <c r="L87" s="748">
        <f t="shared" si="12"/>
        <v>0</v>
      </c>
      <c r="M87" s="748">
        <f t="shared" si="13"/>
        <v>0</v>
      </c>
      <c r="N87" s="743">
        <f t="shared" ref="N87:Q88" si="20">+J87/12</f>
        <v>736370.72625000018</v>
      </c>
      <c r="O87" s="743">
        <f t="shared" si="20"/>
        <v>0</v>
      </c>
      <c r="P87" s="743">
        <f t="shared" si="20"/>
        <v>0</v>
      </c>
      <c r="Q87" s="743">
        <f t="shared" si="20"/>
        <v>0</v>
      </c>
      <c r="R87" s="735"/>
      <c r="S87" s="735"/>
      <c r="T87" s="735"/>
      <c r="U87" s="735"/>
      <c r="V87" s="735"/>
      <c r="W87" s="735"/>
      <c r="X87" s="735"/>
      <c r="Y87" s="735"/>
      <c r="Z87" s="735"/>
      <c r="AA87" s="735"/>
      <c r="AB87" s="735"/>
      <c r="AC87" s="736"/>
    </row>
    <row r="88" spans="1:29" ht="13.5">
      <c r="A88" s="734"/>
      <c r="B88" s="734"/>
      <c r="C88" s="734"/>
      <c r="D88" s="735" t="s">
        <v>372</v>
      </c>
      <c r="E88" s="746">
        <v>32617434.199999996</v>
      </c>
      <c r="F88" s="746"/>
      <c r="G88" s="849"/>
      <c r="H88" s="747"/>
      <c r="I88" s="735">
        <f t="shared" si="18"/>
        <v>0.5</v>
      </c>
      <c r="J88" s="748">
        <f t="shared" si="11"/>
        <v>16308717.099999998</v>
      </c>
      <c r="K88" s="748">
        <f t="shared" si="19"/>
        <v>0</v>
      </c>
      <c r="L88" s="748">
        <f t="shared" si="12"/>
        <v>0</v>
      </c>
      <c r="M88" s="748">
        <f t="shared" si="13"/>
        <v>0</v>
      </c>
      <c r="N88" s="743">
        <f t="shared" si="20"/>
        <v>1359059.7583333331</v>
      </c>
      <c r="O88" s="743">
        <f t="shared" si="20"/>
        <v>0</v>
      </c>
      <c r="P88" s="743">
        <f t="shared" si="20"/>
        <v>0</v>
      </c>
      <c r="Q88" s="743">
        <f t="shared" si="20"/>
        <v>0</v>
      </c>
      <c r="R88" s="735"/>
      <c r="S88" s="735"/>
      <c r="T88" s="735"/>
      <c r="U88" s="735"/>
      <c r="V88" s="735"/>
      <c r="W88" s="735"/>
      <c r="X88" s="735"/>
      <c r="Y88" s="735"/>
      <c r="Z88" s="735"/>
      <c r="AA88" s="735"/>
      <c r="AB88" s="735"/>
      <c r="AC88" s="736"/>
    </row>
    <row r="89" spans="1:29" ht="13.5">
      <c r="A89" s="734"/>
      <c r="B89" s="734"/>
      <c r="C89" s="734"/>
      <c r="D89" s="735" t="s">
        <v>181</v>
      </c>
      <c r="E89" s="748">
        <f>SUM(E77:E88)</f>
        <v>113215597</v>
      </c>
      <c r="F89" s="748">
        <f>SUM(F77:F88)</f>
        <v>0</v>
      </c>
      <c r="G89" s="748">
        <f>SUM(G77:G88)</f>
        <v>0</v>
      </c>
      <c r="H89" s="748">
        <f>SUM(H77:H88)</f>
        <v>0</v>
      </c>
      <c r="I89" s="735"/>
      <c r="J89" s="748">
        <f>SUM(J77:J88)</f>
        <v>537040378.96999991</v>
      </c>
      <c r="K89" s="748">
        <f>SUM(K77:K88)</f>
        <v>0</v>
      </c>
      <c r="L89" s="748">
        <f t="shared" si="12"/>
        <v>0</v>
      </c>
      <c r="M89" s="748">
        <f t="shared" si="13"/>
        <v>0</v>
      </c>
      <c r="N89" s="743">
        <f>SUM(N77:N88)</f>
        <v>44753364.914166667</v>
      </c>
      <c r="O89" s="743">
        <f>SUM(O77:O88)</f>
        <v>0</v>
      </c>
      <c r="P89" s="743">
        <f>SUM(P77:P88)</f>
        <v>0</v>
      </c>
      <c r="Q89" s="743">
        <f>SUM(Q77:Q88)</f>
        <v>0</v>
      </c>
      <c r="R89" s="735"/>
      <c r="S89" s="735"/>
      <c r="T89" s="735"/>
      <c r="U89" s="735"/>
      <c r="V89" s="735"/>
      <c r="W89" s="735"/>
      <c r="X89" s="735"/>
      <c r="Y89" s="735"/>
      <c r="Z89" s="735"/>
      <c r="AA89" s="735"/>
      <c r="AB89" s="735"/>
      <c r="AC89" s="736"/>
    </row>
    <row r="90" spans="1:29" ht="13.5">
      <c r="A90" s="734"/>
      <c r="B90" s="734"/>
      <c r="C90" s="734"/>
      <c r="D90" s="735" t="s">
        <v>679</v>
      </c>
      <c r="E90" s="735"/>
      <c r="G90" s="735"/>
      <c r="H90" s="735"/>
      <c r="I90" s="735"/>
      <c r="J90" s="735"/>
      <c r="N90" s="749">
        <f>+N89</f>
        <v>44753364.914166667</v>
      </c>
      <c r="O90" s="749">
        <f>+O89</f>
        <v>0</v>
      </c>
      <c r="P90" s="749">
        <f>+P89</f>
        <v>0</v>
      </c>
      <c r="Q90" s="749">
        <f>+Q89</f>
        <v>0</v>
      </c>
      <c r="R90" s="735"/>
      <c r="S90" s="735"/>
      <c r="T90" s="735"/>
      <c r="U90" s="735"/>
      <c r="V90" s="735"/>
      <c r="W90" s="735"/>
      <c r="X90" s="735"/>
      <c r="Y90" s="735"/>
      <c r="Z90" s="735"/>
      <c r="AA90" s="735"/>
      <c r="AB90" s="735"/>
      <c r="AC90" s="736"/>
    </row>
    <row r="91" spans="1:29" ht="13.5">
      <c r="A91" s="734"/>
      <c r="B91" s="734"/>
      <c r="C91" s="734"/>
      <c r="D91" s="735"/>
      <c r="E91" s="735"/>
      <c r="I91" s="735"/>
      <c r="J91" s="735"/>
      <c r="L91" s="749" t="s">
        <v>680</v>
      </c>
      <c r="M91" s="735"/>
      <c r="N91" s="748">
        <f>+N90</f>
        <v>44753364.914166667</v>
      </c>
      <c r="O91" s="748">
        <f>+O90</f>
        <v>0</v>
      </c>
      <c r="P91" s="735"/>
      <c r="Q91" s="748">
        <f>+Q90</f>
        <v>0</v>
      </c>
      <c r="R91" s="748">
        <f>+N91+Q91</f>
        <v>44753364.914166667</v>
      </c>
      <c r="S91" s="735"/>
      <c r="T91" s="735"/>
      <c r="U91" s="735"/>
      <c r="V91" s="735"/>
      <c r="W91" s="735"/>
      <c r="X91" s="735"/>
      <c r="Y91" s="735"/>
      <c r="Z91" s="735"/>
      <c r="AA91" s="735"/>
      <c r="AB91" s="735"/>
      <c r="AC91" s="736"/>
    </row>
    <row r="92" spans="1:29" ht="13.5">
      <c r="A92" s="734"/>
      <c r="B92" s="734"/>
      <c r="C92" s="734"/>
      <c r="D92" s="735"/>
      <c r="E92" s="735"/>
      <c r="G92" s="735"/>
      <c r="H92" s="735"/>
      <c r="I92" s="748"/>
      <c r="J92" s="735"/>
      <c r="L92" s="735" t="s">
        <v>681</v>
      </c>
      <c r="M92" s="735"/>
      <c r="N92" s="735"/>
      <c r="O92" s="735"/>
      <c r="P92" s="748">
        <f>+P90</f>
        <v>0</v>
      </c>
      <c r="Q92" s="735"/>
      <c r="R92" s="748">
        <f>+P92</f>
        <v>0</v>
      </c>
      <c r="S92" s="735"/>
      <c r="T92" s="735"/>
      <c r="U92" s="735"/>
      <c r="V92" s="735"/>
      <c r="W92" s="735"/>
      <c r="X92" s="735"/>
      <c r="Y92" s="735"/>
      <c r="Z92" s="735"/>
      <c r="AA92" s="735"/>
      <c r="AB92" s="735"/>
      <c r="AC92" s="736"/>
    </row>
    <row r="93" spans="1:29" ht="13.5">
      <c r="A93" s="734"/>
      <c r="B93" s="734"/>
      <c r="C93" s="734"/>
      <c r="D93" s="735"/>
      <c r="E93" s="735"/>
      <c r="G93" s="735"/>
      <c r="H93" s="735"/>
      <c r="I93" s="748"/>
      <c r="J93" s="735"/>
      <c r="L93" s="735" t="s">
        <v>682</v>
      </c>
      <c r="M93" s="735"/>
      <c r="N93" s="750">
        <f>12-N91/E89*12</f>
        <v>7.2564806157406032</v>
      </c>
      <c r="O93" s="750" t="e">
        <f>12-O91/F89*12</f>
        <v>#DIV/0!</v>
      </c>
      <c r="P93" s="750" t="e">
        <f>12-P90/G89*12</f>
        <v>#DIV/0!</v>
      </c>
      <c r="Q93" s="750" t="e">
        <f>12-Q91/H89*12</f>
        <v>#DIV/0!</v>
      </c>
      <c r="R93" s="748"/>
      <c r="S93" s="735"/>
      <c r="T93" s="735"/>
      <c r="U93" s="735"/>
      <c r="V93" s="735"/>
      <c r="W93" s="735"/>
      <c r="X93" s="735"/>
      <c r="Y93" s="735"/>
      <c r="Z93" s="735"/>
      <c r="AA93" s="735"/>
      <c r="AB93" s="735"/>
      <c r="AC93" s="736"/>
    </row>
    <row r="94" spans="1:29" ht="13.5">
      <c r="A94" s="734"/>
      <c r="B94" s="734"/>
      <c r="C94" s="734"/>
      <c r="D94" s="844">
        <v>134801090.64950523</v>
      </c>
      <c r="E94" s="756" t="s">
        <v>624</v>
      </c>
      <c r="F94" s="735"/>
      <c r="G94" s="744" t="s">
        <v>550</v>
      </c>
      <c r="H94" s="764"/>
      <c r="I94" s="765"/>
      <c r="J94" s="765"/>
      <c r="K94" s="765"/>
      <c r="L94" s="735"/>
      <c r="M94" s="735"/>
      <c r="N94" s="735"/>
      <c r="O94" s="735"/>
      <c r="P94" s="735"/>
      <c r="Q94" s="735"/>
      <c r="R94" s="735"/>
      <c r="S94" s="735"/>
      <c r="T94" s="735"/>
      <c r="U94" s="735"/>
      <c r="V94" s="735"/>
      <c r="W94" s="735"/>
      <c r="X94" s="735"/>
      <c r="Y94" s="735"/>
      <c r="Z94" s="735"/>
      <c r="AA94" s="735"/>
      <c r="AB94" s="735"/>
      <c r="AC94" s="736"/>
    </row>
    <row r="95" spans="1:29" ht="13.5">
      <c r="B95" s="734"/>
      <c r="C95" s="734"/>
      <c r="E95" s="735" t="s">
        <v>459</v>
      </c>
      <c r="F95" s="735"/>
      <c r="G95" s="761"/>
      <c r="H95" s="766"/>
      <c r="I95" s="761"/>
      <c r="J95" s="735"/>
      <c r="K95" s="735"/>
      <c r="L95" s="735"/>
      <c r="M95" s="735"/>
      <c r="N95" s="735"/>
      <c r="O95" s="735"/>
      <c r="P95" s="735"/>
      <c r="Q95" s="735"/>
      <c r="R95" s="735"/>
      <c r="S95" s="735"/>
      <c r="T95" s="735"/>
      <c r="U95" s="735"/>
      <c r="V95" s="735"/>
      <c r="W95" s="735"/>
      <c r="X95" s="735"/>
      <c r="Y95" s="735"/>
      <c r="Z95" s="735"/>
      <c r="AA95" s="735"/>
      <c r="AB95" s="735"/>
      <c r="AC95" s="736"/>
    </row>
    <row r="96" spans="1:29" ht="13.5">
      <c r="A96" s="734"/>
      <c r="B96" s="734"/>
      <c r="C96" s="734"/>
      <c r="D96" s="756"/>
      <c r="E96" s="735"/>
      <c r="F96" s="735"/>
      <c r="G96" s="761"/>
      <c r="H96" s="766"/>
      <c r="I96" s="761"/>
      <c r="J96" s="735"/>
      <c r="K96" s="735"/>
      <c r="L96" s="735"/>
      <c r="M96" s="735"/>
      <c r="N96" s="735"/>
      <c r="O96" s="735"/>
      <c r="P96" s="735"/>
      <c r="Q96" s="735"/>
      <c r="R96" s="735"/>
      <c r="S96" s="735"/>
      <c r="T96" s="735"/>
      <c r="U96" s="735"/>
      <c r="V96" s="735"/>
      <c r="W96" s="735"/>
      <c r="X96" s="735"/>
      <c r="Y96" s="735"/>
      <c r="Z96" s="735"/>
      <c r="AA96" s="735"/>
      <c r="AB96" s="735"/>
      <c r="AC96" s="736"/>
    </row>
    <row r="97" spans="1:29" ht="13.5">
      <c r="A97" s="734">
        <v>8</v>
      </c>
      <c r="B97" s="734" t="str">
        <f>+B18</f>
        <v>April</v>
      </c>
      <c r="C97" s="734" t="str">
        <f>+C18</f>
        <v>Year 3</v>
      </c>
      <c r="D97" s="739" t="str">
        <f>+D18</f>
        <v>TO estimates Cap Adds and CWIP during Year 3 weighted based on Months expected to be in service in Year 3 (e.g., 2006)</v>
      </c>
      <c r="E97" s="735"/>
      <c r="F97" s="735"/>
      <c r="G97" s="735"/>
      <c r="H97" s="735"/>
      <c r="I97" s="735"/>
      <c r="K97" s="735"/>
      <c r="L97" s="735"/>
      <c r="M97" s="735"/>
      <c r="N97" s="735"/>
      <c r="O97" s="735"/>
      <c r="P97" s="735"/>
      <c r="Q97" s="735"/>
      <c r="R97" s="735"/>
      <c r="S97" s="735"/>
      <c r="T97" s="735"/>
      <c r="U97" s="735"/>
      <c r="V97" s="735"/>
      <c r="W97" s="735"/>
      <c r="X97" s="735"/>
      <c r="Y97" s="735"/>
      <c r="Z97" s="735"/>
      <c r="AA97" s="735"/>
      <c r="AB97" s="735"/>
      <c r="AC97" s="736"/>
    </row>
    <row r="98" spans="1:29" ht="13.5">
      <c r="A98" s="734"/>
      <c r="B98" s="734"/>
      <c r="C98" s="734"/>
      <c r="D98" s="739"/>
      <c r="E98" s="735"/>
      <c r="F98" s="735"/>
      <c r="G98" s="735"/>
      <c r="H98" s="735"/>
      <c r="I98" s="735"/>
      <c r="K98" s="735"/>
      <c r="L98" s="735"/>
      <c r="M98" s="735"/>
      <c r="N98" s="735"/>
      <c r="O98" s="735"/>
      <c r="P98" s="735"/>
      <c r="Q98" s="735"/>
      <c r="R98" s="735"/>
      <c r="S98" s="735"/>
      <c r="T98" s="735"/>
      <c r="U98" s="735"/>
      <c r="V98" s="735"/>
      <c r="W98" s="735"/>
      <c r="X98" s="735"/>
      <c r="Y98" s="735"/>
      <c r="Z98" s="735"/>
      <c r="AA98" s="735"/>
      <c r="AB98" s="735"/>
      <c r="AC98" s="736"/>
    </row>
    <row r="99" spans="1:29" ht="13.5">
      <c r="A99" s="734"/>
      <c r="B99" s="734"/>
      <c r="C99" s="734"/>
      <c r="E99" s="745" t="s">
        <v>654</v>
      </c>
      <c r="F99" s="745" t="s">
        <v>655</v>
      </c>
      <c r="G99" s="745" t="s">
        <v>656</v>
      </c>
      <c r="H99" s="745" t="s">
        <v>657</v>
      </c>
      <c r="I99" s="745" t="s">
        <v>658</v>
      </c>
      <c r="J99" s="745" t="s">
        <v>659</v>
      </c>
      <c r="K99" s="745" t="s">
        <v>660</v>
      </c>
      <c r="L99" s="745" t="s">
        <v>661</v>
      </c>
      <c r="M99" s="745" t="s">
        <v>662</v>
      </c>
      <c r="N99" s="745" t="s">
        <v>663</v>
      </c>
      <c r="O99" s="734" t="s">
        <v>664</v>
      </c>
      <c r="P99" s="734" t="s">
        <v>665</v>
      </c>
      <c r="Q99" s="734" t="s">
        <v>666</v>
      </c>
      <c r="R99" s="735"/>
      <c r="S99" s="735"/>
      <c r="T99" s="735"/>
      <c r="U99" s="735"/>
      <c r="V99" s="735"/>
      <c r="W99" s="735"/>
      <c r="X99" s="735"/>
      <c r="Y99" s="735"/>
      <c r="Z99" s="735"/>
      <c r="AA99" s="735"/>
      <c r="AB99" s="735"/>
      <c r="AC99" s="736"/>
    </row>
    <row r="100" spans="1:29" ht="13.5">
      <c r="A100" s="734"/>
      <c r="B100" s="734"/>
      <c r="C100" s="734"/>
      <c r="E100" s="734" t="s">
        <v>667</v>
      </c>
      <c r="F100" s="734" t="s">
        <v>667</v>
      </c>
      <c r="G100" s="734" t="s">
        <v>667</v>
      </c>
      <c r="H100" s="734" t="s">
        <v>667</v>
      </c>
      <c r="J100" s="734" t="str">
        <f>+E101</f>
        <v>Other Plant In Service</v>
      </c>
      <c r="K100" s="734" t="str">
        <f>+F101</f>
        <v>Other Plant In Service</v>
      </c>
      <c r="L100" s="734" t="str">
        <f>+G101</f>
        <v>MAPP CWIP</v>
      </c>
      <c r="M100" s="734" t="str">
        <f>+H101</f>
        <v>MAPP In Service</v>
      </c>
      <c r="N100" s="734" t="str">
        <f>+E101</f>
        <v>Other Plant In Service</v>
      </c>
      <c r="O100" s="734" t="str">
        <f>+F101</f>
        <v>Other Plant In Service</v>
      </c>
      <c r="P100" s="734" t="str">
        <f>+G101</f>
        <v>MAPP CWIP</v>
      </c>
      <c r="Q100" s="734" t="str">
        <f>+H101</f>
        <v>MAPP In Service</v>
      </c>
      <c r="R100" s="735"/>
      <c r="S100" s="735"/>
      <c r="T100" s="735"/>
      <c r="U100" s="735"/>
      <c r="V100" s="735"/>
      <c r="W100" s="735"/>
      <c r="X100" s="735"/>
      <c r="Y100" s="735"/>
      <c r="Z100" s="735"/>
      <c r="AA100" s="735"/>
      <c r="AB100" s="735"/>
      <c r="AC100" s="736"/>
    </row>
    <row r="101" spans="1:29" ht="13.5">
      <c r="A101" s="734"/>
      <c r="B101" s="734"/>
      <c r="C101" s="734"/>
      <c r="D101" s="735"/>
      <c r="E101" s="734" t="s">
        <v>668</v>
      </c>
      <c r="F101" s="734" t="s">
        <v>668</v>
      </c>
      <c r="G101" s="734" t="s">
        <v>669</v>
      </c>
      <c r="H101" s="734" t="s">
        <v>670</v>
      </c>
      <c r="I101" s="734" t="s">
        <v>361</v>
      </c>
      <c r="J101" s="734" t="s">
        <v>671</v>
      </c>
      <c r="K101" s="734" t="s">
        <v>672</v>
      </c>
      <c r="L101" s="734" t="s">
        <v>673</v>
      </c>
      <c r="M101" s="734" t="s">
        <v>674</v>
      </c>
      <c r="N101" s="734" t="s">
        <v>675</v>
      </c>
      <c r="O101" s="734" t="s">
        <v>676</v>
      </c>
      <c r="P101" s="734" t="s">
        <v>677</v>
      </c>
      <c r="Q101" s="734" t="s">
        <v>678</v>
      </c>
      <c r="R101" s="735"/>
      <c r="S101" s="735"/>
      <c r="T101" s="735"/>
      <c r="U101" s="735"/>
      <c r="V101" s="845"/>
      <c r="W101" s="845"/>
      <c r="X101" s="735"/>
      <c r="Y101" s="735"/>
      <c r="Z101" s="735"/>
      <c r="AA101" s="735"/>
      <c r="AB101" s="735"/>
      <c r="AC101" s="736"/>
    </row>
    <row r="102" spans="1:29" ht="13.5">
      <c r="A102" s="734"/>
      <c r="B102" s="734"/>
      <c r="C102" s="734"/>
      <c r="D102" s="735" t="s">
        <v>362</v>
      </c>
      <c r="E102" s="478"/>
      <c r="F102" s="746"/>
      <c r="G102" s="849">
        <v>0</v>
      </c>
      <c r="H102" s="747"/>
      <c r="I102" s="735">
        <v>11.5</v>
      </c>
      <c r="J102" s="748">
        <f t="shared" ref="J102:J113" si="21">+I102*E102</f>
        <v>0</v>
      </c>
      <c r="K102" s="748">
        <f>+I102*F102</f>
        <v>0</v>
      </c>
      <c r="L102" s="748">
        <f t="shared" ref="L102:L115" si="22">+I102*G102</f>
        <v>0</v>
      </c>
      <c r="M102" s="748">
        <f t="shared" ref="M102:M114" si="23">+I102*H102</f>
        <v>0</v>
      </c>
      <c r="N102" s="743">
        <f t="shared" ref="N102:N111" si="24">+J102/12</f>
        <v>0</v>
      </c>
      <c r="O102" s="743">
        <f t="shared" ref="O102:O110" si="25">+K102/12</f>
        <v>0</v>
      </c>
      <c r="P102" s="743">
        <f t="shared" ref="P102:P110" si="26">+L102/12</f>
        <v>0</v>
      </c>
      <c r="Q102" s="743">
        <f t="shared" ref="Q102:Q110" si="27">+M102/12</f>
        <v>0</v>
      </c>
      <c r="R102" s="735"/>
      <c r="S102" s="735"/>
      <c r="T102" s="735"/>
      <c r="U102" s="735"/>
      <c r="V102" s="845"/>
      <c r="W102" s="845"/>
      <c r="X102" s="735"/>
      <c r="Y102" s="735"/>
      <c r="Z102" s="735"/>
      <c r="AA102" s="735"/>
      <c r="AB102" s="735"/>
      <c r="AC102" s="736"/>
    </row>
    <row r="103" spans="1:29" ht="13.5">
      <c r="A103" s="734"/>
      <c r="B103" s="734"/>
      <c r="C103" s="734"/>
      <c r="D103" s="735" t="s">
        <v>363</v>
      </c>
      <c r="E103" s="478"/>
      <c r="F103" s="746"/>
      <c r="G103" s="849"/>
      <c r="H103" s="747"/>
      <c r="I103" s="735">
        <f t="shared" ref="I103:I113" si="28">+I102-1</f>
        <v>10.5</v>
      </c>
      <c r="J103" s="748">
        <f t="shared" si="21"/>
        <v>0</v>
      </c>
      <c r="K103" s="748">
        <f t="shared" ref="K103:K113" si="29">+I103*F103</f>
        <v>0</v>
      </c>
      <c r="L103" s="748">
        <f t="shared" si="22"/>
        <v>0</v>
      </c>
      <c r="M103" s="748">
        <f t="shared" si="23"/>
        <v>0</v>
      </c>
      <c r="N103" s="743">
        <f t="shared" si="24"/>
        <v>0</v>
      </c>
      <c r="O103" s="743">
        <f t="shared" si="25"/>
        <v>0</v>
      </c>
      <c r="P103" s="743">
        <f t="shared" si="26"/>
        <v>0</v>
      </c>
      <c r="Q103" s="743">
        <f t="shared" si="27"/>
        <v>0</v>
      </c>
      <c r="R103" s="735"/>
      <c r="S103" s="735"/>
      <c r="T103" s="735"/>
      <c r="U103" s="735"/>
      <c r="V103" s="845"/>
      <c r="W103" s="845"/>
      <c r="X103" s="735"/>
      <c r="Y103" s="735"/>
      <c r="Z103" s="735"/>
      <c r="AA103" s="735"/>
      <c r="AB103" s="735"/>
      <c r="AC103" s="736"/>
    </row>
    <row r="104" spans="1:29" ht="13.5">
      <c r="A104" s="734"/>
      <c r="B104" s="734"/>
      <c r="C104" s="734"/>
      <c r="D104" s="735" t="s">
        <v>364</v>
      </c>
      <c r="E104" s="478"/>
      <c r="F104" s="746"/>
      <c r="G104" s="849">
        <v>0</v>
      </c>
      <c r="H104" s="747"/>
      <c r="I104" s="735">
        <f t="shared" si="28"/>
        <v>9.5</v>
      </c>
      <c r="J104" s="748">
        <f t="shared" si="21"/>
        <v>0</v>
      </c>
      <c r="K104" s="748">
        <f t="shared" si="29"/>
        <v>0</v>
      </c>
      <c r="L104" s="748">
        <f t="shared" si="22"/>
        <v>0</v>
      </c>
      <c r="M104" s="748">
        <f t="shared" si="23"/>
        <v>0</v>
      </c>
      <c r="N104" s="743">
        <f t="shared" si="24"/>
        <v>0</v>
      </c>
      <c r="O104" s="743">
        <f t="shared" si="25"/>
        <v>0</v>
      </c>
      <c r="P104" s="743">
        <f t="shared" si="26"/>
        <v>0</v>
      </c>
      <c r="Q104" s="743">
        <f t="shared" si="27"/>
        <v>0</v>
      </c>
      <c r="R104" s="735"/>
      <c r="S104" s="735"/>
      <c r="T104" s="735"/>
      <c r="U104" s="735"/>
      <c r="V104" s="845"/>
      <c r="W104" s="845"/>
      <c r="X104" s="735"/>
      <c r="Y104" s="735"/>
      <c r="Z104" s="735"/>
      <c r="AA104" s="735"/>
      <c r="AB104" s="735"/>
      <c r="AC104" s="736"/>
    </row>
    <row r="105" spans="1:29" ht="13.5">
      <c r="A105" s="734"/>
      <c r="B105" s="734"/>
      <c r="C105" s="734"/>
      <c r="D105" s="735" t="s">
        <v>365</v>
      </c>
      <c r="E105" s="478"/>
      <c r="F105" s="746"/>
      <c r="G105" s="849"/>
      <c r="H105" s="747"/>
      <c r="I105" s="735">
        <f t="shared" si="28"/>
        <v>8.5</v>
      </c>
      <c r="J105" s="748">
        <f t="shared" si="21"/>
        <v>0</v>
      </c>
      <c r="K105" s="748">
        <f t="shared" si="29"/>
        <v>0</v>
      </c>
      <c r="L105" s="748">
        <f t="shared" si="22"/>
        <v>0</v>
      </c>
      <c r="M105" s="748">
        <f t="shared" si="23"/>
        <v>0</v>
      </c>
      <c r="N105" s="743">
        <f t="shared" si="24"/>
        <v>0</v>
      </c>
      <c r="O105" s="743">
        <f t="shared" si="25"/>
        <v>0</v>
      </c>
      <c r="P105" s="743">
        <f t="shared" si="26"/>
        <v>0</v>
      </c>
      <c r="Q105" s="743">
        <f t="shared" si="27"/>
        <v>0</v>
      </c>
      <c r="R105" s="735"/>
      <c r="S105" s="735"/>
      <c r="T105" s="735"/>
      <c r="U105" s="735"/>
      <c r="V105" s="845"/>
      <c r="W105" s="845"/>
      <c r="X105" s="735"/>
      <c r="Y105" s="735"/>
      <c r="Z105" s="735"/>
      <c r="AA105" s="735"/>
      <c r="AB105" s="735"/>
      <c r="AC105" s="736"/>
    </row>
    <row r="106" spans="1:29" ht="13.5">
      <c r="A106" s="734"/>
      <c r="B106" s="734"/>
      <c r="C106" s="734"/>
      <c r="D106" s="735" t="s">
        <v>359</v>
      </c>
      <c r="E106" s="478"/>
      <c r="F106" s="746"/>
      <c r="G106" s="849"/>
      <c r="H106" s="747"/>
      <c r="I106" s="735">
        <f t="shared" si="28"/>
        <v>7.5</v>
      </c>
      <c r="J106" s="748">
        <f t="shared" si="21"/>
        <v>0</v>
      </c>
      <c r="K106" s="748">
        <f t="shared" si="29"/>
        <v>0</v>
      </c>
      <c r="L106" s="748">
        <f t="shared" si="22"/>
        <v>0</v>
      </c>
      <c r="M106" s="748">
        <f t="shared" si="23"/>
        <v>0</v>
      </c>
      <c r="N106" s="743">
        <f t="shared" si="24"/>
        <v>0</v>
      </c>
      <c r="O106" s="743">
        <f t="shared" si="25"/>
        <v>0</v>
      </c>
      <c r="P106" s="743">
        <f t="shared" si="26"/>
        <v>0</v>
      </c>
      <c r="Q106" s="743">
        <f t="shared" si="27"/>
        <v>0</v>
      </c>
      <c r="R106" s="735"/>
      <c r="S106" s="735"/>
      <c r="T106" s="735"/>
      <c r="U106" s="735"/>
      <c r="V106" s="845"/>
      <c r="W106" s="845"/>
      <c r="X106" s="735"/>
      <c r="Y106" s="735"/>
      <c r="Z106" s="735"/>
      <c r="AA106" s="735"/>
      <c r="AB106" s="735"/>
      <c r="AC106" s="736"/>
    </row>
    <row r="107" spans="1:29" ht="13.5">
      <c r="A107" s="734"/>
      <c r="B107" s="734"/>
      <c r="C107" s="734"/>
      <c r="D107" s="735" t="s">
        <v>366</v>
      </c>
      <c r="E107" s="478"/>
      <c r="F107" s="746"/>
      <c r="G107" s="849"/>
      <c r="H107" s="747"/>
      <c r="I107" s="735">
        <f t="shared" si="28"/>
        <v>6.5</v>
      </c>
      <c r="J107" s="748">
        <f t="shared" si="21"/>
        <v>0</v>
      </c>
      <c r="K107" s="748">
        <f t="shared" si="29"/>
        <v>0</v>
      </c>
      <c r="L107" s="748">
        <f t="shared" si="22"/>
        <v>0</v>
      </c>
      <c r="M107" s="748">
        <f t="shared" si="23"/>
        <v>0</v>
      </c>
      <c r="N107" s="743">
        <f t="shared" si="24"/>
        <v>0</v>
      </c>
      <c r="O107" s="743">
        <f t="shared" si="25"/>
        <v>0</v>
      </c>
      <c r="P107" s="743">
        <f t="shared" si="26"/>
        <v>0</v>
      </c>
      <c r="Q107" s="743">
        <f t="shared" si="27"/>
        <v>0</v>
      </c>
      <c r="R107" s="735"/>
      <c r="S107" s="735"/>
      <c r="T107" s="735"/>
      <c r="U107" s="735"/>
      <c r="V107" s="845"/>
      <c r="W107" s="845"/>
      <c r="X107" s="735"/>
      <c r="Y107" s="735"/>
      <c r="Z107" s="735"/>
      <c r="AA107" s="735"/>
      <c r="AB107" s="735"/>
      <c r="AC107" s="736"/>
    </row>
    <row r="108" spans="1:29" ht="13.5">
      <c r="A108" s="734"/>
      <c r="B108" s="734"/>
      <c r="C108" s="734"/>
      <c r="D108" s="735" t="s">
        <v>367</v>
      </c>
      <c r="E108" s="478"/>
      <c r="F108" s="746"/>
      <c r="G108" s="849"/>
      <c r="H108" s="747"/>
      <c r="I108" s="735">
        <f t="shared" si="28"/>
        <v>5.5</v>
      </c>
      <c r="J108" s="748">
        <f t="shared" si="21"/>
        <v>0</v>
      </c>
      <c r="K108" s="748">
        <f t="shared" si="29"/>
        <v>0</v>
      </c>
      <c r="L108" s="748">
        <f t="shared" si="22"/>
        <v>0</v>
      </c>
      <c r="M108" s="748">
        <f t="shared" si="23"/>
        <v>0</v>
      </c>
      <c r="N108" s="743">
        <f t="shared" si="24"/>
        <v>0</v>
      </c>
      <c r="O108" s="743">
        <f t="shared" si="25"/>
        <v>0</v>
      </c>
      <c r="P108" s="743">
        <f t="shared" si="26"/>
        <v>0</v>
      </c>
      <c r="Q108" s="743">
        <f t="shared" si="27"/>
        <v>0</v>
      </c>
      <c r="R108" s="735"/>
      <c r="S108" s="735"/>
      <c r="T108" s="735"/>
      <c r="U108" s="735"/>
      <c r="V108" s="845"/>
      <c r="W108" s="845"/>
      <c r="X108" s="735"/>
      <c r="Y108" s="735"/>
      <c r="Z108" s="735"/>
      <c r="AA108" s="735"/>
      <c r="AB108" s="735"/>
      <c r="AC108" s="736"/>
    </row>
    <row r="109" spans="1:29" ht="13.5">
      <c r="A109" s="734"/>
      <c r="B109" s="734"/>
      <c r="C109" s="734"/>
      <c r="D109" s="735" t="s">
        <v>368</v>
      </c>
      <c r="E109" s="478"/>
      <c r="F109" s="746"/>
      <c r="G109" s="849"/>
      <c r="H109" s="747"/>
      <c r="I109" s="735">
        <f t="shared" si="28"/>
        <v>4.5</v>
      </c>
      <c r="J109" s="748">
        <f t="shared" si="21"/>
        <v>0</v>
      </c>
      <c r="K109" s="748">
        <f t="shared" si="29"/>
        <v>0</v>
      </c>
      <c r="L109" s="748">
        <f t="shared" si="22"/>
        <v>0</v>
      </c>
      <c r="M109" s="748">
        <f t="shared" si="23"/>
        <v>0</v>
      </c>
      <c r="N109" s="743">
        <f t="shared" si="24"/>
        <v>0</v>
      </c>
      <c r="O109" s="743">
        <f t="shared" si="25"/>
        <v>0</v>
      </c>
      <c r="P109" s="743">
        <f t="shared" si="26"/>
        <v>0</v>
      </c>
      <c r="Q109" s="743">
        <f t="shared" si="27"/>
        <v>0</v>
      </c>
      <c r="R109" s="735"/>
      <c r="S109" s="735"/>
      <c r="T109" s="735"/>
      <c r="U109" s="735"/>
      <c r="V109" s="845"/>
      <c r="W109" s="845"/>
      <c r="X109" s="735"/>
      <c r="Y109" s="735"/>
      <c r="Z109" s="735"/>
      <c r="AA109" s="735"/>
      <c r="AB109" s="735"/>
      <c r="AC109" s="736"/>
    </row>
    <row r="110" spans="1:29" ht="13.5">
      <c r="A110" s="734"/>
      <c r="B110" s="734"/>
      <c r="C110" s="734"/>
      <c r="D110" s="735" t="s">
        <v>369</v>
      </c>
      <c r="E110" s="478"/>
      <c r="F110" s="746"/>
      <c r="G110" s="849"/>
      <c r="H110" s="747"/>
      <c r="I110" s="735">
        <f t="shared" si="28"/>
        <v>3.5</v>
      </c>
      <c r="J110" s="748">
        <f t="shared" si="21"/>
        <v>0</v>
      </c>
      <c r="K110" s="748">
        <f t="shared" si="29"/>
        <v>0</v>
      </c>
      <c r="L110" s="748">
        <f t="shared" si="22"/>
        <v>0</v>
      </c>
      <c r="M110" s="748">
        <f t="shared" si="23"/>
        <v>0</v>
      </c>
      <c r="N110" s="743">
        <f t="shared" si="24"/>
        <v>0</v>
      </c>
      <c r="O110" s="743">
        <f t="shared" si="25"/>
        <v>0</v>
      </c>
      <c r="P110" s="743">
        <f t="shared" si="26"/>
        <v>0</v>
      </c>
      <c r="Q110" s="743">
        <f t="shared" si="27"/>
        <v>0</v>
      </c>
      <c r="R110" s="735"/>
      <c r="S110" s="735"/>
      <c r="T110" s="735"/>
      <c r="U110" s="735"/>
      <c r="V110" s="845"/>
      <c r="W110" s="845"/>
      <c r="X110" s="735"/>
      <c r="Y110" s="735"/>
      <c r="Z110" s="735"/>
      <c r="AA110" s="735"/>
      <c r="AB110" s="735"/>
      <c r="AC110" s="736"/>
    </row>
    <row r="111" spans="1:29" ht="13.5">
      <c r="A111" s="734"/>
      <c r="B111" s="734"/>
      <c r="C111" s="734"/>
      <c r="D111" s="735" t="s">
        <v>370</v>
      </c>
      <c r="E111" s="478"/>
      <c r="F111" s="746"/>
      <c r="G111" s="849"/>
      <c r="H111" s="747"/>
      <c r="I111" s="735">
        <f t="shared" si="28"/>
        <v>2.5</v>
      </c>
      <c r="J111" s="748">
        <f t="shared" si="21"/>
        <v>0</v>
      </c>
      <c r="K111" s="748">
        <f t="shared" si="29"/>
        <v>0</v>
      </c>
      <c r="L111" s="748">
        <f t="shared" si="22"/>
        <v>0</v>
      </c>
      <c r="M111" s="748">
        <f t="shared" si="23"/>
        <v>0</v>
      </c>
      <c r="N111" s="743">
        <f t="shared" si="24"/>
        <v>0</v>
      </c>
      <c r="O111" s="743">
        <f>+K111/12</f>
        <v>0</v>
      </c>
      <c r="P111" s="743">
        <f>+L111/12</f>
        <v>0</v>
      </c>
      <c r="Q111" s="743">
        <f>+M111/12</f>
        <v>0</v>
      </c>
      <c r="R111" s="735"/>
      <c r="S111" s="735"/>
      <c r="T111" s="735"/>
      <c r="U111" s="735"/>
      <c r="V111" s="845"/>
      <c r="W111" s="845"/>
      <c r="X111" s="735"/>
      <c r="Y111" s="735"/>
      <c r="Z111" s="735"/>
      <c r="AA111" s="735"/>
      <c r="AB111" s="735"/>
      <c r="AC111" s="736"/>
    </row>
    <row r="112" spans="1:29" ht="13.5">
      <c r="A112" s="734"/>
      <c r="B112" s="734"/>
      <c r="C112" s="734"/>
      <c r="D112" s="735" t="s">
        <v>371</v>
      </c>
      <c r="E112" s="478"/>
      <c r="F112" s="746"/>
      <c r="G112" s="849"/>
      <c r="H112" s="747"/>
      <c r="I112" s="735">
        <f t="shared" si="28"/>
        <v>1.5</v>
      </c>
      <c r="J112" s="748">
        <f t="shared" si="21"/>
        <v>0</v>
      </c>
      <c r="K112" s="748">
        <f t="shared" si="29"/>
        <v>0</v>
      </c>
      <c r="L112" s="748">
        <f t="shared" si="22"/>
        <v>0</v>
      </c>
      <c r="M112" s="748">
        <f t="shared" si="23"/>
        <v>0</v>
      </c>
      <c r="N112" s="743">
        <f t="shared" ref="N112:Q113" si="30">+J112/12</f>
        <v>0</v>
      </c>
      <c r="O112" s="743">
        <f t="shared" si="30"/>
        <v>0</v>
      </c>
      <c r="P112" s="743">
        <f t="shared" si="30"/>
        <v>0</v>
      </c>
      <c r="Q112" s="743">
        <f t="shared" si="30"/>
        <v>0</v>
      </c>
      <c r="R112" s="735"/>
      <c r="S112" s="735"/>
      <c r="T112" s="735"/>
      <c r="U112" s="735"/>
      <c r="V112" s="845"/>
      <c r="W112" s="845"/>
      <c r="X112" s="735"/>
      <c r="Y112" s="735"/>
      <c r="Z112" s="735"/>
      <c r="AA112" s="735"/>
      <c r="AB112" s="735"/>
      <c r="AC112" s="736"/>
    </row>
    <row r="113" spans="1:29" ht="13.5">
      <c r="A113" s="734"/>
      <c r="B113" s="734"/>
      <c r="C113" s="734"/>
      <c r="D113" s="735" t="s">
        <v>372</v>
      </c>
      <c r="E113" s="478">
        <v>0</v>
      </c>
      <c r="F113" s="746"/>
      <c r="G113" s="849"/>
      <c r="H113" s="747"/>
      <c r="I113" s="735">
        <f t="shared" si="28"/>
        <v>0.5</v>
      </c>
      <c r="J113" s="748">
        <f t="shared" si="21"/>
        <v>0</v>
      </c>
      <c r="K113" s="748">
        <f t="shared" si="29"/>
        <v>0</v>
      </c>
      <c r="L113" s="748">
        <f t="shared" si="22"/>
        <v>0</v>
      </c>
      <c r="M113" s="748">
        <f t="shared" si="23"/>
        <v>0</v>
      </c>
      <c r="N113" s="743">
        <f t="shared" si="30"/>
        <v>0</v>
      </c>
      <c r="O113" s="743">
        <f t="shared" si="30"/>
        <v>0</v>
      </c>
      <c r="P113" s="743">
        <f t="shared" si="30"/>
        <v>0</v>
      </c>
      <c r="Q113" s="743">
        <f t="shared" si="30"/>
        <v>0</v>
      </c>
      <c r="R113" s="735"/>
      <c r="S113" s="735"/>
      <c r="T113" s="735"/>
      <c r="U113" s="735"/>
      <c r="V113" s="845"/>
      <c r="W113" s="845"/>
      <c r="X113" s="735"/>
      <c r="Y113" s="735"/>
      <c r="Z113" s="735"/>
      <c r="AA113" s="735"/>
      <c r="AB113" s="735"/>
      <c r="AC113" s="736"/>
    </row>
    <row r="114" spans="1:29" ht="13.5">
      <c r="A114" s="734"/>
      <c r="B114" s="734"/>
      <c r="C114" s="734"/>
      <c r="D114" s="735" t="s">
        <v>181</v>
      </c>
      <c r="E114" s="748">
        <f>SUM(E102:E113)</f>
        <v>0</v>
      </c>
      <c r="F114" s="748">
        <f>SUM(F102:F113)</f>
        <v>0</v>
      </c>
      <c r="G114" s="748">
        <f>SUM(G102:G113)</f>
        <v>0</v>
      </c>
      <c r="H114" s="748">
        <f>SUM(H102:H113)</f>
        <v>0</v>
      </c>
      <c r="I114" s="735"/>
      <c r="J114" s="748">
        <f>SUM(J102:J113)</f>
        <v>0</v>
      </c>
      <c r="K114" s="748">
        <f>SUM(K102:K113)</f>
        <v>0</v>
      </c>
      <c r="L114" s="748">
        <f t="shared" si="22"/>
        <v>0</v>
      </c>
      <c r="M114" s="748">
        <f t="shared" si="23"/>
        <v>0</v>
      </c>
      <c r="N114" s="743">
        <f>SUM(N102:N113)</f>
        <v>0</v>
      </c>
      <c r="O114" s="743">
        <f>SUM(O102:O113)</f>
        <v>0</v>
      </c>
      <c r="P114" s="743">
        <f>SUM(P102:P113)</f>
        <v>0</v>
      </c>
      <c r="Q114" s="743">
        <f>SUM(Q102:Q113)</f>
        <v>0</v>
      </c>
      <c r="R114" s="735"/>
      <c r="S114" s="735"/>
      <c r="T114" s="735"/>
      <c r="U114" s="735"/>
      <c r="V114" s="735"/>
      <c r="W114" s="735"/>
      <c r="X114" s="735"/>
      <c r="Y114" s="735"/>
      <c r="Z114" s="735"/>
      <c r="AA114" s="735"/>
      <c r="AB114" s="735"/>
      <c r="AC114" s="736"/>
    </row>
    <row r="115" spans="1:29" ht="13.5">
      <c r="A115" s="734"/>
      <c r="B115" s="734"/>
      <c r="D115" s="735" t="s">
        <v>679</v>
      </c>
      <c r="E115" s="735"/>
      <c r="G115" s="748"/>
      <c r="H115" s="735"/>
      <c r="I115" s="735"/>
      <c r="J115" s="735"/>
      <c r="L115" s="730">
        <f t="shared" si="22"/>
        <v>0</v>
      </c>
      <c r="N115" s="749">
        <f>+N114</f>
        <v>0</v>
      </c>
      <c r="O115" s="749">
        <f>+O114</f>
        <v>0</v>
      </c>
      <c r="P115" s="749">
        <f>+P114</f>
        <v>0</v>
      </c>
      <c r="Q115" s="749">
        <f>+Q114</f>
        <v>0</v>
      </c>
      <c r="R115" s="735"/>
      <c r="S115" s="735"/>
      <c r="T115" s="735"/>
      <c r="U115" s="735"/>
      <c r="V115" s="735"/>
      <c r="W115" s="735"/>
      <c r="X115" s="735"/>
      <c r="Y115" s="735"/>
      <c r="Z115" s="735"/>
      <c r="AA115" s="735"/>
      <c r="AB115" s="735"/>
      <c r="AC115" s="736"/>
    </row>
    <row r="116" spans="1:29" ht="13.5">
      <c r="A116" s="734"/>
      <c r="B116" s="734"/>
      <c r="D116" s="821">
        <v>124794816.12427944</v>
      </c>
      <c r="E116" s="735"/>
      <c r="I116" s="735"/>
      <c r="J116" s="735"/>
      <c r="L116" s="749" t="s">
        <v>680</v>
      </c>
      <c r="M116" s="735"/>
      <c r="N116" s="748">
        <f>+N115</f>
        <v>0</v>
      </c>
      <c r="O116" s="748">
        <f>+O115</f>
        <v>0</v>
      </c>
      <c r="P116" s="735"/>
      <c r="Q116" s="748">
        <f>+Q115</f>
        <v>0</v>
      </c>
      <c r="R116" s="748">
        <f>+N116+Q116</f>
        <v>0</v>
      </c>
      <c r="S116" s="735"/>
      <c r="T116" s="735"/>
      <c r="U116" s="735"/>
      <c r="V116" s="735"/>
      <c r="W116" s="735"/>
      <c r="X116" s="735"/>
      <c r="Y116" s="735"/>
      <c r="Z116" s="735"/>
      <c r="AA116" s="735"/>
      <c r="AB116" s="735"/>
      <c r="AC116" s="736"/>
    </row>
    <row r="117" spans="1:29" ht="13.5">
      <c r="A117" s="734"/>
      <c r="B117" s="734"/>
      <c r="D117" s="735"/>
      <c r="E117" s="735"/>
      <c r="G117" s="735"/>
      <c r="H117" s="735"/>
      <c r="I117" s="748"/>
      <c r="J117" s="735"/>
      <c r="L117" s="735" t="s">
        <v>681</v>
      </c>
      <c r="M117" s="735"/>
      <c r="N117" s="735"/>
      <c r="O117" s="735"/>
      <c r="P117" s="748">
        <f>+P115</f>
        <v>0</v>
      </c>
      <c r="Q117" s="735"/>
      <c r="R117" s="748">
        <f>+P117</f>
        <v>0</v>
      </c>
      <c r="S117" s="735"/>
      <c r="T117" s="735"/>
      <c r="U117" s="735"/>
      <c r="V117" s="735"/>
      <c r="W117" s="735"/>
      <c r="X117" s="735"/>
      <c r="Y117" s="735"/>
      <c r="Z117" s="735"/>
      <c r="AA117" s="735"/>
      <c r="AB117" s="735"/>
      <c r="AC117" s="736"/>
    </row>
    <row r="118" spans="1:29" ht="13.5">
      <c r="A118" s="734"/>
      <c r="B118" s="734"/>
      <c r="C118" s="734"/>
      <c r="D118" s="735"/>
      <c r="E118" s="735"/>
      <c r="G118" s="735"/>
      <c r="H118" s="735"/>
      <c r="I118" s="748"/>
      <c r="J118" s="735"/>
      <c r="L118" s="735" t="s">
        <v>682</v>
      </c>
      <c r="M118" s="735"/>
      <c r="N118" s="750" t="e">
        <f>12-N116/E114*12</f>
        <v>#DIV/0!</v>
      </c>
      <c r="O118" s="750" t="e">
        <f>12-O116/F114*12</f>
        <v>#DIV/0!</v>
      </c>
      <c r="P118" s="750" t="e">
        <f>12-P115/G114*12</f>
        <v>#DIV/0!</v>
      </c>
      <c r="Q118" s="750" t="e">
        <f>12-Q116/H114*12</f>
        <v>#DIV/0!</v>
      </c>
      <c r="R118" s="748"/>
      <c r="S118" s="735"/>
      <c r="T118" s="735"/>
      <c r="U118" s="735"/>
      <c r="V118" s="735"/>
      <c r="W118" s="735"/>
      <c r="X118" s="735"/>
      <c r="Y118" s="735"/>
      <c r="Z118" s="735"/>
      <c r="AA118" s="735"/>
      <c r="AB118" s="735"/>
      <c r="AC118" s="736"/>
    </row>
    <row r="119" spans="1:29" ht="13.5">
      <c r="A119" s="734"/>
      <c r="B119" s="734"/>
      <c r="C119" s="734"/>
      <c r="D119" s="756"/>
      <c r="E119" s="735"/>
      <c r="F119" s="735"/>
      <c r="G119" s="735"/>
      <c r="H119" s="748"/>
      <c r="I119" s="735"/>
      <c r="J119" s="735"/>
      <c r="K119" s="735"/>
      <c r="L119" s="750"/>
      <c r="M119" s="750"/>
      <c r="N119" s="750"/>
      <c r="O119" s="735"/>
      <c r="P119" s="735"/>
      <c r="Q119" s="735"/>
      <c r="R119" s="735"/>
      <c r="S119" s="735"/>
      <c r="T119" s="735"/>
      <c r="U119" s="735"/>
      <c r="V119" s="735"/>
      <c r="W119" s="735"/>
      <c r="X119" s="735"/>
      <c r="Y119" s="735"/>
      <c r="Z119" s="735"/>
      <c r="AA119" s="735"/>
      <c r="AB119" s="735"/>
      <c r="AC119" s="736"/>
    </row>
    <row r="120" spans="1:29" ht="13.5">
      <c r="A120" s="734">
        <f>+A19</f>
        <v>9</v>
      </c>
      <c r="B120" s="734" t="str">
        <f>+B19</f>
        <v>April</v>
      </c>
      <c r="C120" s="734" t="str">
        <f>+C19</f>
        <v>Year 3</v>
      </c>
      <c r="D120" s="739" t="str">
        <f>+D19</f>
        <v>Reconciliation - TO adds the difference between the Reconciliation in Step 7 and the forecast in Line 5 with interest to the result of Step 7 (this difference is also added to Step 8 in the subsequent year)</v>
      </c>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5"/>
      <c r="AA120" s="735"/>
      <c r="AB120" s="735"/>
      <c r="AC120" s="736"/>
    </row>
    <row r="121" spans="1:29" ht="13.5">
      <c r="A121" s="734"/>
      <c r="B121" s="734"/>
      <c r="C121" s="734"/>
      <c r="D121" s="739"/>
      <c r="E121" s="735"/>
      <c r="F121" s="735"/>
      <c r="G121" s="735"/>
      <c r="H121" s="735"/>
      <c r="I121" s="735"/>
      <c r="J121" s="735"/>
      <c r="K121" s="735"/>
      <c r="L121" s="735"/>
      <c r="M121" s="735"/>
      <c r="N121" s="735"/>
      <c r="O121" s="735"/>
      <c r="P121" s="735"/>
      <c r="Q121" s="735"/>
      <c r="R121" s="735"/>
      <c r="S121" s="735"/>
      <c r="T121" s="735"/>
      <c r="U121" s="735"/>
      <c r="V121" s="735"/>
      <c r="W121" s="735"/>
      <c r="X121" s="735"/>
      <c r="Y121" s="735"/>
      <c r="Z121" s="735"/>
      <c r="AA121" s="735"/>
      <c r="AB121" s="735"/>
      <c r="AC121" s="736"/>
    </row>
    <row r="122" spans="1:29" ht="13.5">
      <c r="A122" s="734"/>
      <c r="B122" s="734"/>
      <c r="C122" s="734"/>
      <c r="D122" s="739" t="s">
        <v>425</v>
      </c>
      <c r="E122" s="735"/>
      <c r="F122" s="735" t="s">
        <v>479</v>
      </c>
      <c r="G122" s="735"/>
      <c r="H122" s="735"/>
      <c r="I122" s="735"/>
      <c r="J122" s="735"/>
      <c r="K122" s="735"/>
      <c r="L122" s="735"/>
      <c r="M122" s="735"/>
      <c r="N122" s="735"/>
      <c r="O122" s="735"/>
      <c r="P122" s="735"/>
      <c r="Q122" s="735"/>
      <c r="R122" s="735"/>
      <c r="S122" s="735"/>
      <c r="T122" s="735"/>
      <c r="U122" s="735"/>
      <c r="V122" s="735"/>
      <c r="W122" s="735"/>
      <c r="X122" s="735"/>
      <c r="Y122" s="735"/>
      <c r="Z122" s="735"/>
      <c r="AA122" s="735"/>
      <c r="AB122" s="735"/>
      <c r="AC122" s="736"/>
    </row>
    <row r="123" spans="1:29" ht="13.5">
      <c r="A123" s="734"/>
      <c r="B123" s="734"/>
      <c r="C123" s="734"/>
      <c r="D123" s="766">
        <f>D94</f>
        <v>134801090.64950523</v>
      </c>
      <c r="E123" s="734" t="s">
        <v>6</v>
      </c>
      <c r="F123" s="766">
        <f>(D56-2821486)</f>
        <v>129215514.36826676</v>
      </c>
      <c r="G123" s="734" t="str">
        <f>"="</f>
        <v>=</v>
      </c>
      <c r="H123" s="748">
        <f>+D123-F123</f>
        <v>5585576.2812384665</v>
      </c>
      <c r="I123" s="735"/>
      <c r="J123" s="735"/>
      <c r="K123" s="735"/>
      <c r="L123" s="735"/>
      <c r="M123" s="735"/>
      <c r="N123" s="735"/>
      <c r="O123" s="735"/>
      <c r="P123" s="735"/>
      <c r="Q123" s="735"/>
      <c r="R123" s="735"/>
      <c r="S123" s="735"/>
      <c r="T123" s="735"/>
      <c r="U123" s="735"/>
      <c r="V123" s="735"/>
      <c r="W123" s="735"/>
      <c r="X123" s="735"/>
      <c r="Y123" s="735"/>
      <c r="Z123" s="735"/>
      <c r="AA123" s="735"/>
      <c r="AB123" s="735"/>
      <c r="AC123" s="736"/>
    </row>
    <row r="124" spans="1:29" ht="13.5">
      <c r="A124" s="734"/>
      <c r="B124" s="734"/>
      <c r="C124" s="734"/>
      <c r="D124" s="767"/>
      <c r="E124" s="734"/>
      <c r="F124" s="748"/>
      <c r="G124" s="734"/>
      <c r="H124" s="748"/>
      <c r="I124" s="735"/>
      <c r="J124" s="735"/>
      <c r="K124" s="735"/>
      <c r="L124" s="735"/>
      <c r="M124" s="735"/>
      <c r="N124" s="735"/>
      <c r="O124" s="735"/>
      <c r="P124" s="735"/>
      <c r="Q124" s="735"/>
      <c r="R124" s="735"/>
      <c r="S124" s="735"/>
      <c r="T124" s="735"/>
      <c r="U124" s="735"/>
      <c r="V124" s="735"/>
      <c r="W124" s="735"/>
      <c r="X124" s="735"/>
      <c r="Y124" s="735"/>
      <c r="Z124" s="735"/>
      <c r="AA124" s="735"/>
      <c r="AB124" s="735"/>
      <c r="AC124" s="736"/>
    </row>
    <row r="125" spans="1:29" ht="13.5">
      <c r="A125" s="734"/>
      <c r="B125" s="734"/>
      <c r="C125" s="734"/>
      <c r="D125" s="768" t="s">
        <v>373</v>
      </c>
      <c r="E125" s="734"/>
      <c r="F125" s="748"/>
      <c r="G125" s="734"/>
      <c r="H125" s="748"/>
      <c r="I125" s="735"/>
      <c r="J125" s="735"/>
      <c r="K125" s="735"/>
      <c r="L125" s="735"/>
      <c r="M125" s="735"/>
      <c r="N125" s="735"/>
      <c r="O125" s="735"/>
      <c r="P125" s="735"/>
      <c r="Q125" s="735"/>
      <c r="R125" s="735"/>
      <c r="S125" s="735"/>
      <c r="T125" s="735"/>
      <c r="U125" s="735"/>
      <c r="V125" s="735"/>
      <c r="W125" s="735"/>
      <c r="X125" s="735"/>
      <c r="Y125" s="735"/>
      <c r="Z125" s="735"/>
      <c r="AA125" s="735"/>
      <c r="AB125" s="735"/>
      <c r="AC125" s="736"/>
    </row>
    <row r="126" spans="1:29" ht="13.5">
      <c r="A126" s="734"/>
      <c r="B126" s="734"/>
      <c r="C126" s="734"/>
      <c r="D126" s="768" t="s">
        <v>460</v>
      </c>
      <c r="E126" s="734"/>
      <c r="F126" s="822">
        <v>2.8E-3</v>
      </c>
      <c r="G126" s="734"/>
      <c r="H126" s="748"/>
      <c r="I126" s="735"/>
      <c r="J126" s="735"/>
      <c r="K126" s="735"/>
      <c r="L126" s="735"/>
      <c r="M126" s="735"/>
      <c r="N126" s="735"/>
      <c r="O126" s="735"/>
      <c r="P126" s="735"/>
      <c r="Q126" s="735"/>
      <c r="R126" s="735"/>
      <c r="S126" s="735"/>
      <c r="T126" s="735"/>
      <c r="U126" s="735"/>
      <c r="V126" s="735"/>
      <c r="W126" s="735"/>
      <c r="X126" s="735"/>
      <c r="Y126" s="735"/>
      <c r="Z126" s="735"/>
      <c r="AA126" s="735"/>
      <c r="AB126" s="735"/>
      <c r="AC126" s="736"/>
    </row>
    <row r="127" spans="1:29" ht="13.5">
      <c r="A127" s="734"/>
      <c r="B127" s="734"/>
      <c r="C127" s="734"/>
      <c r="D127" s="769" t="s">
        <v>354</v>
      </c>
      <c r="E127" s="734" t="s">
        <v>374</v>
      </c>
      <c r="F127" s="734" t="s">
        <v>375</v>
      </c>
      <c r="G127" s="769" t="s">
        <v>404</v>
      </c>
      <c r="H127" s="734"/>
      <c r="I127" s="769" t="s">
        <v>376</v>
      </c>
      <c r="J127" s="770" t="s">
        <v>29</v>
      </c>
      <c r="K127" s="735"/>
      <c r="L127" s="735"/>
      <c r="M127" s="735"/>
      <c r="N127" s="735"/>
      <c r="O127" s="735"/>
      <c r="P127" s="735"/>
      <c r="Q127" s="735"/>
      <c r="R127" s="735"/>
      <c r="S127" s="735"/>
      <c r="T127" s="735"/>
      <c r="U127" s="735"/>
      <c r="V127" s="735"/>
      <c r="W127" s="735"/>
      <c r="X127" s="735"/>
      <c r="Y127" s="735"/>
      <c r="Z127" s="735"/>
      <c r="AA127" s="735"/>
      <c r="AB127" s="735"/>
      <c r="AC127" s="736"/>
    </row>
    <row r="128" spans="1:29" ht="13.5">
      <c r="A128" s="734"/>
      <c r="B128" s="734"/>
      <c r="C128" s="734"/>
      <c r="D128" s="734"/>
      <c r="E128" s="734"/>
      <c r="F128" s="734"/>
      <c r="G128" s="734" t="s">
        <v>461</v>
      </c>
      <c r="H128" s="734" t="s">
        <v>377</v>
      </c>
      <c r="I128" s="734"/>
      <c r="J128" s="734"/>
      <c r="K128" s="735"/>
      <c r="L128" s="735"/>
      <c r="M128" s="735"/>
      <c r="N128" s="735"/>
      <c r="O128" s="735"/>
      <c r="P128" s="735"/>
      <c r="Q128" s="735"/>
      <c r="R128" s="735"/>
      <c r="S128" s="735"/>
      <c r="T128" s="735"/>
      <c r="U128" s="735"/>
      <c r="V128" s="735"/>
      <c r="W128" s="735"/>
      <c r="X128" s="735"/>
      <c r="Y128" s="735"/>
      <c r="Z128" s="735"/>
      <c r="AA128" s="735"/>
      <c r="AB128" s="735"/>
      <c r="AC128" s="736"/>
    </row>
    <row r="129" spans="1:29" ht="13.5">
      <c r="A129" s="734"/>
      <c r="B129" s="734"/>
      <c r="C129" s="734"/>
      <c r="D129" s="735" t="s">
        <v>366</v>
      </c>
      <c r="E129" s="735" t="s">
        <v>549</v>
      </c>
      <c r="F129" s="743">
        <f>+H123/12</f>
        <v>465464.69010320556</v>
      </c>
      <c r="G129" s="771">
        <f>+F126</f>
        <v>2.8E-3</v>
      </c>
      <c r="H129" s="735">
        <v>11.5</v>
      </c>
      <c r="I129" s="743">
        <f t="shared" ref="I129:I140" si="31">+H129*G129*F129</f>
        <v>14987.963021323219</v>
      </c>
      <c r="J129" s="743">
        <f t="shared" ref="J129:J140" si="32">+F129+I129</f>
        <v>480452.65312452876</v>
      </c>
      <c r="K129" s="735"/>
      <c r="L129" s="735"/>
      <c r="M129" s="735"/>
      <c r="N129" s="735"/>
      <c r="O129" s="735"/>
      <c r="P129" s="735"/>
      <c r="Q129" s="735"/>
      <c r="R129" s="735"/>
      <c r="S129" s="735"/>
      <c r="T129" s="735"/>
      <c r="U129" s="735"/>
      <c r="V129" s="735"/>
      <c r="W129" s="735"/>
      <c r="X129" s="735"/>
      <c r="Y129" s="735"/>
      <c r="Z129" s="735"/>
      <c r="AA129" s="735"/>
      <c r="AB129" s="735"/>
      <c r="AC129" s="736"/>
    </row>
    <row r="130" spans="1:29" ht="13.5">
      <c r="A130" s="734"/>
      <c r="B130" s="734"/>
      <c r="C130" s="734"/>
      <c r="D130" s="735" t="s">
        <v>367</v>
      </c>
      <c r="E130" s="735" t="str">
        <f t="shared" ref="E130:G140" si="33">+E129</f>
        <v>Year 1</v>
      </c>
      <c r="F130" s="748">
        <f t="shared" si="33"/>
        <v>465464.69010320556</v>
      </c>
      <c r="G130" s="772">
        <f t="shared" si="33"/>
        <v>2.8E-3</v>
      </c>
      <c r="H130" s="735">
        <f t="shared" ref="H130:H140" si="34">+H129-1</f>
        <v>10.5</v>
      </c>
      <c r="I130" s="743">
        <f t="shared" si="31"/>
        <v>13684.661889034243</v>
      </c>
      <c r="J130" s="743">
        <f t="shared" si="32"/>
        <v>479149.35199223983</v>
      </c>
      <c r="K130" s="735"/>
      <c r="L130" s="735"/>
      <c r="M130" s="735"/>
      <c r="N130" s="735"/>
      <c r="O130" s="735"/>
      <c r="P130" s="735"/>
      <c r="Q130" s="735"/>
      <c r="R130" s="735"/>
      <c r="S130" s="735"/>
      <c r="T130" s="735"/>
      <c r="U130" s="735"/>
      <c r="V130" s="735"/>
      <c r="W130" s="735"/>
      <c r="X130" s="735"/>
      <c r="Y130" s="735"/>
      <c r="Z130" s="735"/>
      <c r="AA130" s="735"/>
      <c r="AB130" s="735"/>
      <c r="AC130" s="736"/>
    </row>
    <row r="131" spans="1:29" ht="13.5">
      <c r="A131" s="734"/>
      <c r="B131" s="734"/>
      <c r="C131" s="734"/>
      <c r="D131" s="735" t="s">
        <v>368</v>
      </c>
      <c r="E131" s="735" t="str">
        <f t="shared" si="33"/>
        <v>Year 1</v>
      </c>
      <c r="F131" s="748">
        <f t="shared" si="33"/>
        <v>465464.69010320556</v>
      </c>
      <c r="G131" s="772">
        <f t="shared" si="33"/>
        <v>2.8E-3</v>
      </c>
      <c r="H131" s="735">
        <f t="shared" si="34"/>
        <v>9.5</v>
      </c>
      <c r="I131" s="743">
        <f t="shared" si="31"/>
        <v>12381.360756745267</v>
      </c>
      <c r="J131" s="743">
        <f t="shared" si="32"/>
        <v>477846.05085995083</v>
      </c>
      <c r="K131" s="735"/>
      <c r="L131" s="735"/>
      <c r="M131" s="735"/>
      <c r="N131" s="735"/>
      <c r="O131" s="735"/>
      <c r="P131" s="735"/>
      <c r="Q131" s="735"/>
      <c r="R131" s="735"/>
      <c r="S131" s="735"/>
      <c r="T131" s="735"/>
      <c r="U131" s="735"/>
      <c r="V131" s="735"/>
      <c r="W131" s="735"/>
      <c r="X131" s="735"/>
      <c r="Y131" s="735"/>
      <c r="Z131" s="735"/>
      <c r="AA131" s="735"/>
      <c r="AB131" s="735"/>
      <c r="AC131" s="736"/>
    </row>
    <row r="132" spans="1:29" ht="13.5">
      <c r="A132" s="734"/>
      <c r="B132" s="734"/>
      <c r="C132" s="734"/>
      <c r="D132" s="735" t="s">
        <v>369</v>
      </c>
      <c r="E132" s="735" t="str">
        <f t="shared" si="33"/>
        <v>Year 1</v>
      </c>
      <c r="F132" s="748">
        <f t="shared" si="33"/>
        <v>465464.69010320556</v>
      </c>
      <c r="G132" s="772">
        <f t="shared" si="33"/>
        <v>2.8E-3</v>
      </c>
      <c r="H132" s="735">
        <f t="shared" si="34"/>
        <v>8.5</v>
      </c>
      <c r="I132" s="743">
        <f t="shared" si="31"/>
        <v>11078.059624456291</v>
      </c>
      <c r="J132" s="743">
        <f t="shared" si="32"/>
        <v>476542.74972766184</v>
      </c>
      <c r="K132" s="735"/>
      <c r="L132" s="735"/>
      <c r="M132" s="735"/>
      <c r="N132" s="735"/>
      <c r="O132" s="735"/>
      <c r="P132" s="735"/>
      <c r="Q132" s="735"/>
      <c r="R132" s="735"/>
      <c r="S132" s="735"/>
      <c r="T132" s="735"/>
      <c r="U132" s="735"/>
      <c r="V132" s="735"/>
      <c r="W132" s="735"/>
      <c r="X132" s="735"/>
      <c r="Y132" s="735"/>
      <c r="Z132" s="735"/>
      <c r="AA132" s="735"/>
      <c r="AB132" s="735"/>
      <c r="AC132" s="736"/>
    </row>
    <row r="133" spans="1:29" ht="13.5">
      <c r="A133" s="734"/>
      <c r="B133" s="734"/>
      <c r="C133" s="734"/>
      <c r="D133" s="735" t="s">
        <v>370</v>
      </c>
      <c r="E133" s="735" t="str">
        <f t="shared" si="33"/>
        <v>Year 1</v>
      </c>
      <c r="F133" s="748">
        <f t="shared" si="33"/>
        <v>465464.69010320556</v>
      </c>
      <c r="G133" s="772">
        <f t="shared" si="33"/>
        <v>2.8E-3</v>
      </c>
      <c r="H133" s="735">
        <f t="shared" si="34"/>
        <v>7.5</v>
      </c>
      <c r="I133" s="743">
        <f t="shared" si="31"/>
        <v>9774.7584921673169</v>
      </c>
      <c r="J133" s="743">
        <f t="shared" si="32"/>
        <v>475239.4485953729</v>
      </c>
      <c r="K133" s="735"/>
      <c r="L133" s="735"/>
      <c r="M133" s="735"/>
      <c r="N133" s="735"/>
      <c r="O133" s="735"/>
      <c r="P133" s="735"/>
      <c r="Q133" s="735"/>
      <c r="R133" s="735"/>
      <c r="S133" s="735"/>
      <c r="T133" s="735"/>
      <c r="U133" s="735"/>
      <c r="V133" s="735"/>
      <c r="W133" s="735"/>
      <c r="X133" s="735"/>
      <c r="Y133" s="735"/>
      <c r="Z133" s="735"/>
      <c r="AA133" s="735"/>
      <c r="AB133" s="735"/>
      <c r="AC133" s="736"/>
    </row>
    <row r="134" spans="1:29" ht="13.5">
      <c r="A134" s="734"/>
      <c r="B134" s="734"/>
      <c r="C134" s="734"/>
      <c r="D134" s="735" t="s">
        <v>371</v>
      </c>
      <c r="E134" s="735" t="str">
        <f t="shared" si="33"/>
        <v>Year 1</v>
      </c>
      <c r="F134" s="748">
        <f t="shared" si="33"/>
        <v>465464.69010320556</v>
      </c>
      <c r="G134" s="772">
        <f t="shared" si="33"/>
        <v>2.8E-3</v>
      </c>
      <c r="H134" s="735">
        <f t="shared" si="34"/>
        <v>6.5</v>
      </c>
      <c r="I134" s="743">
        <f t="shared" si="31"/>
        <v>8471.4573598783409</v>
      </c>
      <c r="J134" s="743">
        <f t="shared" si="32"/>
        <v>473936.14746308391</v>
      </c>
      <c r="K134" s="735"/>
      <c r="L134" s="735"/>
      <c r="M134" s="735"/>
      <c r="N134" s="735"/>
      <c r="O134" s="735"/>
      <c r="P134" s="735"/>
      <c r="Q134" s="735"/>
      <c r="R134" s="735"/>
      <c r="S134" s="735"/>
      <c r="T134" s="735"/>
      <c r="U134" s="735"/>
      <c r="V134" s="735"/>
      <c r="W134" s="735"/>
      <c r="X134" s="735"/>
      <c r="Y134" s="735"/>
      <c r="Z134" s="735"/>
      <c r="AA134" s="735"/>
      <c r="AB134" s="735"/>
      <c r="AC134" s="736"/>
    </row>
    <row r="135" spans="1:29" ht="13.5">
      <c r="A135" s="734"/>
      <c r="B135" s="734"/>
      <c r="C135" s="734"/>
      <c r="D135" s="735" t="s">
        <v>372</v>
      </c>
      <c r="E135" s="735" t="str">
        <f t="shared" si="33"/>
        <v>Year 1</v>
      </c>
      <c r="F135" s="748">
        <f t="shared" si="33"/>
        <v>465464.69010320556</v>
      </c>
      <c r="G135" s="772">
        <f t="shared" si="33"/>
        <v>2.8E-3</v>
      </c>
      <c r="H135" s="735">
        <f t="shared" si="34"/>
        <v>5.5</v>
      </c>
      <c r="I135" s="743">
        <f t="shared" si="31"/>
        <v>7168.1562275893657</v>
      </c>
      <c r="J135" s="743">
        <f t="shared" si="32"/>
        <v>472632.84633079491</v>
      </c>
      <c r="K135" s="735"/>
      <c r="L135" s="735"/>
      <c r="M135" s="735"/>
      <c r="N135" s="735"/>
      <c r="O135" s="735"/>
      <c r="P135" s="735"/>
      <c r="Q135" s="735"/>
      <c r="R135" s="735"/>
      <c r="S135" s="735"/>
      <c r="T135" s="735"/>
      <c r="U135" s="735"/>
      <c r="V135" s="735"/>
      <c r="W135" s="735"/>
      <c r="X135" s="735"/>
      <c r="Y135" s="735"/>
      <c r="Z135" s="735"/>
      <c r="AA135" s="735"/>
      <c r="AB135" s="735"/>
      <c r="AC135" s="736"/>
    </row>
    <row r="136" spans="1:29" ht="13.5">
      <c r="A136" s="734"/>
      <c r="B136" s="734"/>
      <c r="C136" s="734"/>
      <c r="D136" s="735" t="s">
        <v>362</v>
      </c>
      <c r="E136" s="735" t="s">
        <v>543</v>
      </c>
      <c r="F136" s="748">
        <f t="shared" si="33"/>
        <v>465464.69010320556</v>
      </c>
      <c r="G136" s="772">
        <f t="shared" si="33"/>
        <v>2.8E-3</v>
      </c>
      <c r="H136" s="735">
        <f t="shared" si="34"/>
        <v>4.5</v>
      </c>
      <c r="I136" s="743">
        <f t="shared" si="31"/>
        <v>5864.8550953003905</v>
      </c>
      <c r="J136" s="743">
        <f t="shared" si="32"/>
        <v>471329.54519850598</v>
      </c>
      <c r="K136" s="735"/>
      <c r="L136" s="735"/>
      <c r="M136" s="735"/>
      <c r="N136" s="735"/>
      <c r="O136" s="735"/>
      <c r="P136" s="735"/>
      <c r="Q136" s="735"/>
      <c r="R136" s="735"/>
      <c r="S136" s="735"/>
      <c r="T136" s="735"/>
      <c r="U136" s="735"/>
      <c r="V136" s="735"/>
      <c r="W136" s="735"/>
      <c r="X136" s="735"/>
      <c r="Y136" s="735"/>
      <c r="Z136" s="735"/>
      <c r="AA136" s="735"/>
      <c r="AB136" s="735"/>
      <c r="AC136" s="736"/>
    </row>
    <row r="137" spans="1:29" ht="13.5">
      <c r="A137" s="734"/>
      <c r="B137" s="734"/>
      <c r="C137" s="734"/>
      <c r="D137" s="735" t="s">
        <v>363</v>
      </c>
      <c r="E137" s="735" t="str">
        <f>+E136</f>
        <v>Year 2</v>
      </c>
      <c r="F137" s="748">
        <f t="shared" si="33"/>
        <v>465464.69010320556</v>
      </c>
      <c r="G137" s="772">
        <f t="shared" si="33"/>
        <v>2.8E-3</v>
      </c>
      <c r="H137" s="735">
        <f t="shared" si="34"/>
        <v>3.5</v>
      </c>
      <c r="I137" s="743">
        <f t="shared" si="31"/>
        <v>4561.5539630114145</v>
      </c>
      <c r="J137" s="743">
        <f t="shared" si="32"/>
        <v>470026.24406621698</v>
      </c>
      <c r="K137" s="735"/>
      <c r="L137" s="735"/>
      <c r="M137" s="735"/>
      <c r="N137" s="735"/>
      <c r="O137" s="735"/>
      <c r="P137" s="735"/>
      <c r="Q137" s="735"/>
      <c r="R137" s="735"/>
      <c r="S137" s="735"/>
      <c r="T137" s="735"/>
      <c r="U137" s="735"/>
      <c r="V137" s="735"/>
      <c r="W137" s="735"/>
      <c r="X137" s="735"/>
      <c r="Y137" s="735"/>
      <c r="Z137" s="735"/>
      <c r="AA137" s="735"/>
      <c r="AB137" s="735"/>
      <c r="AC137" s="736"/>
    </row>
    <row r="138" spans="1:29" ht="13.5">
      <c r="A138" s="734"/>
      <c r="B138" s="734"/>
      <c r="C138" s="734"/>
      <c r="D138" s="735" t="s">
        <v>364</v>
      </c>
      <c r="E138" s="735" t="str">
        <f>+E137</f>
        <v>Year 2</v>
      </c>
      <c r="F138" s="748">
        <f t="shared" si="33"/>
        <v>465464.69010320556</v>
      </c>
      <c r="G138" s="772">
        <f t="shared" si="33"/>
        <v>2.8E-3</v>
      </c>
      <c r="H138" s="735">
        <f t="shared" si="34"/>
        <v>2.5</v>
      </c>
      <c r="I138" s="743">
        <f t="shared" si="31"/>
        <v>3258.2528307224388</v>
      </c>
      <c r="J138" s="743">
        <f t="shared" si="32"/>
        <v>468722.94293392799</v>
      </c>
      <c r="K138" s="735"/>
      <c r="L138" s="735"/>
      <c r="M138" s="735"/>
      <c r="N138" s="735"/>
      <c r="O138" s="735"/>
      <c r="P138" s="735"/>
      <c r="Q138" s="735"/>
      <c r="R138" s="735"/>
      <c r="S138" s="735"/>
      <c r="T138" s="735"/>
      <c r="U138" s="735"/>
      <c r="V138" s="735"/>
      <c r="W138" s="735"/>
      <c r="X138" s="735"/>
      <c r="Y138" s="735"/>
      <c r="Z138" s="735"/>
      <c r="AA138" s="735"/>
      <c r="AB138" s="735"/>
      <c r="AC138" s="736"/>
    </row>
    <row r="139" spans="1:29" ht="13.5">
      <c r="A139" s="734"/>
      <c r="B139" s="734"/>
      <c r="C139" s="734"/>
      <c r="D139" s="735" t="s">
        <v>365</v>
      </c>
      <c r="E139" s="735" t="str">
        <f>+E138</f>
        <v>Year 2</v>
      </c>
      <c r="F139" s="748">
        <f t="shared" si="33"/>
        <v>465464.69010320556</v>
      </c>
      <c r="G139" s="772">
        <f t="shared" si="33"/>
        <v>2.8E-3</v>
      </c>
      <c r="H139" s="735">
        <f t="shared" si="34"/>
        <v>1.5</v>
      </c>
      <c r="I139" s="743">
        <f t="shared" si="31"/>
        <v>1954.9516984334632</v>
      </c>
      <c r="J139" s="743">
        <f t="shared" si="32"/>
        <v>467419.64180163905</v>
      </c>
      <c r="K139" s="735"/>
      <c r="L139" s="735"/>
      <c r="M139" s="735"/>
      <c r="N139" s="735"/>
      <c r="O139" s="735"/>
      <c r="P139" s="735"/>
      <c r="Q139" s="735"/>
      <c r="R139" s="735"/>
      <c r="S139" s="735"/>
      <c r="T139" s="735"/>
      <c r="U139" s="735"/>
      <c r="V139" s="735"/>
      <c r="W139" s="735"/>
      <c r="X139" s="735"/>
      <c r="Y139" s="735"/>
      <c r="Z139" s="735"/>
      <c r="AA139" s="735"/>
      <c r="AB139" s="735"/>
      <c r="AC139" s="736"/>
    </row>
    <row r="140" spans="1:29" ht="13.5">
      <c r="A140" s="734"/>
      <c r="B140" s="734"/>
      <c r="C140" s="734"/>
      <c r="D140" s="735" t="s">
        <v>359</v>
      </c>
      <c r="E140" s="735" t="str">
        <f>+E139</f>
        <v>Year 2</v>
      </c>
      <c r="F140" s="748">
        <f t="shared" si="33"/>
        <v>465464.69010320556</v>
      </c>
      <c r="G140" s="772">
        <f t="shared" si="33"/>
        <v>2.8E-3</v>
      </c>
      <c r="H140" s="735">
        <f t="shared" si="34"/>
        <v>0.5</v>
      </c>
      <c r="I140" s="743">
        <f t="shared" si="31"/>
        <v>651.65056614448781</v>
      </c>
      <c r="J140" s="743">
        <f t="shared" si="32"/>
        <v>466116.34066935006</v>
      </c>
      <c r="K140" s="735"/>
      <c r="L140" s="735"/>
      <c r="M140" s="735"/>
      <c r="N140" s="735"/>
      <c r="O140" s="735"/>
      <c r="P140" s="735"/>
      <c r="Q140" s="735"/>
      <c r="R140" s="735"/>
      <c r="S140" s="735"/>
      <c r="T140" s="735"/>
      <c r="U140" s="735"/>
      <c r="V140" s="735"/>
      <c r="W140" s="735"/>
      <c r="X140" s="735"/>
      <c r="Y140" s="735"/>
      <c r="Z140" s="735"/>
      <c r="AA140" s="735"/>
      <c r="AB140" s="735"/>
      <c r="AC140" s="736"/>
    </row>
    <row r="141" spans="1:29" ht="13.5">
      <c r="A141" s="734"/>
      <c r="B141" s="734"/>
      <c r="C141" s="734"/>
      <c r="D141" s="735" t="s">
        <v>181</v>
      </c>
      <c r="E141" s="735"/>
      <c r="F141" s="748">
        <f>SUM(F129:F140)</f>
        <v>5585576.2812384665</v>
      </c>
      <c r="G141" s="735"/>
      <c r="H141" s="735"/>
      <c r="I141" s="735"/>
      <c r="J141" s="743">
        <f>SUM(J129:J140)</f>
        <v>5679413.9627632732</v>
      </c>
      <c r="K141" s="735"/>
      <c r="L141" s="735"/>
      <c r="M141" s="735"/>
      <c r="N141" s="735"/>
      <c r="O141" s="735"/>
      <c r="P141" s="735"/>
      <c r="Q141" s="735"/>
      <c r="R141" s="735"/>
      <c r="S141" s="735"/>
      <c r="T141" s="735"/>
      <c r="U141" s="735"/>
      <c r="V141" s="735"/>
      <c r="W141" s="735"/>
      <c r="X141" s="735"/>
      <c r="Y141" s="735"/>
      <c r="Z141" s="735"/>
      <c r="AA141" s="735"/>
      <c r="AB141" s="735"/>
      <c r="AC141" s="736"/>
    </row>
    <row r="142" spans="1:29" ht="13.5">
      <c r="A142" s="734"/>
      <c r="B142" s="734"/>
      <c r="C142" s="734"/>
      <c r="D142" s="735"/>
      <c r="E142" s="735"/>
      <c r="F142" s="748"/>
      <c r="G142" s="735"/>
      <c r="H142" s="735"/>
      <c r="I142" s="735"/>
      <c r="J142" s="743"/>
      <c r="K142" s="735"/>
      <c r="L142" s="735"/>
      <c r="M142" s="735"/>
      <c r="N142" s="735"/>
      <c r="O142" s="735"/>
      <c r="P142" s="735"/>
      <c r="Q142" s="735"/>
      <c r="R142" s="735"/>
      <c r="S142" s="735"/>
      <c r="T142" s="735"/>
      <c r="U142" s="735"/>
      <c r="V142" s="735"/>
      <c r="W142" s="735"/>
      <c r="X142" s="735"/>
      <c r="Y142" s="735"/>
      <c r="Z142" s="735"/>
      <c r="AA142" s="735"/>
      <c r="AB142" s="735"/>
      <c r="AC142" s="736"/>
    </row>
    <row r="143" spans="1:29" ht="27">
      <c r="A143" s="734"/>
      <c r="B143" s="734"/>
      <c r="C143" s="734"/>
      <c r="D143" s="735"/>
      <c r="E143" s="735"/>
      <c r="F143" s="769" t="s">
        <v>378</v>
      </c>
      <c r="G143" s="734" t="s">
        <v>684</v>
      </c>
      <c r="H143" s="773" t="s">
        <v>462</v>
      </c>
      <c r="I143" s="734" t="s">
        <v>378</v>
      </c>
      <c r="J143" s="735"/>
      <c r="K143" s="735"/>
      <c r="L143" s="735"/>
      <c r="M143" s="735"/>
      <c r="N143" s="735"/>
      <c r="O143" s="735"/>
      <c r="P143" s="735"/>
      <c r="Q143" s="735"/>
      <c r="R143" s="735"/>
      <c r="S143" s="735"/>
      <c r="T143" s="735"/>
      <c r="U143" s="735"/>
      <c r="V143" s="735"/>
      <c r="W143" s="735"/>
      <c r="X143" s="735"/>
      <c r="Y143" s="735"/>
      <c r="Z143" s="735"/>
      <c r="AA143" s="735"/>
      <c r="AB143" s="735"/>
      <c r="AC143" s="736"/>
    </row>
    <row r="144" spans="1:29" ht="13.5">
      <c r="A144" s="734"/>
      <c r="B144" s="734"/>
      <c r="C144" s="734"/>
      <c r="D144" s="735" t="str">
        <f t="shared" ref="D144:D155" si="35">+D129</f>
        <v>Jun</v>
      </c>
      <c r="E144" s="735" t="str">
        <f>+E140</f>
        <v>Year 2</v>
      </c>
      <c r="F144" s="748">
        <f>+J141</f>
        <v>5679413.9627632732</v>
      </c>
      <c r="G144" s="772">
        <f>+G140</f>
        <v>2.8E-3</v>
      </c>
      <c r="H144" s="743">
        <f>-PMT(G144,12,J141)</f>
        <v>481942.42951011372</v>
      </c>
      <c r="I144" s="743">
        <f t="shared" ref="I144:I155" si="36">+F144+F144*G144-H144</f>
        <v>5213373.8923488967</v>
      </c>
      <c r="J144" s="735"/>
      <c r="K144" s="735"/>
      <c r="L144" s="735"/>
      <c r="M144" s="735"/>
      <c r="N144" s="735"/>
      <c r="O144" s="735"/>
      <c r="P144" s="735"/>
      <c r="Q144" s="735"/>
      <c r="R144" s="735"/>
      <c r="S144" s="735"/>
      <c r="T144" s="735"/>
      <c r="U144" s="735"/>
      <c r="V144" s="735"/>
      <c r="W144" s="735"/>
      <c r="X144" s="735"/>
      <c r="Y144" s="735"/>
      <c r="Z144" s="735"/>
      <c r="AA144" s="735"/>
      <c r="AB144" s="735"/>
      <c r="AC144" s="736"/>
    </row>
    <row r="145" spans="1:29" ht="13.5">
      <c r="A145" s="734"/>
      <c r="B145" s="734"/>
      <c r="C145" s="734"/>
      <c r="D145" s="735" t="str">
        <f t="shared" si="35"/>
        <v>Jul</v>
      </c>
      <c r="E145" s="735" t="str">
        <f t="shared" ref="E145:E150" si="37">+E144</f>
        <v>Year 2</v>
      </c>
      <c r="F145" s="748">
        <f t="shared" ref="F145:F155" si="38">+I144</f>
        <v>5213373.8923488967</v>
      </c>
      <c r="G145" s="772">
        <f t="shared" ref="G145:H155" si="39">+G144</f>
        <v>2.8E-3</v>
      </c>
      <c r="H145" s="748">
        <f t="shared" si="39"/>
        <v>481942.42951011372</v>
      </c>
      <c r="I145" s="743">
        <f t="shared" si="36"/>
        <v>4746028.9097373597</v>
      </c>
      <c r="J145" s="735"/>
      <c r="K145" s="735"/>
      <c r="L145" s="735"/>
      <c r="M145" s="735"/>
      <c r="N145" s="735"/>
      <c r="O145" s="735"/>
      <c r="P145" s="735"/>
      <c r="Q145" s="735"/>
      <c r="R145" s="735"/>
      <c r="S145" s="735"/>
      <c r="T145" s="735"/>
      <c r="U145" s="735"/>
      <c r="V145" s="735"/>
      <c r="W145" s="735"/>
      <c r="X145" s="735"/>
      <c r="Y145" s="735"/>
      <c r="Z145" s="735"/>
      <c r="AA145" s="735"/>
      <c r="AB145" s="735"/>
      <c r="AC145" s="736"/>
    </row>
    <row r="146" spans="1:29" ht="13.5">
      <c r="A146" s="734"/>
      <c r="B146" s="734"/>
      <c r="C146" s="734"/>
      <c r="D146" s="735" t="str">
        <f t="shared" si="35"/>
        <v>Aug</v>
      </c>
      <c r="E146" s="735" t="str">
        <f t="shared" si="37"/>
        <v>Year 2</v>
      </c>
      <c r="F146" s="748">
        <f t="shared" si="38"/>
        <v>4746028.9097373597</v>
      </c>
      <c r="G146" s="772">
        <f t="shared" si="39"/>
        <v>2.8E-3</v>
      </c>
      <c r="H146" s="748">
        <f t="shared" si="39"/>
        <v>481942.42951011372</v>
      </c>
      <c r="I146" s="743">
        <f t="shared" si="36"/>
        <v>4277375.3611745108</v>
      </c>
      <c r="J146" s="735"/>
      <c r="K146" s="735"/>
      <c r="L146" s="735"/>
      <c r="M146" s="735"/>
      <c r="N146" s="735"/>
      <c r="O146" s="735"/>
      <c r="P146" s="735"/>
      <c r="Q146" s="735"/>
      <c r="R146" s="735"/>
      <c r="S146" s="735"/>
      <c r="T146" s="735"/>
      <c r="U146" s="735"/>
      <c r="V146" s="735"/>
      <c r="W146" s="735"/>
      <c r="X146" s="735"/>
      <c r="Y146" s="735"/>
      <c r="Z146" s="735"/>
      <c r="AA146" s="735"/>
      <c r="AB146" s="735"/>
      <c r="AC146" s="736"/>
    </row>
    <row r="147" spans="1:29" ht="13.5">
      <c r="A147" s="734"/>
      <c r="B147" s="734"/>
      <c r="C147" s="734"/>
      <c r="D147" s="735" t="str">
        <f t="shared" si="35"/>
        <v>Sep</v>
      </c>
      <c r="E147" s="735" t="str">
        <f t="shared" si="37"/>
        <v>Year 2</v>
      </c>
      <c r="F147" s="748">
        <f t="shared" si="38"/>
        <v>4277375.3611745108</v>
      </c>
      <c r="G147" s="772">
        <f t="shared" si="39"/>
        <v>2.8E-3</v>
      </c>
      <c r="H147" s="748">
        <f t="shared" si="39"/>
        <v>481942.42951011372</v>
      </c>
      <c r="I147" s="743">
        <f t="shared" si="36"/>
        <v>3807409.5826756852</v>
      </c>
      <c r="J147" s="735"/>
      <c r="K147" s="774"/>
      <c r="L147" s="735"/>
      <c r="M147" s="735"/>
      <c r="N147" s="735"/>
      <c r="O147" s="735"/>
      <c r="P147" s="735"/>
      <c r="Q147" s="735"/>
      <c r="R147" s="735"/>
      <c r="S147" s="735"/>
      <c r="T147" s="735"/>
      <c r="U147" s="735"/>
      <c r="V147" s="735"/>
      <c r="W147" s="735"/>
      <c r="X147" s="735"/>
      <c r="Y147" s="735"/>
      <c r="Z147" s="735"/>
      <c r="AA147" s="735"/>
      <c r="AB147" s="735"/>
      <c r="AC147" s="736"/>
    </row>
    <row r="148" spans="1:29" ht="13.5">
      <c r="A148" s="734"/>
      <c r="B148" s="734"/>
      <c r="C148" s="734"/>
      <c r="D148" s="735" t="str">
        <f t="shared" si="35"/>
        <v>Oct</v>
      </c>
      <c r="E148" s="735" t="str">
        <f t="shared" si="37"/>
        <v>Year 2</v>
      </c>
      <c r="F148" s="748">
        <f t="shared" si="38"/>
        <v>3807409.5826756852</v>
      </c>
      <c r="G148" s="772">
        <f t="shared" si="39"/>
        <v>2.8E-3</v>
      </c>
      <c r="H148" s="748">
        <f t="shared" si="39"/>
        <v>481942.42951011372</v>
      </c>
      <c r="I148" s="743">
        <f t="shared" si="36"/>
        <v>3336127.8999970634</v>
      </c>
      <c r="J148" s="735"/>
      <c r="K148" s="772"/>
      <c r="L148" s="735"/>
      <c r="M148" s="735"/>
      <c r="N148" s="735"/>
      <c r="O148" s="735"/>
      <c r="P148" s="735"/>
      <c r="Q148" s="735"/>
      <c r="R148" s="735"/>
      <c r="S148" s="735"/>
      <c r="T148" s="735"/>
      <c r="U148" s="735"/>
      <c r="V148" s="735"/>
      <c r="W148" s="735"/>
      <c r="X148" s="735"/>
      <c r="Y148" s="735"/>
      <c r="Z148" s="735"/>
      <c r="AA148" s="735"/>
      <c r="AB148" s="735"/>
      <c r="AC148" s="736"/>
    </row>
    <row r="149" spans="1:29" ht="13.5">
      <c r="A149" s="734"/>
      <c r="B149" s="734"/>
      <c r="C149" s="734"/>
      <c r="D149" s="735" t="str">
        <f t="shared" si="35"/>
        <v>Nov</v>
      </c>
      <c r="E149" s="735" t="str">
        <f t="shared" si="37"/>
        <v>Year 2</v>
      </c>
      <c r="F149" s="748">
        <f t="shared" si="38"/>
        <v>3336127.8999970634</v>
      </c>
      <c r="G149" s="772">
        <f t="shared" si="39"/>
        <v>2.8E-3</v>
      </c>
      <c r="H149" s="748">
        <f t="shared" si="39"/>
        <v>481942.42951011372</v>
      </c>
      <c r="I149" s="743">
        <f t="shared" si="36"/>
        <v>2863526.6286069416</v>
      </c>
      <c r="J149" s="735"/>
      <c r="K149" s="735"/>
      <c r="L149" s="735"/>
      <c r="M149" s="735"/>
      <c r="N149" s="735"/>
      <c r="O149" s="735"/>
      <c r="P149" s="735"/>
      <c r="Q149" s="735"/>
      <c r="R149" s="735"/>
      <c r="S149" s="735"/>
      <c r="T149" s="735"/>
      <c r="U149" s="735"/>
      <c r="V149" s="735"/>
      <c r="W149" s="735"/>
      <c r="X149" s="735"/>
      <c r="Y149" s="735"/>
      <c r="Z149" s="735"/>
      <c r="AA149" s="735"/>
      <c r="AB149" s="735"/>
      <c r="AC149" s="736"/>
    </row>
    <row r="150" spans="1:29" ht="13.5">
      <c r="A150" s="734"/>
      <c r="B150" s="734"/>
      <c r="C150" s="734"/>
      <c r="D150" s="735" t="str">
        <f t="shared" si="35"/>
        <v>Dec</v>
      </c>
      <c r="E150" s="735" t="str">
        <f t="shared" si="37"/>
        <v>Year 2</v>
      </c>
      <c r="F150" s="748">
        <f t="shared" si="38"/>
        <v>2863526.6286069416</v>
      </c>
      <c r="G150" s="772">
        <f t="shared" si="39"/>
        <v>2.8E-3</v>
      </c>
      <c r="H150" s="748">
        <f t="shared" si="39"/>
        <v>481942.42951011372</v>
      </c>
      <c r="I150" s="743">
        <f t="shared" si="36"/>
        <v>2389602.0736569273</v>
      </c>
      <c r="J150" s="735"/>
      <c r="K150" s="735"/>
      <c r="L150" s="735"/>
      <c r="M150" s="735"/>
      <c r="N150" s="735"/>
      <c r="O150" s="735"/>
      <c r="P150" s="735"/>
      <c r="Q150" s="735"/>
      <c r="R150" s="735"/>
      <c r="S150" s="735"/>
      <c r="T150" s="735"/>
      <c r="U150" s="735"/>
      <c r="V150" s="735"/>
      <c r="W150" s="735"/>
      <c r="X150" s="735"/>
      <c r="Y150" s="735"/>
      <c r="Z150" s="735"/>
      <c r="AA150" s="735"/>
      <c r="AB150" s="735"/>
      <c r="AC150" s="736"/>
    </row>
    <row r="151" spans="1:29" ht="13.5">
      <c r="A151" s="734"/>
      <c r="B151" s="734"/>
      <c r="C151" s="734"/>
      <c r="D151" s="735" t="str">
        <f t="shared" si="35"/>
        <v>Jan</v>
      </c>
      <c r="E151" s="735" t="s">
        <v>539</v>
      </c>
      <c r="F151" s="748">
        <f t="shared" si="38"/>
        <v>2389602.0736569273</v>
      </c>
      <c r="G151" s="772">
        <f t="shared" si="39"/>
        <v>2.8E-3</v>
      </c>
      <c r="H151" s="748">
        <f t="shared" si="39"/>
        <v>481942.42951011372</v>
      </c>
      <c r="I151" s="743">
        <f t="shared" si="36"/>
        <v>1914350.5299530528</v>
      </c>
      <c r="J151" s="735"/>
      <c r="K151" s="735"/>
      <c r="L151" s="735"/>
      <c r="M151" s="735"/>
      <c r="N151" s="735"/>
      <c r="O151" s="735"/>
      <c r="P151" s="735"/>
      <c r="Q151" s="735"/>
      <c r="R151" s="735"/>
      <c r="S151" s="735"/>
      <c r="T151" s="735"/>
      <c r="U151" s="735"/>
      <c r="V151" s="735"/>
      <c r="W151" s="735"/>
      <c r="X151" s="735"/>
      <c r="Y151" s="735"/>
      <c r="Z151" s="735"/>
      <c r="AA151" s="735"/>
      <c r="AB151" s="735"/>
      <c r="AC151" s="736"/>
    </row>
    <row r="152" spans="1:29" ht="13.5">
      <c r="A152" s="734"/>
      <c r="B152" s="734"/>
      <c r="C152" s="734"/>
      <c r="D152" s="735" t="str">
        <f t="shared" si="35"/>
        <v>Feb</v>
      </c>
      <c r="E152" s="735" t="str">
        <f>+E151</f>
        <v>Year 3</v>
      </c>
      <c r="F152" s="748">
        <f t="shared" si="38"/>
        <v>1914350.5299530528</v>
      </c>
      <c r="G152" s="772">
        <f t="shared" si="39"/>
        <v>2.8E-3</v>
      </c>
      <c r="H152" s="748">
        <f t="shared" si="39"/>
        <v>481942.42951011372</v>
      </c>
      <c r="I152" s="743">
        <f t="shared" si="36"/>
        <v>1437768.2819268075</v>
      </c>
      <c r="J152" s="735"/>
      <c r="K152" s="735"/>
      <c r="L152" s="735"/>
      <c r="M152" s="735"/>
      <c r="N152" s="735"/>
      <c r="O152" s="735"/>
      <c r="P152" s="735"/>
      <c r="Q152" s="735"/>
      <c r="R152" s="735"/>
      <c r="S152" s="735"/>
      <c r="T152" s="735"/>
      <c r="U152" s="735"/>
      <c r="V152" s="735"/>
      <c r="W152" s="735"/>
      <c r="X152" s="735"/>
      <c r="Y152" s="735"/>
      <c r="Z152" s="735"/>
      <c r="AA152" s="735"/>
      <c r="AB152" s="735"/>
      <c r="AC152" s="736"/>
    </row>
    <row r="153" spans="1:29" ht="13.5">
      <c r="A153" s="734"/>
      <c r="B153" s="734"/>
      <c r="C153" s="734"/>
      <c r="D153" s="735" t="str">
        <f t="shared" si="35"/>
        <v>Mar</v>
      </c>
      <c r="E153" s="735" t="str">
        <f>+E152</f>
        <v>Year 3</v>
      </c>
      <c r="F153" s="748">
        <f t="shared" si="38"/>
        <v>1437768.2819268075</v>
      </c>
      <c r="G153" s="772">
        <f t="shared" si="39"/>
        <v>2.8E-3</v>
      </c>
      <c r="H153" s="748">
        <f t="shared" si="39"/>
        <v>481942.42951011372</v>
      </c>
      <c r="I153" s="743">
        <f t="shared" si="36"/>
        <v>959851.60360608879</v>
      </c>
      <c r="J153" s="735"/>
      <c r="K153" s="735"/>
      <c r="L153" s="735"/>
      <c r="M153" s="735"/>
      <c r="N153" s="735"/>
      <c r="O153" s="735"/>
      <c r="P153" s="735"/>
      <c r="Q153" s="735"/>
      <c r="R153" s="735"/>
      <c r="S153" s="735"/>
      <c r="T153" s="735"/>
      <c r="U153" s="735"/>
      <c r="V153" s="735"/>
      <c r="W153" s="735"/>
      <c r="X153" s="735"/>
      <c r="Y153" s="735"/>
      <c r="Z153" s="735"/>
      <c r="AA153" s="735"/>
      <c r="AB153" s="735"/>
      <c r="AC153" s="736"/>
    </row>
    <row r="154" spans="1:29" ht="13.5">
      <c r="A154" s="734"/>
      <c r="B154" s="734"/>
      <c r="C154" s="734"/>
      <c r="D154" s="735" t="str">
        <f t="shared" si="35"/>
        <v>Apr</v>
      </c>
      <c r="E154" s="735" t="str">
        <f>+E153</f>
        <v>Year 3</v>
      </c>
      <c r="F154" s="748">
        <f t="shared" si="38"/>
        <v>959851.60360608879</v>
      </c>
      <c r="G154" s="772">
        <f t="shared" si="39"/>
        <v>2.8E-3</v>
      </c>
      <c r="H154" s="748">
        <f t="shared" si="39"/>
        <v>481942.42951011372</v>
      </c>
      <c r="I154" s="743">
        <f t="shared" si="36"/>
        <v>480596.75858607207</v>
      </c>
      <c r="J154" s="735"/>
      <c r="K154" s="735"/>
      <c r="L154" s="735"/>
      <c r="M154" s="735"/>
      <c r="N154" s="735"/>
      <c r="O154" s="735"/>
      <c r="P154" s="735"/>
      <c r="Q154" s="735"/>
      <c r="R154" s="735"/>
      <c r="S154" s="735"/>
      <c r="T154" s="735"/>
      <c r="U154" s="735"/>
      <c r="V154" s="735"/>
      <c r="W154" s="735"/>
      <c r="X154" s="735"/>
      <c r="Y154" s="735"/>
      <c r="Z154" s="735"/>
      <c r="AA154" s="735"/>
      <c r="AB154" s="735"/>
      <c r="AC154" s="736"/>
    </row>
    <row r="155" spans="1:29" ht="13.5">
      <c r="A155" s="734"/>
      <c r="B155" s="734"/>
      <c r="C155" s="734"/>
      <c r="D155" s="735" t="str">
        <f t="shared" si="35"/>
        <v>May</v>
      </c>
      <c r="E155" s="735" t="str">
        <f>+E154</f>
        <v>Year 3</v>
      </c>
      <c r="F155" s="748">
        <f t="shared" si="38"/>
        <v>480596.75858607207</v>
      </c>
      <c r="G155" s="772">
        <f t="shared" si="39"/>
        <v>2.8E-3</v>
      </c>
      <c r="H155" s="748">
        <f t="shared" si="39"/>
        <v>481942.42951011372</v>
      </c>
      <c r="I155" s="743">
        <f t="shared" si="36"/>
        <v>-6.4028427004814148E-10</v>
      </c>
      <c r="J155" s="735"/>
      <c r="K155" s="735"/>
      <c r="L155" s="735"/>
      <c r="M155" s="735"/>
      <c r="N155" s="735"/>
      <c r="O155" s="735"/>
      <c r="P155" s="735"/>
      <c r="Q155" s="735"/>
      <c r="R155" s="735"/>
      <c r="S155" s="735"/>
      <c r="T155" s="735"/>
      <c r="U155" s="735"/>
      <c r="V155" s="735"/>
      <c r="W155" s="735"/>
      <c r="X155" s="735"/>
      <c r="Y155" s="735"/>
      <c r="Z155" s="735"/>
      <c r="AA155" s="735"/>
      <c r="AB155" s="735"/>
      <c r="AC155" s="736"/>
    </row>
    <row r="156" spans="1:29" ht="13.5">
      <c r="A156" s="734"/>
      <c r="B156" s="734"/>
      <c r="C156" s="734"/>
      <c r="D156" s="735" t="s">
        <v>480</v>
      </c>
      <c r="E156" s="735"/>
      <c r="F156" s="735"/>
      <c r="G156" s="735"/>
      <c r="H156" s="748">
        <f>SUM(H144:H155)</f>
        <v>5783309.1541213645</v>
      </c>
      <c r="I156" s="735"/>
      <c r="J156" s="735"/>
      <c r="K156" s="735"/>
      <c r="L156" s="735"/>
      <c r="M156" s="735"/>
      <c r="N156" s="735"/>
      <c r="O156" s="735"/>
      <c r="P156" s="735"/>
      <c r="Q156" s="735"/>
      <c r="R156" s="735"/>
      <c r="S156" s="735"/>
      <c r="T156" s="735"/>
      <c r="U156" s="735"/>
      <c r="V156" s="735"/>
      <c r="W156" s="735"/>
      <c r="X156" s="735"/>
      <c r="Y156" s="735"/>
      <c r="Z156" s="735"/>
      <c r="AA156" s="735"/>
      <c r="AB156" s="735"/>
      <c r="AC156" s="736"/>
    </row>
    <row r="157" spans="1:29" ht="13.5">
      <c r="A157" s="734"/>
      <c r="B157" s="734"/>
      <c r="C157" s="734"/>
      <c r="D157" s="735"/>
      <c r="E157" s="735"/>
      <c r="F157" s="735"/>
      <c r="G157" s="735"/>
      <c r="H157" s="735"/>
      <c r="I157" s="735"/>
      <c r="J157" s="735"/>
      <c r="K157" s="735"/>
      <c r="L157" s="735"/>
      <c r="M157" s="735"/>
      <c r="N157" s="735"/>
      <c r="O157" s="735"/>
      <c r="P157" s="735"/>
      <c r="Q157" s="735"/>
      <c r="R157" s="735"/>
      <c r="S157" s="735"/>
      <c r="T157" s="735"/>
      <c r="U157" s="735"/>
      <c r="V157" s="735"/>
      <c r="W157" s="735"/>
      <c r="X157" s="735"/>
      <c r="Y157" s="735"/>
      <c r="Z157" s="735"/>
      <c r="AA157" s="735"/>
      <c r="AB157" s="735"/>
      <c r="AC157" s="736"/>
    </row>
    <row r="158" spans="1:29" ht="13.5">
      <c r="B158" s="734"/>
      <c r="C158" s="734"/>
      <c r="D158" s="768" t="s">
        <v>685</v>
      </c>
      <c r="E158" s="734"/>
      <c r="G158" s="734"/>
      <c r="H158" s="748">
        <f>+H156</f>
        <v>5783309.1541213645</v>
      </c>
      <c r="I158" s="769"/>
      <c r="J158" s="748"/>
      <c r="K158" s="735"/>
      <c r="L158" s="735"/>
      <c r="M158" s="735"/>
      <c r="N158" s="735"/>
      <c r="O158" s="735"/>
      <c r="P158" s="735"/>
      <c r="Q158" s="735"/>
      <c r="R158" s="735"/>
      <c r="S158" s="735"/>
      <c r="T158" s="735"/>
      <c r="U158" s="735"/>
      <c r="V158" s="735"/>
      <c r="W158" s="735"/>
      <c r="X158" s="735"/>
      <c r="Y158" s="735"/>
      <c r="Z158" s="735"/>
      <c r="AA158" s="735"/>
      <c r="AB158" s="735"/>
      <c r="AC158" s="736"/>
    </row>
    <row r="159" spans="1:29" ht="13.5">
      <c r="A159" s="1127"/>
      <c r="B159" s="1128"/>
      <c r="C159" s="1128"/>
      <c r="D159" s="1167"/>
      <c r="E159" s="1128"/>
      <c r="F159" s="865"/>
      <c r="G159" s="1168" t="s">
        <v>851</v>
      </c>
      <c r="H159" s="1169">
        <f>'5 - Cost Support 1'!D253</f>
        <v>-13089047.05954301</v>
      </c>
      <c r="I159" s="1170" t="s">
        <v>586</v>
      </c>
      <c r="J159" s="875"/>
      <c r="K159" s="735"/>
      <c r="L159" s="735"/>
      <c r="M159" s="735"/>
      <c r="N159" s="735"/>
      <c r="O159" s="735"/>
      <c r="P159" s="735"/>
      <c r="Q159" s="735"/>
      <c r="R159" s="735"/>
      <c r="S159" s="735"/>
      <c r="T159" s="735"/>
      <c r="U159" s="735"/>
      <c r="V159" s="735"/>
      <c r="W159" s="735"/>
      <c r="X159" s="735"/>
      <c r="Y159" s="735"/>
      <c r="Z159" s="735"/>
      <c r="AA159" s="735"/>
      <c r="AB159" s="735"/>
      <c r="AC159" s="736"/>
    </row>
    <row r="160" spans="1:29" ht="13.5">
      <c r="A160" s="1127"/>
      <c r="B160" s="1128"/>
      <c r="C160" s="1128"/>
      <c r="D160" s="1167"/>
      <c r="E160" s="1128"/>
      <c r="F160" s="865"/>
      <c r="G160" s="1168" t="s">
        <v>852</v>
      </c>
      <c r="H160" s="1171">
        <f>SUM(H158:H159)</f>
        <v>-7305737.9054216454</v>
      </c>
      <c r="I160" s="1170"/>
      <c r="J160" s="875"/>
      <c r="K160" s="735"/>
      <c r="L160" s="735"/>
      <c r="M160" s="735"/>
      <c r="N160" s="735"/>
      <c r="O160" s="735"/>
      <c r="P160" s="735"/>
      <c r="Q160" s="735"/>
      <c r="R160" s="735"/>
      <c r="S160" s="735"/>
      <c r="T160" s="735"/>
      <c r="U160" s="735"/>
      <c r="V160" s="735"/>
      <c r="W160" s="735"/>
      <c r="X160" s="735"/>
      <c r="Y160" s="735"/>
      <c r="Z160" s="735"/>
      <c r="AA160" s="735"/>
      <c r="AB160" s="735"/>
      <c r="AC160" s="736"/>
    </row>
    <row r="161" spans="1:29" ht="13.5">
      <c r="A161" s="1127"/>
      <c r="B161" s="1128"/>
      <c r="C161" s="1128"/>
      <c r="D161" s="1167"/>
      <c r="E161" s="1128"/>
      <c r="F161" s="865"/>
      <c r="G161" s="1168"/>
      <c r="H161" s="1171"/>
      <c r="I161" s="1170"/>
      <c r="J161" s="875"/>
      <c r="K161" s="1132"/>
      <c r="L161" s="735"/>
      <c r="M161" s="735"/>
      <c r="N161" s="735"/>
      <c r="O161" s="735"/>
      <c r="P161" s="735"/>
      <c r="Q161" s="735"/>
      <c r="R161" s="735"/>
      <c r="S161" s="735"/>
      <c r="T161" s="735"/>
      <c r="U161" s="735"/>
      <c r="V161" s="735"/>
      <c r="W161" s="735"/>
      <c r="X161" s="735"/>
      <c r="Y161" s="735"/>
      <c r="Z161" s="735"/>
      <c r="AA161" s="735"/>
      <c r="AB161" s="735"/>
      <c r="AC161" s="736"/>
    </row>
    <row r="162" spans="1:29" ht="13.5">
      <c r="A162" s="1127"/>
      <c r="B162" s="1128"/>
      <c r="C162" s="1128"/>
      <c r="D162" s="1167" t="s">
        <v>686</v>
      </c>
      <c r="E162" s="1128"/>
      <c r="F162" s="865"/>
      <c r="G162" s="1128"/>
      <c r="H162" s="1172">
        <f>D116</f>
        <v>124794816.12427944</v>
      </c>
      <c r="I162" s="1173"/>
      <c r="J162" s="1131"/>
      <c r="K162" s="1132"/>
      <c r="L162" s="735"/>
      <c r="M162" s="735"/>
      <c r="N162" s="735"/>
      <c r="O162" s="735"/>
      <c r="P162" s="735"/>
      <c r="Q162" s="735"/>
      <c r="R162" s="735"/>
      <c r="S162" s="735"/>
      <c r="T162" s="735"/>
      <c r="U162" s="735"/>
      <c r="V162" s="735"/>
      <c r="W162" s="735"/>
      <c r="X162" s="735"/>
      <c r="Y162" s="735"/>
      <c r="Z162" s="735"/>
      <c r="AA162" s="735"/>
      <c r="AB162" s="735"/>
      <c r="AC162" s="736"/>
    </row>
    <row r="163" spans="1:29" ht="13.5">
      <c r="A163" s="1127"/>
      <c r="B163" s="1128"/>
      <c r="C163" s="1128"/>
      <c r="D163" s="1167" t="s">
        <v>538</v>
      </c>
      <c r="E163" s="1128"/>
      <c r="F163" s="865"/>
      <c r="G163" s="1128"/>
      <c r="H163" s="875">
        <f>H160+H162</f>
        <v>117489078.2188578</v>
      </c>
      <c r="I163" s="1130"/>
      <c r="J163" s="1131"/>
      <c r="K163" s="1132"/>
      <c r="L163" s="735"/>
      <c r="M163" s="735"/>
      <c r="N163" s="735"/>
      <c r="O163" s="735"/>
      <c r="P163" s="735"/>
      <c r="Q163" s="735"/>
      <c r="R163" s="735"/>
      <c r="S163" s="735"/>
      <c r="T163" s="735"/>
      <c r="U163" s="735"/>
      <c r="V163" s="735"/>
      <c r="W163" s="735"/>
      <c r="X163" s="735"/>
      <c r="Y163" s="735"/>
      <c r="Z163" s="735"/>
      <c r="AA163" s="735"/>
      <c r="AB163" s="735"/>
      <c r="AC163" s="736"/>
    </row>
    <row r="164" spans="1:29" ht="13.5">
      <c r="A164" s="1127"/>
      <c r="B164" s="1128"/>
      <c r="C164" s="1128"/>
      <c r="D164" s="1129"/>
      <c r="E164" s="1128"/>
      <c r="F164" s="865"/>
      <c r="G164" s="1174"/>
      <c r="H164" s="1171"/>
      <c r="I164" s="1170"/>
      <c r="J164" s="1175"/>
      <c r="K164" s="1132"/>
      <c r="L164" s="735"/>
      <c r="M164" s="735"/>
      <c r="N164" s="735"/>
      <c r="O164" s="735"/>
      <c r="P164" s="735"/>
      <c r="Q164" s="735"/>
      <c r="R164" s="735"/>
      <c r="S164" s="735"/>
      <c r="T164" s="735"/>
      <c r="U164" s="735"/>
      <c r="V164" s="735"/>
      <c r="W164" s="735"/>
      <c r="X164" s="735"/>
      <c r="Y164" s="735"/>
      <c r="Z164" s="735"/>
      <c r="AA164" s="735"/>
      <c r="AB164" s="735"/>
      <c r="AC164" s="736"/>
    </row>
    <row r="165" spans="1:29" ht="13.5">
      <c r="A165" s="1128"/>
      <c r="B165" s="1128"/>
      <c r="C165" s="1128"/>
      <c r="D165" s="1129"/>
      <c r="E165" s="1128"/>
      <c r="F165" s="875"/>
      <c r="G165" s="1174"/>
      <c r="H165" s="1171"/>
      <c r="I165" s="865"/>
      <c r="J165" s="1175"/>
      <c r="K165" s="1132"/>
      <c r="L165" s="735"/>
      <c r="M165" s="735"/>
      <c r="N165" s="735"/>
      <c r="O165" s="735"/>
      <c r="P165" s="735"/>
      <c r="Q165" s="735"/>
      <c r="R165" s="735"/>
      <c r="S165" s="735"/>
      <c r="T165" s="735"/>
      <c r="U165" s="735"/>
      <c r="V165" s="735"/>
      <c r="W165" s="735"/>
      <c r="X165" s="735"/>
      <c r="Y165" s="735"/>
      <c r="Z165" s="735"/>
      <c r="AA165" s="735"/>
      <c r="AB165" s="735"/>
      <c r="AC165" s="736"/>
    </row>
    <row r="166" spans="1:29" ht="13.5">
      <c r="A166" s="1128">
        <f>+A20</f>
        <v>10</v>
      </c>
      <c r="B166" s="1128" t="str">
        <f t="shared" ref="B166:D166" si="40">+B20</f>
        <v>May</v>
      </c>
      <c r="C166" s="1128" t="str">
        <f t="shared" si="40"/>
        <v>Year 3</v>
      </c>
      <c r="D166" s="1128" t="str">
        <f t="shared" si="40"/>
        <v>Post results of Step 9 on PJM web site</v>
      </c>
      <c r="E166" s="1132"/>
      <c r="F166" s="1132"/>
      <c r="G166" s="1176"/>
      <c r="H166" s="1171"/>
      <c r="I166" s="1170"/>
      <c r="J166" s="1177"/>
      <c r="K166" s="1132"/>
      <c r="L166" s="735"/>
      <c r="M166" s="735"/>
      <c r="N166" s="735"/>
      <c r="O166" s="735"/>
      <c r="P166" s="735"/>
      <c r="Q166" s="735"/>
      <c r="R166" s="735"/>
      <c r="S166" s="735"/>
      <c r="T166" s="735"/>
      <c r="U166" s="735"/>
      <c r="V166" s="735"/>
      <c r="W166" s="735"/>
      <c r="X166" s="735"/>
      <c r="Y166" s="735"/>
      <c r="Z166" s="735"/>
      <c r="AA166" s="735"/>
      <c r="AB166" s="735"/>
      <c r="AC166" s="736"/>
    </row>
    <row r="167" spans="1:29" ht="13.5">
      <c r="A167" s="1128"/>
      <c r="B167" s="1128"/>
      <c r="C167" s="1128"/>
      <c r="D167" s="1134">
        <f>H163</f>
        <v>117489078.2188578</v>
      </c>
      <c r="E167" s="1132"/>
      <c r="F167" s="1132"/>
      <c r="G167" s="1168"/>
      <c r="H167" s="1171"/>
      <c r="I167" s="1177"/>
      <c r="J167" s="1177"/>
      <c r="K167" s="1132"/>
      <c r="L167" s="735"/>
      <c r="M167" s="735"/>
      <c r="N167" s="735"/>
      <c r="O167" s="735"/>
      <c r="P167" s="735"/>
      <c r="Q167" s="735"/>
      <c r="R167" s="735"/>
      <c r="S167" s="735"/>
      <c r="T167" s="735"/>
      <c r="U167" s="735"/>
      <c r="V167" s="735"/>
      <c r="W167" s="735"/>
      <c r="X167" s="735"/>
      <c r="Y167" s="735"/>
      <c r="Z167" s="735"/>
      <c r="AA167" s="735"/>
      <c r="AB167" s="735"/>
      <c r="AC167" s="736"/>
    </row>
    <row r="168" spans="1:29" ht="13.5">
      <c r="A168" s="1128"/>
      <c r="B168" s="1128"/>
      <c r="C168" s="1128"/>
      <c r="D168" s="1135"/>
      <c r="E168" s="1129"/>
      <c r="F168" s="1132"/>
      <c r="G168" s="865"/>
      <c r="H168" s="865"/>
      <c r="I168" s="1137"/>
      <c r="J168" s="1137"/>
      <c r="K168" s="1132"/>
      <c r="L168" s="735"/>
      <c r="M168" s="735"/>
      <c r="N168" s="735"/>
      <c r="O168" s="735"/>
      <c r="P168" s="735"/>
      <c r="Q168" s="735"/>
      <c r="R168" s="735"/>
      <c r="S168" s="735"/>
      <c r="T168" s="735"/>
      <c r="U168" s="735"/>
      <c r="V168" s="735"/>
      <c r="W168" s="735"/>
      <c r="X168" s="735"/>
      <c r="Y168" s="735"/>
      <c r="Z168" s="735"/>
      <c r="AA168" s="735"/>
      <c r="AB168" s="735"/>
      <c r="AC168" s="736"/>
    </row>
    <row r="169" spans="1:29" ht="13.5">
      <c r="A169" s="1128"/>
      <c r="B169" s="1128"/>
      <c r="C169" s="1128"/>
      <c r="D169" s="1134"/>
      <c r="E169" s="1132"/>
      <c r="F169" s="1132"/>
      <c r="G169" s="1132"/>
      <c r="H169" s="1132"/>
      <c r="I169" s="1137"/>
      <c r="J169" s="1137"/>
      <c r="K169" s="1132"/>
      <c r="L169" s="735"/>
      <c r="M169" s="735"/>
      <c r="N169" s="735"/>
      <c r="O169" s="735"/>
      <c r="P169" s="735"/>
      <c r="Q169" s="735"/>
      <c r="R169" s="735"/>
      <c r="S169" s="735"/>
      <c r="T169" s="735"/>
      <c r="U169" s="735"/>
      <c r="V169" s="735"/>
      <c r="W169" s="735"/>
      <c r="X169" s="735"/>
      <c r="Y169" s="735"/>
      <c r="Z169" s="735"/>
      <c r="AA169" s="735"/>
      <c r="AB169" s="735"/>
      <c r="AC169" s="736"/>
    </row>
    <row r="170" spans="1:29" ht="13.5">
      <c r="A170" s="1128">
        <f>+A21</f>
        <v>11</v>
      </c>
      <c r="B170" s="1128" t="str">
        <f t="shared" ref="B170:D170" si="41">+B21</f>
        <v>June</v>
      </c>
      <c r="C170" s="1128" t="str">
        <f t="shared" si="41"/>
        <v>Year 3</v>
      </c>
      <c r="D170" s="1128" t="str">
        <f t="shared" si="41"/>
        <v>Results of Step 9 go into effect for the Rate Year 2 (e.g., June 1, 2006 - May 31, 2007)</v>
      </c>
      <c r="E170" s="1132"/>
      <c r="F170" s="1132"/>
      <c r="G170" s="1132"/>
      <c r="H170" s="1132"/>
      <c r="I170" s="1132"/>
      <c r="J170" s="1132"/>
      <c r="K170" s="1132"/>
      <c r="L170" s="735"/>
      <c r="M170" s="735"/>
      <c r="N170" s="735"/>
      <c r="O170" s="735"/>
      <c r="P170" s="735"/>
      <c r="Q170" s="735"/>
      <c r="R170" s="735"/>
      <c r="S170" s="735"/>
      <c r="T170" s="735"/>
      <c r="U170" s="735"/>
      <c r="V170" s="735"/>
      <c r="W170" s="735"/>
      <c r="X170" s="735"/>
      <c r="Y170" s="735"/>
      <c r="Z170" s="735"/>
      <c r="AA170" s="735"/>
      <c r="AB170" s="735"/>
      <c r="AC170" s="736"/>
    </row>
    <row r="171" spans="1:29" ht="13.5">
      <c r="A171" s="1128"/>
      <c r="B171" s="1128"/>
      <c r="C171" s="1128"/>
      <c r="D171" s="1136">
        <f>+D167</f>
        <v>117489078.2188578</v>
      </c>
      <c r="E171" s="1132"/>
      <c r="F171" s="1132"/>
      <c r="G171" s="1132"/>
      <c r="H171" s="1132"/>
      <c r="I171" s="1132"/>
      <c r="J171" s="1132"/>
      <c r="K171" s="1132"/>
      <c r="L171" s="735"/>
      <c r="M171" s="735"/>
      <c r="N171" s="735"/>
      <c r="O171" s="735"/>
      <c r="P171" s="735"/>
      <c r="Q171" s="735"/>
      <c r="R171" s="735"/>
      <c r="S171" s="735"/>
      <c r="T171" s="735"/>
      <c r="U171" s="735"/>
      <c r="V171" s="735"/>
      <c r="W171" s="735"/>
      <c r="X171" s="735"/>
      <c r="Y171" s="735"/>
      <c r="Z171" s="735"/>
      <c r="AA171" s="735"/>
      <c r="AB171" s="735"/>
      <c r="AC171" s="736"/>
    </row>
    <row r="172" spans="1:29" ht="13.5">
      <c r="A172" s="1128"/>
      <c r="B172" s="1128"/>
      <c r="C172" s="1128"/>
      <c r="D172" s="1129"/>
      <c r="E172" s="1132"/>
      <c r="F172" s="1132"/>
      <c r="G172" s="1132"/>
      <c r="H172" s="1132"/>
      <c r="I172" s="1132"/>
      <c r="J172" s="1132"/>
      <c r="K172" s="1132"/>
      <c r="L172" s="735"/>
      <c r="M172" s="735"/>
      <c r="N172" s="735"/>
      <c r="O172" s="735"/>
      <c r="P172" s="735"/>
      <c r="Q172" s="735"/>
      <c r="R172" s="735"/>
      <c r="S172" s="735"/>
      <c r="T172" s="735"/>
      <c r="U172" s="735"/>
      <c r="V172" s="735"/>
      <c r="W172" s="735"/>
      <c r="X172" s="735"/>
      <c r="Y172" s="735"/>
      <c r="Z172" s="735"/>
      <c r="AA172" s="735"/>
      <c r="AB172" s="735"/>
      <c r="AC172" s="736"/>
    </row>
    <row r="173" spans="1:29" ht="13.5">
      <c r="A173" s="1128"/>
      <c r="B173" s="1128"/>
      <c r="C173" s="1128"/>
      <c r="D173" s="1132"/>
      <c r="E173" s="1132"/>
      <c r="F173" s="1132"/>
      <c r="G173" s="1132"/>
      <c r="H173" s="865"/>
      <c r="I173" s="865"/>
      <c r="J173" s="865"/>
      <c r="K173" s="1132"/>
      <c r="L173" s="735"/>
      <c r="M173" s="735"/>
      <c r="N173" s="735"/>
      <c r="O173" s="735"/>
      <c r="P173" s="735"/>
      <c r="Q173" s="735"/>
      <c r="R173" s="735"/>
      <c r="S173" s="735"/>
      <c r="T173" s="735"/>
      <c r="U173" s="735"/>
      <c r="V173" s="735"/>
      <c r="W173" s="735"/>
      <c r="X173" s="735"/>
      <c r="Y173" s="735"/>
      <c r="Z173" s="735"/>
      <c r="AA173" s="735"/>
      <c r="AB173" s="735"/>
      <c r="AC173" s="736"/>
    </row>
    <row r="174" spans="1:29" ht="15.75">
      <c r="A174" s="1138"/>
      <c r="B174" s="1138"/>
      <c r="C174" s="1138"/>
      <c r="D174" s="1139"/>
      <c r="E174" s="1139"/>
      <c r="F174" s="1139"/>
      <c r="G174" s="1139"/>
      <c r="H174" s="1139"/>
      <c r="I174" s="1139"/>
      <c r="J174" s="1139"/>
      <c r="K174" s="1139"/>
      <c r="L174" s="776"/>
      <c r="M174" s="776"/>
      <c r="N174" s="776"/>
      <c r="O174" s="776"/>
      <c r="P174" s="776"/>
      <c r="Q174" s="776"/>
      <c r="R174" s="776"/>
      <c r="S174" s="776"/>
      <c r="T174" s="776"/>
      <c r="U174" s="776"/>
      <c r="V174" s="776"/>
      <c r="W174" s="776"/>
      <c r="X174" s="776"/>
      <c r="Y174" s="776"/>
      <c r="Z174" s="776"/>
      <c r="AA174" s="776"/>
      <c r="AB174" s="776"/>
    </row>
    <row r="175" spans="1:29" ht="15.75">
      <c r="A175" s="1138"/>
      <c r="B175" s="1138"/>
      <c r="C175" s="1138"/>
      <c r="D175" s="1139"/>
      <c r="E175" s="1139"/>
      <c r="F175" s="1139"/>
      <c r="G175" s="1139"/>
      <c r="H175" s="1139"/>
      <c r="I175" s="1139"/>
      <c r="J175" s="1139"/>
      <c r="K175" s="1139"/>
      <c r="L175" s="776"/>
      <c r="M175" s="776"/>
      <c r="N175" s="776"/>
      <c r="O175" s="776"/>
      <c r="P175" s="776"/>
      <c r="Q175" s="776"/>
      <c r="R175" s="776"/>
      <c r="S175" s="776"/>
      <c r="T175" s="776"/>
      <c r="U175" s="776"/>
      <c r="V175" s="776"/>
      <c r="W175" s="776"/>
      <c r="X175" s="776"/>
      <c r="Y175" s="776"/>
      <c r="Z175" s="776"/>
      <c r="AA175" s="776"/>
      <c r="AB175" s="776"/>
    </row>
    <row r="176" spans="1:29" ht="15.75">
      <c r="A176" s="1138"/>
      <c r="B176" s="1138"/>
      <c r="C176" s="1138"/>
      <c r="D176" s="1139"/>
      <c r="E176" s="1139"/>
      <c r="F176" s="1139"/>
      <c r="G176" s="1139"/>
      <c r="H176" s="1139"/>
      <c r="I176" s="1139"/>
      <c r="J176" s="1139"/>
      <c r="K176" s="1139"/>
      <c r="L176" s="776"/>
      <c r="M176" s="776"/>
      <c r="N176" s="776"/>
      <c r="O176" s="776"/>
      <c r="P176" s="776"/>
      <c r="Q176" s="776"/>
      <c r="R176" s="776"/>
      <c r="S176" s="776"/>
      <c r="T176" s="776"/>
      <c r="U176" s="776"/>
      <c r="V176" s="776"/>
      <c r="W176" s="776"/>
      <c r="X176" s="776"/>
      <c r="Y176" s="776"/>
      <c r="Z176" s="776"/>
      <c r="AA176" s="776"/>
      <c r="AB176" s="776"/>
    </row>
    <row r="177" spans="1:28" ht="15.75">
      <c r="A177" s="1138"/>
      <c r="B177" s="1138"/>
      <c r="C177" s="1138"/>
      <c r="D177" s="1139"/>
      <c r="E177" s="1139"/>
      <c r="F177" s="1139"/>
      <c r="G177" s="1139"/>
      <c r="H177" s="1139"/>
      <c r="I177" s="1139"/>
      <c r="J177" s="1139"/>
      <c r="K177" s="1139"/>
      <c r="L177" s="776"/>
      <c r="M177" s="776"/>
      <c r="N177" s="776"/>
      <c r="O177" s="776"/>
      <c r="P177" s="776"/>
      <c r="Q177" s="776"/>
      <c r="R177" s="776"/>
      <c r="S177" s="776"/>
      <c r="T177" s="776"/>
      <c r="U177" s="776"/>
      <c r="V177" s="776"/>
      <c r="W177" s="776"/>
      <c r="X177" s="776"/>
      <c r="Y177" s="776"/>
      <c r="Z177" s="776"/>
      <c r="AA177" s="776"/>
      <c r="AB177" s="776"/>
    </row>
    <row r="178" spans="1:28" ht="15.75">
      <c r="A178" s="1138"/>
      <c r="B178" s="1138"/>
      <c r="C178" s="1138"/>
      <c r="D178" s="1139"/>
      <c r="E178" s="1139"/>
      <c r="F178" s="1139"/>
      <c r="G178" s="1139"/>
      <c r="H178" s="1139"/>
      <c r="I178" s="1139"/>
      <c r="J178" s="1139"/>
      <c r="K178" s="1139"/>
      <c r="L178" s="776"/>
      <c r="M178" s="776"/>
      <c r="N178" s="776"/>
      <c r="O178" s="776"/>
      <c r="P178" s="776"/>
      <c r="Q178" s="776"/>
      <c r="R178" s="776"/>
      <c r="S178" s="776"/>
      <c r="T178" s="776"/>
      <c r="U178" s="776"/>
      <c r="V178" s="776"/>
      <c r="W178" s="776"/>
      <c r="X178" s="776"/>
      <c r="Y178" s="776"/>
      <c r="Z178" s="776"/>
      <c r="AA178" s="776"/>
      <c r="AB178" s="776"/>
    </row>
    <row r="179" spans="1:28" ht="15.75">
      <c r="A179" s="1138"/>
      <c r="B179" s="1138"/>
      <c r="C179" s="1138"/>
      <c r="D179" s="1139"/>
      <c r="E179" s="1139"/>
      <c r="F179" s="1139"/>
      <c r="G179" s="1139"/>
      <c r="H179" s="1139"/>
      <c r="I179" s="1139"/>
      <c r="J179" s="1139"/>
      <c r="K179" s="1139"/>
      <c r="L179" s="776"/>
      <c r="M179" s="776"/>
      <c r="N179" s="776"/>
      <c r="O179" s="776"/>
      <c r="P179" s="776"/>
      <c r="Q179" s="776"/>
      <c r="R179" s="776"/>
      <c r="S179" s="776"/>
      <c r="T179" s="776"/>
      <c r="U179" s="776"/>
      <c r="V179" s="776"/>
      <c r="W179" s="776"/>
      <c r="X179" s="776"/>
      <c r="Y179" s="776"/>
      <c r="Z179" s="776"/>
      <c r="AA179" s="776"/>
      <c r="AB179" s="776"/>
    </row>
    <row r="180" spans="1:28" ht="15.75">
      <c r="A180" s="1138"/>
      <c r="B180" s="1138"/>
      <c r="C180" s="1138"/>
      <c r="D180" s="1139"/>
      <c r="E180" s="1139"/>
      <c r="F180" s="1139"/>
      <c r="G180" s="1139"/>
      <c r="H180" s="1139"/>
      <c r="I180" s="1139"/>
      <c r="J180" s="1139"/>
      <c r="K180" s="1139"/>
      <c r="L180" s="776"/>
      <c r="M180" s="776"/>
      <c r="N180" s="776"/>
      <c r="O180" s="776"/>
      <c r="P180" s="776"/>
      <c r="Q180" s="776"/>
      <c r="R180" s="776"/>
      <c r="S180" s="776"/>
      <c r="T180" s="776"/>
      <c r="U180" s="776"/>
      <c r="V180" s="776"/>
      <c r="W180" s="776"/>
      <c r="X180" s="776"/>
      <c r="Y180" s="776"/>
      <c r="Z180" s="776"/>
      <c r="AA180" s="776"/>
      <c r="AB180" s="776"/>
    </row>
    <row r="181" spans="1:28" ht="15.75">
      <c r="A181" s="1138"/>
      <c r="B181" s="1138"/>
      <c r="C181" s="1138"/>
      <c r="D181" s="1139"/>
      <c r="E181" s="1139"/>
      <c r="F181" s="1139"/>
      <c r="G181" s="1139"/>
      <c r="H181" s="1139"/>
      <c r="I181" s="1139"/>
      <c r="J181" s="1139"/>
      <c r="K181" s="1139"/>
      <c r="L181" s="776"/>
      <c r="M181" s="776"/>
      <c r="N181" s="776"/>
      <c r="O181" s="776"/>
      <c r="P181" s="776"/>
      <c r="Q181" s="776"/>
      <c r="R181" s="776"/>
      <c r="S181" s="776"/>
      <c r="T181" s="776"/>
      <c r="U181" s="776"/>
      <c r="V181" s="776"/>
      <c r="W181" s="776"/>
      <c r="X181" s="776"/>
      <c r="Y181" s="776"/>
      <c r="Z181" s="776"/>
      <c r="AA181" s="776"/>
      <c r="AB181" s="776"/>
    </row>
    <row r="182" spans="1:28" ht="15.75">
      <c r="A182" s="1138"/>
      <c r="B182" s="1138"/>
      <c r="C182" s="1138"/>
      <c r="D182" s="1139"/>
      <c r="E182" s="1139"/>
      <c r="F182" s="1139"/>
      <c r="G182" s="1139"/>
      <c r="H182" s="1139"/>
      <c r="I182" s="1139"/>
      <c r="J182" s="1139"/>
      <c r="K182" s="1139"/>
      <c r="L182" s="776"/>
      <c r="M182" s="776"/>
      <c r="N182" s="776"/>
      <c r="O182" s="776"/>
      <c r="P182" s="776"/>
      <c r="Q182" s="776"/>
      <c r="R182" s="776"/>
      <c r="S182" s="776"/>
      <c r="T182" s="776"/>
      <c r="U182" s="776"/>
      <c r="V182" s="776"/>
      <c r="W182" s="776"/>
      <c r="X182" s="776"/>
      <c r="Y182" s="776"/>
      <c r="Z182" s="776"/>
      <c r="AA182" s="776"/>
      <c r="AB182" s="776"/>
    </row>
    <row r="183" spans="1:28" ht="15.75">
      <c r="A183" s="775"/>
      <c r="B183" s="775"/>
      <c r="C183" s="775"/>
      <c r="D183" s="776"/>
      <c r="E183" s="776"/>
      <c r="F183" s="776"/>
      <c r="G183" s="776"/>
      <c r="H183" s="776"/>
      <c r="I183" s="776"/>
      <c r="J183" s="776"/>
      <c r="K183" s="776"/>
      <c r="L183" s="776"/>
      <c r="M183" s="776"/>
      <c r="N183" s="776"/>
      <c r="O183" s="776"/>
      <c r="P183" s="776"/>
      <c r="Q183" s="776"/>
      <c r="R183" s="776"/>
      <c r="S183" s="776"/>
      <c r="T183" s="776"/>
      <c r="U183" s="776"/>
      <c r="V183" s="776"/>
      <c r="W183" s="776"/>
      <c r="X183" s="776"/>
      <c r="Y183" s="776"/>
      <c r="Z183" s="776"/>
      <c r="AA183" s="776"/>
      <c r="AB183" s="776"/>
    </row>
    <row r="184" spans="1:28" ht="15.75">
      <c r="A184" s="775"/>
      <c r="B184" s="775"/>
      <c r="C184" s="775"/>
      <c r="D184" s="776"/>
      <c r="E184" s="776"/>
      <c r="F184" s="776"/>
      <c r="G184" s="776"/>
      <c r="H184" s="776"/>
      <c r="I184" s="776"/>
      <c r="J184" s="776"/>
      <c r="K184" s="776"/>
      <c r="L184" s="776"/>
      <c r="M184" s="776"/>
      <c r="N184" s="776"/>
      <c r="O184" s="776"/>
      <c r="P184" s="776"/>
      <c r="Q184" s="776"/>
      <c r="R184" s="776"/>
      <c r="S184" s="776"/>
      <c r="T184" s="776"/>
      <c r="U184" s="776"/>
      <c r="V184" s="776"/>
      <c r="W184" s="776"/>
      <c r="X184" s="776"/>
      <c r="Y184" s="776"/>
      <c r="Z184" s="776"/>
      <c r="AA184" s="776"/>
      <c r="AB184" s="776"/>
    </row>
    <row r="185" spans="1:28" ht="15.75">
      <c r="A185" s="775"/>
      <c r="B185" s="775"/>
      <c r="C185" s="775"/>
      <c r="D185" s="776"/>
      <c r="E185" s="776"/>
      <c r="F185" s="776"/>
      <c r="G185" s="776"/>
      <c r="H185" s="776"/>
      <c r="I185" s="776"/>
      <c r="J185" s="776"/>
      <c r="K185" s="776"/>
      <c r="L185" s="776"/>
      <c r="M185" s="776"/>
      <c r="N185" s="776"/>
      <c r="O185" s="776"/>
      <c r="P185" s="776"/>
      <c r="Q185" s="776"/>
      <c r="R185" s="776"/>
      <c r="S185" s="776"/>
      <c r="T185" s="776"/>
      <c r="U185" s="776"/>
      <c r="V185" s="776"/>
      <c r="W185" s="776"/>
      <c r="X185" s="776"/>
      <c r="Y185" s="776"/>
      <c r="Z185" s="776"/>
      <c r="AA185" s="776"/>
      <c r="AB185" s="776"/>
    </row>
    <row r="186" spans="1:28" ht="15.75">
      <c r="A186" s="775"/>
      <c r="B186" s="775"/>
      <c r="C186" s="775"/>
      <c r="D186" s="776"/>
      <c r="E186" s="776"/>
      <c r="F186" s="776"/>
      <c r="G186" s="776"/>
      <c r="H186" s="776"/>
      <c r="I186" s="776"/>
      <c r="J186" s="776"/>
      <c r="K186" s="776"/>
      <c r="L186" s="776"/>
      <c r="M186" s="776"/>
      <c r="N186" s="776"/>
      <c r="O186" s="776"/>
      <c r="P186" s="776"/>
      <c r="Q186" s="776"/>
      <c r="R186" s="776"/>
      <c r="S186" s="776"/>
      <c r="T186" s="776"/>
      <c r="U186" s="776"/>
      <c r="V186" s="776"/>
      <c r="W186" s="776"/>
      <c r="X186" s="776"/>
      <c r="Y186" s="776"/>
      <c r="Z186" s="776"/>
      <c r="AA186" s="776"/>
      <c r="AB186" s="776"/>
    </row>
    <row r="187" spans="1:28" ht="15.75">
      <c r="A187" s="775"/>
      <c r="B187" s="775"/>
      <c r="C187" s="775"/>
      <c r="D187" s="776"/>
      <c r="E187" s="776"/>
      <c r="F187" s="776"/>
      <c r="G187" s="776"/>
      <c r="H187" s="776"/>
      <c r="I187" s="776"/>
      <c r="J187" s="776"/>
      <c r="K187" s="776"/>
      <c r="L187" s="776"/>
      <c r="M187" s="776"/>
      <c r="N187" s="776"/>
      <c r="O187" s="776"/>
      <c r="P187" s="776"/>
      <c r="Q187" s="776"/>
      <c r="R187" s="776"/>
      <c r="S187" s="776"/>
      <c r="T187" s="776"/>
      <c r="U187" s="776"/>
      <c r="V187" s="776"/>
      <c r="W187" s="776"/>
      <c r="X187" s="776"/>
      <c r="Y187" s="776"/>
      <c r="Z187" s="776"/>
      <c r="AA187" s="776"/>
      <c r="AB187" s="776"/>
    </row>
    <row r="188" spans="1:28" ht="15.75">
      <c r="A188" s="775"/>
      <c r="B188" s="775"/>
      <c r="C188" s="775"/>
      <c r="D188" s="776"/>
      <c r="E188" s="776"/>
      <c r="F188" s="776"/>
      <c r="G188" s="776"/>
      <c r="H188" s="776"/>
      <c r="I188" s="776"/>
      <c r="J188" s="776"/>
      <c r="K188" s="776"/>
      <c r="L188" s="776"/>
      <c r="M188" s="776"/>
      <c r="N188" s="776"/>
      <c r="O188" s="776"/>
      <c r="P188" s="776"/>
      <c r="Q188" s="776"/>
      <c r="R188" s="776"/>
      <c r="S188" s="776"/>
      <c r="T188" s="776"/>
      <c r="U188" s="776"/>
      <c r="V188" s="776"/>
      <c r="W188" s="776"/>
      <c r="X188" s="776"/>
      <c r="Y188" s="776"/>
      <c r="Z188" s="776"/>
      <c r="AA188" s="776"/>
      <c r="AB188" s="776"/>
    </row>
    <row r="189" spans="1:28" ht="15.75">
      <c r="A189" s="775"/>
      <c r="B189" s="775"/>
      <c r="C189" s="775"/>
      <c r="D189" s="776"/>
      <c r="E189" s="776"/>
      <c r="F189" s="776"/>
      <c r="G189" s="776"/>
      <c r="H189" s="776"/>
      <c r="I189" s="776"/>
      <c r="J189" s="776"/>
      <c r="K189" s="776"/>
      <c r="L189" s="776"/>
      <c r="M189" s="776"/>
      <c r="N189" s="776"/>
      <c r="O189" s="776"/>
      <c r="P189" s="776"/>
      <c r="Q189" s="776"/>
      <c r="R189" s="776"/>
      <c r="S189" s="776"/>
      <c r="T189" s="776"/>
      <c r="U189" s="776"/>
      <c r="V189" s="776"/>
      <c r="W189" s="776"/>
      <c r="X189" s="776"/>
      <c r="Y189" s="776"/>
      <c r="Z189" s="776"/>
      <c r="AA189" s="776"/>
      <c r="AB189" s="776"/>
    </row>
    <row r="190" spans="1:28" ht="15.75">
      <c r="A190" s="775"/>
      <c r="B190" s="775"/>
      <c r="C190" s="775"/>
      <c r="D190" s="776"/>
      <c r="E190" s="776"/>
      <c r="F190" s="776"/>
      <c r="G190" s="776"/>
      <c r="H190" s="776"/>
      <c r="I190" s="776"/>
      <c r="J190" s="776"/>
      <c r="K190" s="776"/>
      <c r="L190" s="776"/>
      <c r="M190" s="776"/>
      <c r="N190" s="776"/>
      <c r="O190" s="776"/>
      <c r="P190" s="776"/>
      <c r="Q190" s="776"/>
      <c r="R190" s="776"/>
      <c r="S190" s="776"/>
      <c r="T190" s="776"/>
      <c r="U190" s="776"/>
      <c r="V190" s="776"/>
      <c r="W190" s="776"/>
      <c r="X190" s="776"/>
      <c r="Y190" s="776"/>
      <c r="Z190" s="776"/>
      <c r="AA190" s="776"/>
      <c r="AB190" s="776"/>
    </row>
    <row r="191" spans="1:28" ht="15.75">
      <c r="A191" s="775"/>
      <c r="B191" s="775"/>
      <c r="C191" s="775"/>
      <c r="D191" s="776"/>
      <c r="E191" s="776"/>
      <c r="F191" s="776"/>
      <c r="G191" s="776"/>
      <c r="H191" s="776"/>
      <c r="I191" s="776"/>
      <c r="J191" s="776"/>
      <c r="K191" s="776"/>
      <c r="L191" s="776"/>
      <c r="M191" s="776"/>
      <c r="N191" s="776"/>
      <c r="O191" s="776"/>
      <c r="P191" s="776"/>
      <c r="Q191" s="776"/>
      <c r="R191" s="776"/>
      <c r="S191" s="776"/>
      <c r="T191" s="776"/>
      <c r="U191" s="776"/>
      <c r="V191" s="776"/>
      <c r="W191" s="776"/>
      <c r="X191" s="776"/>
      <c r="Y191" s="776"/>
      <c r="Z191" s="776"/>
      <c r="AA191" s="776"/>
      <c r="AB191" s="776"/>
    </row>
    <row r="192" spans="1:28" ht="15.75">
      <c r="A192" s="775"/>
      <c r="B192" s="775"/>
      <c r="C192" s="775"/>
      <c r="D192" s="776"/>
      <c r="E192" s="776"/>
      <c r="F192" s="776"/>
      <c r="G192" s="776"/>
      <c r="H192" s="776"/>
      <c r="I192" s="776"/>
      <c r="J192" s="776"/>
      <c r="K192" s="776"/>
      <c r="L192" s="776"/>
      <c r="M192" s="776"/>
      <c r="N192" s="776"/>
      <c r="O192" s="776"/>
      <c r="P192" s="776"/>
      <c r="Q192" s="776"/>
      <c r="R192" s="776"/>
      <c r="S192" s="776"/>
      <c r="T192" s="776"/>
      <c r="U192" s="776"/>
      <c r="V192" s="776"/>
      <c r="W192" s="776"/>
      <c r="X192" s="776"/>
      <c r="Y192" s="776"/>
      <c r="Z192" s="776"/>
      <c r="AA192" s="776"/>
      <c r="AB192" s="776"/>
    </row>
    <row r="193" spans="1:28" ht="15.75">
      <c r="A193" s="775"/>
      <c r="B193" s="775"/>
      <c r="C193" s="775"/>
      <c r="D193" s="776"/>
      <c r="E193" s="776"/>
      <c r="F193" s="776"/>
      <c r="G193" s="776"/>
      <c r="H193" s="776"/>
      <c r="I193" s="776"/>
      <c r="J193" s="776"/>
      <c r="K193" s="776"/>
      <c r="L193" s="776"/>
      <c r="M193" s="776"/>
      <c r="N193" s="776"/>
      <c r="O193" s="776"/>
      <c r="P193" s="776"/>
      <c r="Q193" s="776"/>
      <c r="R193" s="776"/>
      <c r="S193" s="776"/>
      <c r="T193" s="776"/>
      <c r="U193" s="776"/>
      <c r="V193" s="776"/>
      <c r="W193" s="776"/>
      <c r="X193" s="776"/>
      <c r="Y193" s="776"/>
      <c r="Z193" s="776"/>
      <c r="AA193" s="776"/>
      <c r="AB193" s="776"/>
    </row>
    <row r="194" spans="1:28" ht="15.75">
      <c r="A194" s="775"/>
      <c r="B194" s="775"/>
      <c r="C194" s="775"/>
      <c r="D194" s="776"/>
      <c r="E194" s="776"/>
      <c r="F194" s="776"/>
      <c r="G194" s="776"/>
      <c r="H194" s="776"/>
      <c r="I194" s="776"/>
      <c r="J194" s="776"/>
      <c r="K194" s="776"/>
      <c r="L194" s="776"/>
      <c r="M194" s="776"/>
      <c r="N194" s="776"/>
      <c r="O194" s="776"/>
      <c r="P194" s="776"/>
      <c r="Q194" s="776"/>
      <c r="R194" s="776"/>
      <c r="S194" s="776"/>
      <c r="T194" s="776"/>
      <c r="U194" s="776"/>
      <c r="V194" s="776"/>
      <c r="W194" s="776"/>
      <c r="X194" s="776"/>
      <c r="Y194" s="776"/>
      <c r="Z194" s="776"/>
      <c r="AA194" s="776"/>
      <c r="AB194" s="776"/>
    </row>
    <row r="195" spans="1:28" ht="15.75">
      <c r="A195" s="775"/>
      <c r="B195" s="775"/>
      <c r="C195" s="775"/>
      <c r="D195" s="776"/>
      <c r="E195" s="776"/>
      <c r="F195" s="776"/>
      <c r="G195" s="776"/>
      <c r="H195" s="776"/>
      <c r="I195" s="776"/>
      <c r="J195" s="776"/>
      <c r="K195" s="776"/>
      <c r="L195" s="776"/>
      <c r="M195" s="776"/>
      <c r="N195" s="776"/>
      <c r="O195" s="776"/>
      <c r="P195" s="776"/>
      <c r="Q195" s="776"/>
      <c r="R195" s="776"/>
      <c r="S195" s="776"/>
      <c r="T195" s="776"/>
      <c r="U195" s="776"/>
      <c r="V195" s="776"/>
      <c r="W195" s="776"/>
      <c r="X195" s="776"/>
      <c r="Y195" s="776"/>
      <c r="Z195" s="776"/>
      <c r="AA195" s="776"/>
      <c r="AB195" s="776"/>
    </row>
    <row r="196" spans="1:28" ht="15.75">
      <c r="A196" s="775"/>
      <c r="B196" s="775"/>
      <c r="C196" s="775"/>
      <c r="D196" s="776"/>
      <c r="E196" s="776"/>
      <c r="F196" s="776"/>
      <c r="G196" s="776"/>
      <c r="H196" s="776"/>
      <c r="I196" s="776"/>
      <c r="J196" s="776"/>
      <c r="K196" s="776"/>
      <c r="L196" s="776"/>
      <c r="M196" s="776"/>
      <c r="N196" s="776"/>
      <c r="O196" s="776"/>
      <c r="P196" s="776"/>
      <c r="Q196" s="776"/>
      <c r="R196" s="776"/>
      <c r="S196" s="776"/>
      <c r="T196" s="776"/>
      <c r="U196" s="776"/>
      <c r="V196" s="776"/>
      <c r="W196" s="776"/>
      <c r="X196" s="776"/>
      <c r="Y196" s="776"/>
      <c r="Z196" s="776"/>
      <c r="AA196" s="776"/>
      <c r="AB196" s="776"/>
    </row>
    <row r="197" spans="1:28" ht="15.75">
      <c r="A197" s="775"/>
      <c r="B197" s="775"/>
      <c r="C197" s="775"/>
      <c r="D197" s="776"/>
      <c r="E197" s="776"/>
      <c r="F197" s="776"/>
      <c r="G197" s="776"/>
      <c r="H197" s="776"/>
      <c r="I197" s="776"/>
      <c r="J197" s="776"/>
      <c r="K197" s="776"/>
      <c r="L197" s="776"/>
      <c r="M197" s="776"/>
      <c r="N197" s="776"/>
      <c r="O197" s="776"/>
      <c r="P197" s="776"/>
      <c r="Q197" s="776"/>
      <c r="R197" s="776"/>
      <c r="S197" s="776"/>
      <c r="T197" s="776"/>
      <c r="U197" s="776"/>
      <c r="V197" s="776"/>
      <c r="W197" s="776"/>
      <c r="X197" s="776"/>
      <c r="Y197" s="776"/>
      <c r="Z197" s="776"/>
      <c r="AA197" s="776"/>
      <c r="AB197" s="776"/>
    </row>
    <row r="198" spans="1:28" ht="15.75">
      <c r="A198" s="775"/>
      <c r="B198" s="775"/>
      <c r="C198" s="775"/>
      <c r="D198" s="776"/>
      <c r="E198" s="776"/>
      <c r="F198" s="776"/>
      <c r="G198" s="776"/>
      <c r="H198" s="776"/>
      <c r="I198" s="776"/>
      <c r="J198" s="776"/>
      <c r="K198" s="776"/>
      <c r="L198" s="776"/>
      <c r="M198" s="776"/>
      <c r="N198" s="776"/>
      <c r="O198" s="776"/>
      <c r="P198" s="776"/>
      <c r="Q198" s="776"/>
      <c r="R198" s="776"/>
      <c r="S198" s="776"/>
      <c r="T198" s="776"/>
      <c r="U198" s="776"/>
      <c r="V198" s="776"/>
      <c r="W198" s="776"/>
      <c r="X198" s="776"/>
      <c r="Y198" s="776"/>
      <c r="Z198" s="776"/>
      <c r="AA198" s="776"/>
      <c r="AB198" s="776"/>
    </row>
    <row r="199" spans="1:28" ht="15.75">
      <c r="A199" s="775"/>
      <c r="B199" s="775"/>
      <c r="C199" s="775"/>
      <c r="D199" s="776"/>
      <c r="E199" s="776"/>
      <c r="F199" s="776"/>
      <c r="G199" s="776"/>
      <c r="H199" s="776"/>
      <c r="I199" s="776"/>
      <c r="J199" s="776"/>
      <c r="K199" s="776"/>
      <c r="L199" s="776"/>
      <c r="M199" s="776"/>
      <c r="N199" s="776"/>
      <c r="O199" s="776"/>
      <c r="P199" s="776"/>
      <c r="Q199" s="776"/>
      <c r="R199" s="776"/>
      <c r="S199" s="776"/>
      <c r="T199" s="776"/>
      <c r="U199" s="776"/>
      <c r="V199" s="776"/>
      <c r="W199" s="776"/>
      <c r="X199" s="776"/>
      <c r="Y199" s="776"/>
      <c r="Z199" s="776"/>
      <c r="AA199" s="776"/>
      <c r="AB199" s="776"/>
    </row>
    <row r="200" spans="1:28" ht="15.75">
      <c r="A200" s="775"/>
      <c r="B200" s="775"/>
      <c r="C200" s="775"/>
      <c r="D200" s="776"/>
      <c r="E200" s="776"/>
      <c r="F200" s="776"/>
      <c r="G200" s="776"/>
      <c r="H200" s="776"/>
      <c r="I200" s="776"/>
      <c r="J200" s="776"/>
      <c r="K200" s="776"/>
      <c r="L200" s="776"/>
      <c r="M200" s="776"/>
      <c r="N200" s="776"/>
      <c r="O200" s="776"/>
      <c r="P200" s="776"/>
      <c r="Q200" s="776"/>
      <c r="R200" s="776"/>
      <c r="S200" s="776"/>
      <c r="T200" s="776"/>
      <c r="U200" s="776"/>
      <c r="V200" s="776"/>
      <c r="W200" s="776"/>
      <c r="X200" s="776"/>
      <c r="Y200" s="776"/>
      <c r="Z200" s="776"/>
      <c r="AA200" s="776"/>
      <c r="AB200" s="776"/>
    </row>
    <row r="201" spans="1:28" ht="15.75">
      <c r="A201" s="775"/>
      <c r="B201" s="775"/>
      <c r="C201" s="775"/>
      <c r="D201" s="776"/>
      <c r="E201" s="776"/>
      <c r="F201" s="776"/>
      <c r="G201" s="776"/>
      <c r="H201" s="776"/>
      <c r="I201" s="776"/>
      <c r="J201" s="776"/>
      <c r="K201" s="776"/>
      <c r="L201" s="776"/>
      <c r="M201" s="776"/>
      <c r="N201" s="776"/>
      <c r="O201" s="776"/>
      <c r="P201" s="776"/>
      <c r="Q201" s="776"/>
      <c r="R201" s="776"/>
      <c r="S201" s="776"/>
      <c r="T201" s="776"/>
      <c r="U201" s="776"/>
      <c r="V201" s="776"/>
      <c r="W201" s="776"/>
      <c r="X201" s="776"/>
      <c r="Y201" s="776"/>
      <c r="Z201" s="776"/>
      <c r="AA201" s="776"/>
      <c r="AB201" s="776"/>
    </row>
    <row r="202" spans="1:28" ht="15.75">
      <c r="A202" s="775"/>
      <c r="B202" s="775"/>
      <c r="C202" s="775"/>
      <c r="D202" s="776"/>
      <c r="E202" s="776"/>
      <c r="F202" s="776"/>
      <c r="G202" s="776"/>
      <c r="H202" s="776"/>
      <c r="I202" s="776"/>
      <c r="J202" s="776"/>
      <c r="K202" s="776"/>
      <c r="L202" s="776"/>
      <c r="M202" s="776"/>
      <c r="N202" s="776"/>
      <c r="O202" s="776"/>
      <c r="P202" s="776"/>
      <c r="Q202" s="776"/>
      <c r="R202" s="776"/>
      <c r="S202" s="776"/>
      <c r="T202" s="776"/>
      <c r="U202" s="776"/>
      <c r="V202" s="776"/>
      <c r="W202" s="776"/>
      <c r="X202" s="776"/>
      <c r="Y202" s="776"/>
      <c r="Z202" s="776"/>
      <c r="AA202" s="776"/>
      <c r="AB202" s="776"/>
    </row>
    <row r="203" spans="1:28" ht="15.75">
      <c r="A203" s="775"/>
      <c r="B203" s="775"/>
      <c r="C203" s="775"/>
      <c r="D203" s="776"/>
      <c r="E203" s="776"/>
      <c r="F203" s="776"/>
      <c r="G203" s="776"/>
      <c r="H203" s="776"/>
      <c r="I203" s="776"/>
      <c r="J203" s="776"/>
      <c r="K203" s="776"/>
      <c r="L203" s="776"/>
      <c r="M203" s="776"/>
      <c r="N203" s="776"/>
      <c r="O203" s="776"/>
      <c r="P203" s="776"/>
      <c r="Q203" s="776"/>
      <c r="R203" s="776"/>
      <c r="S203" s="776"/>
      <c r="T203" s="776"/>
      <c r="U203" s="776"/>
      <c r="V203" s="776"/>
      <c r="W203" s="776"/>
      <c r="X203" s="776"/>
      <c r="Y203" s="776"/>
      <c r="Z203" s="776"/>
      <c r="AA203" s="776"/>
      <c r="AB203" s="776"/>
    </row>
    <row r="204" spans="1:28" ht="15.75">
      <c r="A204" s="775"/>
      <c r="B204" s="775"/>
      <c r="C204" s="775"/>
      <c r="D204" s="776"/>
      <c r="E204" s="776"/>
      <c r="F204" s="776"/>
      <c r="G204" s="776"/>
      <c r="H204" s="776"/>
      <c r="I204" s="776"/>
      <c r="J204" s="776"/>
      <c r="K204" s="776"/>
      <c r="L204" s="776"/>
      <c r="M204" s="776"/>
      <c r="N204" s="776"/>
      <c r="O204" s="776"/>
      <c r="P204" s="776"/>
      <c r="Q204" s="776"/>
      <c r="R204" s="776"/>
      <c r="S204" s="776"/>
      <c r="T204" s="776"/>
      <c r="U204" s="776"/>
      <c r="V204" s="776"/>
      <c r="W204" s="776"/>
      <c r="X204" s="776"/>
      <c r="Y204" s="776"/>
      <c r="Z204" s="776"/>
      <c r="AA204" s="776"/>
      <c r="AB204" s="776"/>
    </row>
    <row r="205" spans="1:28" ht="15.75">
      <c r="A205" s="775"/>
      <c r="B205" s="775"/>
      <c r="C205" s="775"/>
      <c r="D205" s="776"/>
      <c r="E205" s="776"/>
      <c r="F205" s="776"/>
      <c r="G205" s="776"/>
      <c r="H205" s="776"/>
      <c r="I205" s="776"/>
      <c r="J205" s="776"/>
      <c r="K205" s="776"/>
      <c r="L205" s="776"/>
      <c r="M205" s="776"/>
      <c r="N205" s="776"/>
      <c r="O205" s="776"/>
      <c r="P205" s="776"/>
      <c r="Q205" s="776"/>
      <c r="R205" s="776"/>
      <c r="S205" s="776"/>
      <c r="T205" s="776"/>
      <c r="U205" s="776"/>
      <c r="V205" s="776"/>
      <c r="W205" s="776"/>
      <c r="X205" s="776"/>
      <c r="Y205" s="776"/>
      <c r="Z205" s="776"/>
      <c r="AA205" s="776"/>
      <c r="AB205" s="776"/>
    </row>
    <row r="206" spans="1:28" ht="15.75">
      <c r="A206" s="775"/>
      <c r="B206" s="775"/>
      <c r="C206" s="775"/>
      <c r="D206" s="776"/>
      <c r="E206" s="776"/>
      <c r="F206" s="776"/>
      <c r="G206" s="776"/>
      <c r="H206" s="776"/>
      <c r="I206" s="776"/>
      <c r="J206" s="776"/>
      <c r="K206" s="776"/>
      <c r="L206" s="776"/>
      <c r="M206" s="776"/>
      <c r="N206" s="776"/>
      <c r="O206" s="776"/>
      <c r="P206" s="776"/>
      <c r="Q206" s="776"/>
      <c r="R206" s="776"/>
      <c r="S206" s="776"/>
      <c r="T206" s="776"/>
      <c r="U206" s="776"/>
      <c r="V206" s="776"/>
      <c r="W206" s="776"/>
      <c r="X206" s="776"/>
      <c r="Y206" s="776"/>
      <c r="Z206" s="776"/>
      <c r="AA206" s="776"/>
      <c r="AB206" s="776"/>
    </row>
    <row r="207" spans="1:28" ht="15.75">
      <c r="A207" s="775"/>
      <c r="B207" s="775"/>
      <c r="C207" s="775"/>
      <c r="D207" s="776"/>
      <c r="E207" s="776"/>
      <c r="F207" s="776"/>
      <c r="G207" s="776"/>
      <c r="H207" s="776"/>
      <c r="I207" s="776"/>
      <c r="J207" s="776"/>
      <c r="K207" s="776"/>
      <c r="L207" s="776"/>
      <c r="M207" s="776"/>
      <c r="N207" s="776"/>
      <c r="O207" s="776"/>
      <c r="P207" s="776"/>
      <c r="Q207" s="776"/>
      <c r="R207" s="776"/>
      <c r="S207" s="776"/>
      <c r="T207" s="776"/>
      <c r="U207" s="776"/>
      <c r="V207" s="776"/>
      <c r="W207" s="776"/>
      <c r="X207" s="776"/>
      <c r="Y207" s="776"/>
      <c r="Z207" s="776"/>
      <c r="AA207" s="776"/>
      <c r="AB207" s="776"/>
    </row>
    <row r="208" spans="1:28" ht="15.75">
      <c r="A208" s="775"/>
      <c r="B208" s="775"/>
      <c r="C208" s="775"/>
      <c r="D208" s="776"/>
      <c r="E208" s="776"/>
      <c r="F208" s="776"/>
      <c r="G208" s="776"/>
      <c r="H208" s="776"/>
      <c r="I208" s="776"/>
      <c r="J208" s="776"/>
      <c r="K208" s="776"/>
      <c r="L208" s="776"/>
      <c r="M208" s="776"/>
      <c r="N208" s="776"/>
      <c r="O208" s="776"/>
      <c r="P208" s="776"/>
      <c r="Q208" s="776"/>
      <c r="R208" s="776"/>
      <c r="S208" s="776"/>
      <c r="T208" s="776"/>
      <c r="U208" s="776"/>
      <c r="V208" s="776"/>
      <c r="W208" s="776"/>
      <c r="X208" s="776"/>
      <c r="Y208" s="776"/>
      <c r="Z208" s="776"/>
      <c r="AA208" s="776"/>
      <c r="AB208" s="776"/>
    </row>
    <row r="209" spans="1:28" ht="15.75">
      <c r="A209" s="775"/>
      <c r="B209" s="775"/>
      <c r="C209" s="775"/>
      <c r="D209" s="776"/>
      <c r="E209" s="776"/>
      <c r="F209" s="776"/>
      <c r="G209" s="776"/>
      <c r="H209" s="776"/>
      <c r="I209" s="776"/>
      <c r="J209" s="776"/>
      <c r="K209" s="776"/>
      <c r="L209" s="776"/>
      <c r="M209" s="776"/>
      <c r="N209" s="776"/>
      <c r="O209" s="776"/>
      <c r="P209" s="776"/>
      <c r="Q209" s="776"/>
      <c r="R209" s="776"/>
      <c r="S209" s="776"/>
      <c r="T209" s="776"/>
      <c r="U209" s="776"/>
      <c r="V209" s="776"/>
      <c r="W209" s="776"/>
      <c r="X209" s="776"/>
      <c r="Y209" s="776"/>
      <c r="Z209" s="776"/>
      <c r="AA209" s="776"/>
      <c r="AB209" s="776"/>
    </row>
    <row r="210" spans="1:28" ht="15.75">
      <c r="A210" s="775"/>
      <c r="B210" s="775"/>
      <c r="C210" s="775"/>
      <c r="D210" s="776"/>
      <c r="E210" s="776"/>
      <c r="F210" s="776"/>
      <c r="G210" s="776"/>
      <c r="H210" s="776"/>
      <c r="I210" s="776"/>
      <c r="J210" s="776"/>
      <c r="K210" s="776"/>
      <c r="L210" s="776"/>
      <c r="M210" s="776"/>
      <c r="N210" s="776"/>
      <c r="O210" s="776"/>
      <c r="P210" s="776"/>
      <c r="Q210" s="776"/>
      <c r="R210" s="776"/>
      <c r="S210" s="776"/>
      <c r="T210" s="776"/>
      <c r="U210" s="776"/>
      <c r="V210" s="776"/>
      <c r="W210" s="776"/>
      <c r="X210" s="776"/>
      <c r="Y210" s="776"/>
      <c r="Z210" s="776"/>
      <c r="AA210" s="776"/>
      <c r="AB210" s="776"/>
    </row>
    <row r="211" spans="1:28" ht="15.75">
      <c r="A211" s="775"/>
      <c r="B211" s="775"/>
      <c r="C211" s="775"/>
      <c r="D211" s="776"/>
      <c r="E211" s="776"/>
      <c r="F211" s="776"/>
      <c r="G211" s="776"/>
      <c r="H211" s="776"/>
      <c r="I211" s="776"/>
      <c r="J211" s="776"/>
      <c r="K211" s="776"/>
      <c r="L211" s="776"/>
      <c r="M211" s="776"/>
      <c r="N211" s="776"/>
      <c r="O211" s="776"/>
      <c r="P211" s="776"/>
      <c r="Q211" s="776"/>
      <c r="R211" s="776"/>
      <c r="S211" s="776"/>
      <c r="T211" s="776"/>
      <c r="U211" s="776"/>
      <c r="V211" s="776"/>
      <c r="W211" s="776"/>
      <c r="X211" s="776"/>
      <c r="Y211" s="776"/>
      <c r="Z211" s="776"/>
      <c r="AA211" s="776"/>
      <c r="AB211" s="776"/>
    </row>
    <row r="212" spans="1:28" ht="15.75">
      <c r="A212" s="775"/>
      <c r="B212" s="775"/>
      <c r="C212" s="775"/>
      <c r="D212" s="776"/>
      <c r="E212" s="776"/>
      <c r="F212" s="776"/>
      <c r="G212" s="776"/>
      <c r="H212" s="776"/>
      <c r="I212" s="776"/>
      <c r="J212" s="776"/>
      <c r="K212" s="776"/>
      <c r="L212" s="776"/>
      <c r="M212" s="776"/>
      <c r="N212" s="776"/>
      <c r="O212" s="776"/>
      <c r="P212" s="776"/>
      <c r="Q212" s="776"/>
      <c r="R212" s="776"/>
      <c r="S212" s="776"/>
      <c r="T212" s="776"/>
      <c r="U212" s="776"/>
      <c r="V212" s="776"/>
      <c r="W212" s="776"/>
      <c r="X212" s="776"/>
      <c r="Y212" s="776"/>
      <c r="Z212" s="776"/>
      <c r="AA212" s="776"/>
      <c r="AB212" s="776"/>
    </row>
    <row r="213" spans="1:28" ht="15.75">
      <c r="A213" s="775"/>
      <c r="B213" s="775"/>
      <c r="C213" s="775"/>
      <c r="D213" s="776"/>
      <c r="E213" s="776"/>
      <c r="F213" s="776"/>
      <c r="G213" s="776"/>
      <c r="H213" s="776"/>
      <c r="I213" s="776"/>
      <c r="J213" s="776"/>
      <c r="K213" s="776"/>
      <c r="L213" s="776"/>
      <c r="M213" s="776"/>
      <c r="N213" s="776"/>
      <c r="O213" s="776"/>
      <c r="P213" s="776"/>
      <c r="Q213" s="776"/>
      <c r="R213" s="776"/>
      <c r="S213" s="776"/>
      <c r="T213" s="776"/>
      <c r="U213" s="776"/>
      <c r="V213" s="776"/>
      <c r="W213" s="776"/>
      <c r="X213" s="776"/>
      <c r="Y213" s="776"/>
      <c r="Z213" s="776"/>
      <c r="AA213" s="776"/>
      <c r="AB213" s="776"/>
    </row>
    <row r="214" spans="1:28" ht="15.75">
      <c r="A214" s="775"/>
      <c r="B214" s="775"/>
      <c r="C214" s="775"/>
      <c r="D214" s="776"/>
      <c r="E214" s="776"/>
      <c r="F214" s="776"/>
      <c r="G214" s="776"/>
      <c r="H214" s="776"/>
      <c r="I214" s="776"/>
      <c r="J214" s="776"/>
      <c r="K214" s="776"/>
      <c r="L214" s="776"/>
      <c r="M214" s="776"/>
      <c r="N214" s="776"/>
      <c r="O214" s="776"/>
      <c r="P214" s="776"/>
      <c r="Q214" s="776"/>
      <c r="R214" s="776"/>
      <c r="S214" s="776"/>
      <c r="T214" s="776"/>
      <c r="U214" s="776"/>
      <c r="V214" s="776"/>
      <c r="W214" s="776"/>
      <c r="X214" s="776"/>
      <c r="Y214" s="776"/>
      <c r="Z214" s="776"/>
      <c r="AA214" s="776"/>
      <c r="AB214" s="776"/>
    </row>
    <row r="215" spans="1:28" ht="15.75">
      <c r="A215" s="775"/>
      <c r="B215" s="775"/>
      <c r="C215" s="775"/>
      <c r="D215" s="776"/>
      <c r="E215" s="776"/>
      <c r="F215" s="776"/>
      <c r="G215" s="776"/>
      <c r="H215" s="776"/>
      <c r="I215" s="776"/>
      <c r="J215" s="776"/>
      <c r="K215" s="776"/>
      <c r="L215" s="776"/>
      <c r="M215" s="776"/>
      <c r="N215" s="776"/>
      <c r="O215" s="776"/>
      <c r="P215" s="776"/>
      <c r="Q215" s="776"/>
      <c r="R215" s="776"/>
      <c r="S215" s="776"/>
      <c r="T215" s="776"/>
      <c r="U215" s="776"/>
      <c r="V215" s="776"/>
      <c r="W215" s="776"/>
      <c r="X215" s="776"/>
      <c r="Y215" s="776"/>
      <c r="Z215" s="776"/>
      <c r="AA215" s="776"/>
      <c r="AB215" s="776"/>
    </row>
    <row r="216" spans="1:28" ht="15.75">
      <c r="A216" s="775"/>
      <c r="B216" s="775"/>
      <c r="C216" s="775"/>
      <c r="D216" s="776"/>
      <c r="E216" s="776"/>
      <c r="F216" s="776"/>
      <c r="G216" s="776"/>
      <c r="H216" s="776"/>
      <c r="I216" s="776"/>
      <c r="J216" s="776"/>
      <c r="K216" s="776"/>
      <c r="L216" s="776"/>
      <c r="M216" s="776"/>
      <c r="N216" s="776"/>
      <c r="O216" s="776"/>
      <c r="P216" s="776"/>
      <c r="Q216" s="776"/>
      <c r="R216" s="776"/>
      <c r="S216" s="776"/>
      <c r="T216" s="776"/>
      <c r="U216" s="776"/>
      <c r="V216" s="776"/>
      <c r="W216" s="776"/>
      <c r="X216" s="776"/>
      <c r="Y216" s="776"/>
      <c r="Z216" s="776"/>
      <c r="AA216" s="776"/>
      <c r="AB216" s="776"/>
    </row>
    <row r="217" spans="1:28" ht="15.75">
      <c r="A217" s="775"/>
      <c r="B217" s="775"/>
      <c r="C217" s="775"/>
      <c r="D217" s="776"/>
      <c r="E217" s="776"/>
      <c r="F217" s="776"/>
      <c r="G217" s="776"/>
      <c r="H217" s="776"/>
      <c r="I217" s="776"/>
      <c r="J217" s="776"/>
      <c r="K217" s="776"/>
      <c r="L217" s="776"/>
      <c r="M217" s="776"/>
      <c r="N217" s="776"/>
      <c r="O217" s="776"/>
      <c r="P217" s="776"/>
      <c r="Q217" s="776"/>
      <c r="R217" s="776"/>
      <c r="S217" s="776"/>
      <c r="T217" s="776"/>
      <c r="U217" s="776"/>
      <c r="V217" s="776"/>
      <c r="W217" s="776"/>
      <c r="X217" s="776"/>
      <c r="Y217" s="776"/>
      <c r="Z217" s="776"/>
      <c r="AA217" s="776"/>
      <c r="AB217" s="776"/>
    </row>
    <row r="218" spans="1:28" ht="15.75">
      <c r="A218" s="775"/>
      <c r="B218" s="775"/>
      <c r="C218" s="775"/>
      <c r="D218" s="776"/>
      <c r="E218" s="776"/>
      <c r="F218" s="776"/>
      <c r="G218" s="776"/>
      <c r="H218" s="776"/>
      <c r="I218" s="776"/>
      <c r="J218" s="776"/>
      <c r="K218" s="776"/>
      <c r="L218" s="776"/>
      <c r="M218" s="776"/>
      <c r="N218" s="776"/>
      <c r="O218" s="776"/>
      <c r="P218" s="776"/>
      <c r="Q218" s="776"/>
      <c r="R218" s="776"/>
      <c r="S218" s="776"/>
      <c r="T218" s="776"/>
      <c r="U218" s="776"/>
      <c r="V218" s="776"/>
      <c r="W218" s="776"/>
      <c r="X218" s="776"/>
      <c r="Y218" s="776"/>
      <c r="Z218" s="776"/>
      <c r="AA218" s="776"/>
      <c r="AB218" s="776"/>
    </row>
    <row r="219" spans="1:28" ht="15.75">
      <c r="A219" s="775"/>
      <c r="B219" s="775"/>
      <c r="C219" s="775"/>
      <c r="D219" s="776"/>
      <c r="E219" s="776"/>
      <c r="F219" s="776"/>
      <c r="G219" s="776"/>
      <c r="H219" s="776"/>
      <c r="I219" s="776"/>
      <c r="J219" s="776"/>
      <c r="K219" s="776"/>
      <c r="L219" s="776"/>
      <c r="M219" s="776"/>
      <c r="N219" s="776"/>
      <c r="O219" s="776"/>
      <c r="P219" s="776"/>
      <c r="Q219" s="776"/>
      <c r="R219" s="776"/>
      <c r="S219" s="776"/>
      <c r="T219" s="776"/>
      <c r="U219" s="776"/>
      <c r="V219" s="776"/>
      <c r="W219" s="776"/>
      <c r="X219" s="776"/>
      <c r="Y219" s="776"/>
      <c r="Z219" s="776"/>
      <c r="AA219" s="776"/>
      <c r="AB219" s="776"/>
    </row>
    <row r="220" spans="1:28" ht="15.75">
      <c r="A220" s="775"/>
      <c r="B220" s="775"/>
      <c r="C220" s="775"/>
      <c r="D220" s="776"/>
      <c r="E220" s="776"/>
      <c r="F220" s="776"/>
      <c r="G220" s="776"/>
      <c r="H220" s="776"/>
      <c r="I220" s="776"/>
      <c r="J220" s="776"/>
      <c r="K220" s="776"/>
      <c r="L220" s="776"/>
      <c r="M220" s="776"/>
      <c r="N220" s="776"/>
      <c r="O220" s="776"/>
      <c r="P220" s="776"/>
      <c r="Q220" s="776"/>
      <c r="R220" s="776"/>
      <c r="S220" s="776"/>
      <c r="T220" s="776"/>
      <c r="U220" s="776"/>
      <c r="V220" s="776"/>
      <c r="W220" s="776"/>
      <c r="X220" s="776"/>
      <c r="Y220" s="776"/>
      <c r="Z220" s="776"/>
      <c r="AA220" s="776"/>
      <c r="AB220" s="776"/>
    </row>
    <row r="221" spans="1:28" ht="15.75">
      <c r="A221" s="775"/>
      <c r="B221" s="775"/>
      <c r="C221" s="775"/>
      <c r="D221" s="776"/>
      <c r="E221" s="776"/>
      <c r="F221" s="776"/>
      <c r="G221" s="776"/>
      <c r="H221" s="776"/>
      <c r="I221" s="776"/>
      <c r="J221" s="776"/>
      <c r="K221" s="776"/>
      <c r="L221" s="776"/>
      <c r="M221" s="776"/>
      <c r="N221" s="776"/>
      <c r="O221" s="776"/>
      <c r="P221" s="776"/>
      <c r="Q221" s="776"/>
      <c r="R221" s="776"/>
      <c r="S221" s="776"/>
      <c r="T221" s="776"/>
      <c r="U221" s="776"/>
      <c r="V221" s="776"/>
      <c r="W221" s="776"/>
      <c r="X221" s="776"/>
      <c r="Y221" s="776"/>
      <c r="Z221" s="776"/>
      <c r="AA221" s="776"/>
      <c r="AB221" s="776"/>
    </row>
    <row r="222" spans="1:28" ht="15.75">
      <c r="A222" s="775"/>
      <c r="B222" s="775"/>
      <c r="C222" s="775"/>
      <c r="D222" s="776"/>
      <c r="E222" s="776"/>
      <c r="F222" s="776"/>
      <c r="G222" s="776"/>
      <c r="H222" s="776"/>
      <c r="I222" s="776"/>
      <c r="J222" s="776"/>
      <c r="K222" s="776"/>
      <c r="L222" s="776"/>
      <c r="M222" s="776"/>
      <c r="N222" s="776"/>
      <c r="O222" s="776"/>
      <c r="P222" s="776"/>
      <c r="Q222" s="776"/>
      <c r="R222" s="776"/>
      <c r="S222" s="776"/>
      <c r="T222" s="776"/>
      <c r="U222" s="776"/>
      <c r="V222" s="776"/>
      <c r="W222" s="776"/>
      <c r="X222" s="776"/>
      <c r="Y222" s="776"/>
      <c r="Z222" s="776"/>
      <c r="AA222" s="776"/>
      <c r="AB222" s="776"/>
    </row>
    <row r="223" spans="1:28" ht="15.75">
      <c r="A223" s="775"/>
      <c r="B223" s="775"/>
      <c r="C223" s="775"/>
      <c r="D223" s="776"/>
      <c r="E223" s="776"/>
      <c r="F223" s="776"/>
      <c r="G223" s="776"/>
      <c r="H223" s="776"/>
      <c r="I223" s="776"/>
      <c r="J223" s="776"/>
      <c r="K223" s="776"/>
      <c r="L223" s="776"/>
      <c r="M223" s="776"/>
      <c r="N223" s="776"/>
      <c r="O223" s="776"/>
      <c r="P223" s="776"/>
      <c r="Q223" s="776"/>
      <c r="R223" s="776"/>
      <c r="S223" s="776"/>
      <c r="T223" s="776"/>
      <c r="U223" s="776"/>
      <c r="V223" s="776"/>
      <c r="W223" s="776"/>
      <c r="X223" s="776"/>
      <c r="Y223" s="776"/>
      <c r="Z223" s="776"/>
      <c r="AA223" s="776"/>
      <c r="AB223" s="776"/>
    </row>
    <row r="224" spans="1:28" ht="15.75">
      <c r="A224" s="775"/>
      <c r="B224" s="775"/>
      <c r="C224" s="775"/>
      <c r="D224" s="776"/>
      <c r="E224" s="776"/>
      <c r="F224" s="776"/>
      <c r="G224" s="776"/>
      <c r="H224" s="776"/>
      <c r="I224" s="776"/>
      <c r="J224" s="776"/>
      <c r="K224" s="776"/>
      <c r="L224" s="776"/>
      <c r="M224" s="776"/>
      <c r="N224" s="776"/>
      <c r="O224" s="776"/>
      <c r="P224" s="776"/>
      <c r="Q224" s="776"/>
      <c r="R224" s="776"/>
      <c r="S224" s="776"/>
      <c r="T224" s="776"/>
      <c r="U224" s="776"/>
      <c r="V224" s="776"/>
      <c r="W224" s="776"/>
      <c r="X224" s="776"/>
      <c r="Y224" s="776"/>
      <c r="Z224" s="776"/>
      <c r="AA224" s="776"/>
      <c r="AB224" s="776"/>
    </row>
    <row r="225" spans="1:28" ht="15.75">
      <c r="A225" s="775"/>
      <c r="B225" s="775"/>
      <c r="C225" s="775"/>
      <c r="D225" s="776"/>
      <c r="E225" s="776"/>
      <c r="F225" s="776"/>
      <c r="G225" s="776"/>
      <c r="H225" s="776"/>
      <c r="I225" s="776"/>
      <c r="J225" s="776"/>
      <c r="K225" s="776"/>
      <c r="L225" s="776"/>
      <c r="M225" s="776"/>
      <c r="N225" s="776"/>
      <c r="O225" s="776"/>
      <c r="P225" s="776"/>
      <c r="Q225" s="776"/>
      <c r="R225" s="776"/>
      <c r="S225" s="776"/>
      <c r="T225" s="776"/>
      <c r="U225" s="776"/>
      <c r="V225" s="776"/>
      <c r="W225" s="776"/>
      <c r="X225" s="776"/>
      <c r="Y225" s="776"/>
      <c r="Z225" s="776"/>
      <c r="AA225" s="776"/>
      <c r="AB225" s="776"/>
    </row>
    <row r="226" spans="1:28" ht="15.75">
      <c r="A226" s="775"/>
      <c r="B226" s="775"/>
      <c r="C226" s="775"/>
      <c r="D226" s="776"/>
      <c r="E226" s="776"/>
      <c r="F226" s="776"/>
      <c r="G226" s="776"/>
      <c r="H226" s="776"/>
      <c r="I226" s="776"/>
      <c r="J226" s="776"/>
      <c r="K226" s="776"/>
      <c r="L226" s="776"/>
      <c r="M226" s="776"/>
      <c r="N226" s="776"/>
      <c r="O226" s="776"/>
      <c r="P226" s="776"/>
      <c r="Q226" s="776"/>
      <c r="R226" s="776"/>
      <c r="S226" s="776"/>
      <c r="T226" s="776"/>
      <c r="U226" s="776"/>
      <c r="V226" s="776"/>
      <c r="W226" s="776"/>
      <c r="X226" s="776"/>
      <c r="Y226" s="776"/>
      <c r="Z226" s="776"/>
      <c r="AA226" s="776"/>
      <c r="AB226" s="776"/>
    </row>
    <row r="227" spans="1:28" ht="15.75">
      <c r="A227" s="775"/>
      <c r="B227" s="775"/>
      <c r="C227" s="775"/>
      <c r="D227" s="776"/>
      <c r="E227" s="776"/>
      <c r="F227" s="776"/>
      <c r="G227" s="776"/>
      <c r="H227" s="776"/>
      <c r="I227" s="776"/>
      <c r="J227" s="776"/>
      <c r="K227" s="776"/>
      <c r="L227" s="776"/>
      <c r="M227" s="776"/>
      <c r="N227" s="776"/>
      <c r="O227" s="776"/>
      <c r="P227" s="776"/>
      <c r="Q227" s="776"/>
      <c r="R227" s="776"/>
      <c r="S227" s="776"/>
      <c r="T227" s="776"/>
      <c r="U227" s="776"/>
      <c r="V227" s="776"/>
      <c r="W227" s="776"/>
      <c r="X227" s="776"/>
      <c r="Y227" s="776"/>
      <c r="Z227" s="776"/>
      <c r="AA227" s="776"/>
      <c r="AB227" s="776"/>
    </row>
    <row r="228" spans="1:28" ht="15.75">
      <c r="A228" s="775"/>
      <c r="B228" s="775"/>
      <c r="C228" s="775"/>
      <c r="D228" s="776"/>
      <c r="E228" s="776"/>
      <c r="F228" s="776"/>
      <c r="G228" s="776"/>
      <c r="H228" s="776"/>
      <c r="I228" s="776"/>
      <c r="J228" s="776"/>
      <c r="K228" s="776"/>
      <c r="L228" s="776"/>
      <c r="M228" s="776"/>
      <c r="N228" s="776"/>
      <c r="O228" s="776"/>
      <c r="P228" s="776"/>
      <c r="Q228" s="776"/>
      <c r="R228" s="776"/>
      <c r="S228" s="776"/>
      <c r="T228" s="776"/>
      <c r="U228" s="776"/>
      <c r="V228" s="776"/>
      <c r="W228" s="776"/>
      <c r="X228" s="776"/>
      <c r="Y228" s="776"/>
      <c r="Z228" s="776"/>
      <c r="AA228" s="776"/>
      <c r="AB228" s="776"/>
    </row>
    <row r="229" spans="1:28" ht="15.75">
      <c r="A229" s="775"/>
      <c r="B229" s="775"/>
      <c r="C229" s="775"/>
      <c r="D229" s="776"/>
      <c r="E229" s="776"/>
      <c r="F229" s="776"/>
      <c r="G229" s="776"/>
      <c r="H229" s="776"/>
      <c r="I229" s="776"/>
      <c r="J229" s="776"/>
      <c r="K229" s="776"/>
      <c r="L229" s="776"/>
      <c r="M229" s="776"/>
      <c r="N229" s="776"/>
      <c r="O229" s="776"/>
      <c r="P229" s="776"/>
      <c r="Q229" s="776"/>
      <c r="R229" s="776"/>
      <c r="S229" s="776"/>
      <c r="T229" s="776"/>
      <c r="U229" s="776"/>
      <c r="V229" s="776"/>
      <c r="W229" s="776"/>
      <c r="X229" s="776"/>
      <c r="Y229" s="776"/>
      <c r="Z229" s="776"/>
      <c r="AA229" s="776"/>
      <c r="AB229" s="776"/>
    </row>
    <row r="230" spans="1:28" ht="15.75">
      <c r="A230" s="775"/>
      <c r="B230" s="775"/>
      <c r="C230" s="775"/>
      <c r="D230" s="776"/>
      <c r="E230" s="776"/>
      <c r="F230" s="776"/>
      <c r="G230" s="776"/>
      <c r="H230" s="776"/>
      <c r="I230" s="776"/>
      <c r="J230" s="776"/>
      <c r="K230" s="776"/>
      <c r="L230" s="776"/>
      <c r="M230" s="776"/>
      <c r="N230" s="776"/>
      <c r="O230" s="776"/>
      <c r="P230" s="776"/>
      <c r="Q230" s="776"/>
      <c r="R230" s="776"/>
      <c r="S230" s="776"/>
      <c r="T230" s="776"/>
      <c r="U230" s="776"/>
      <c r="V230" s="776"/>
      <c r="W230" s="776"/>
      <c r="X230" s="776"/>
      <c r="Y230" s="776"/>
      <c r="Z230" s="776"/>
      <c r="AA230" s="776"/>
      <c r="AB230" s="776"/>
    </row>
    <row r="231" spans="1:28" ht="15.75">
      <c r="A231" s="775"/>
      <c r="B231" s="775"/>
      <c r="C231" s="775"/>
      <c r="D231" s="776"/>
      <c r="E231" s="776"/>
      <c r="F231" s="776"/>
      <c r="G231" s="776"/>
      <c r="H231" s="776"/>
      <c r="I231" s="776"/>
      <c r="J231" s="776"/>
      <c r="K231" s="776"/>
      <c r="L231" s="776"/>
      <c r="M231" s="776"/>
      <c r="N231" s="776"/>
      <c r="O231" s="776"/>
      <c r="P231" s="776"/>
      <c r="Q231" s="776"/>
      <c r="R231" s="776"/>
      <c r="S231" s="776"/>
      <c r="T231" s="776"/>
      <c r="U231" s="776"/>
      <c r="V231" s="776"/>
      <c r="W231" s="776"/>
      <c r="X231" s="776"/>
      <c r="Y231" s="776"/>
      <c r="Z231" s="776"/>
      <c r="AA231" s="776"/>
      <c r="AB231" s="776"/>
    </row>
    <row r="232" spans="1:28" ht="15.75">
      <c r="A232" s="775"/>
      <c r="B232" s="775"/>
      <c r="C232" s="775"/>
      <c r="D232" s="776"/>
      <c r="E232" s="776"/>
      <c r="F232" s="776"/>
      <c r="G232" s="776"/>
      <c r="H232" s="776"/>
      <c r="I232" s="776"/>
      <c r="J232" s="776"/>
      <c r="K232" s="776"/>
      <c r="L232" s="776"/>
      <c r="M232" s="776"/>
      <c r="N232" s="776"/>
      <c r="O232" s="776"/>
      <c r="P232" s="776"/>
      <c r="Q232" s="776"/>
      <c r="R232" s="776"/>
      <c r="S232" s="776"/>
      <c r="T232" s="776"/>
      <c r="U232" s="776"/>
      <c r="V232" s="776"/>
      <c r="W232" s="776"/>
      <c r="X232" s="776"/>
      <c r="Y232" s="776"/>
      <c r="Z232" s="776"/>
      <c r="AA232" s="776"/>
      <c r="AB232" s="776"/>
    </row>
    <row r="233" spans="1:28" ht="15.75">
      <c r="A233" s="775"/>
      <c r="B233" s="775"/>
      <c r="C233" s="775"/>
      <c r="D233" s="776"/>
      <c r="E233" s="776"/>
      <c r="F233" s="776"/>
      <c r="G233" s="776"/>
      <c r="H233" s="776"/>
      <c r="I233" s="776"/>
      <c r="J233" s="776"/>
      <c r="K233" s="776"/>
      <c r="L233" s="776"/>
      <c r="M233" s="776"/>
      <c r="N233" s="776"/>
      <c r="O233" s="776"/>
      <c r="P233" s="776"/>
      <c r="Q233" s="776"/>
      <c r="R233" s="776"/>
      <c r="S233" s="776"/>
      <c r="T233" s="776"/>
      <c r="U233" s="776"/>
      <c r="V233" s="776"/>
      <c r="W233" s="776"/>
      <c r="X233" s="776"/>
      <c r="Y233" s="776"/>
      <c r="Z233" s="776"/>
      <c r="AA233" s="776"/>
      <c r="AB233" s="776"/>
    </row>
    <row r="234" spans="1:28" ht="15.75">
      <c r="A234" s="775"/>
      <c r="B234" s="775"/>
      <c r="C234" s="775"/>
      <c r="D234" s="776"/>
      <c r="E234" s="776"/>
      <c r="F234" s="776"/>
      <c r="G234" s="776"/>
      <c r="H234" s="776"/>
      <c r="I234" s="776"/>
      <c r="J234" s="776"/>
      <c r="K234" s="776"/>
      <c r="L234" s="776"/>
      <c r="M234" s="776"/>
      <c r="N234" s="776"/>
      <c r="O234" s="776"/>
      <c r="P234" s="776"/>
      <c r="Q234" s="776"/>
      <c r="R234" s="776"/>
      <c r="S234" s="776"/>
      <c r="T234" s="776"/>
      <c r="U234" s="776"/>
      <c r="V234" s="776"/>
      <c r="W234" s="776"/>
      <c r="X234" s="776"/>
      <c r="Y234" s="776"/>
      <c r="Z234" s="776"/>
      <c r="AA234" s="776"/>
      <c r="AB234" s="776"/>
    </row>
    <row r="235" spans="1:28" ht="15.75">
      <c r="A235" s="775"/>
      <c r="B235" s="775"/>
      <c r="C235" s="775"/>
      <c r="D235" s="776"/>
      <c r="E235" s="776"/>
      <c r="F235" s="776"/>
      <c r="G235" s="776"/>
      <c r="H235" s="776"/>
      <c r="I235" s="776"/>
      <c r="J235" s="776"/>
      <c r="K235" s="776"/>
      <c r="L235" s="776"/>
      <c r="M235" s="776"/>
      <c r="N235" s="776"/>
      <c r="O235" s="776"/>
      <c r="P235" s="776"/>
      <c r="Q235" s="776"/>
      <c r="R235" s="776"/>
      <c r="S235" s="776"/>
      <c r="T235" s="776"/>
      <c r="U235" s="776"/>
      <c r="V235" s="776"/>
      <c r="W235" s="776"/>
      <c r="X235" s="776"/>
      <c r="Y235" s="776"/>
      <c r="Z235" s="776"/>
      <c r="AA235" s="776"/>
      <c r="AB235" s="776"/>
    </row>
    <row r="236" spans="1:28" ht="15.75">
      <c r="A236" s="775"/>
      <c r="B236" s="775"/>
      <c r="C236" s="775"/>
      <c r="D236" s="776"/>
      <c r="E236" s="776"/>
      <c r="F236" s="776"/>
      <c r="G236" s="776"/>
      <c r="H236" s="776"/>
      <c r="I236" s="776"/>
      <c r="J236" s="776"/>
      <c r="K236" s="776"/>
      <c r="L236" s="776"/>
      <c r="M236" s="776"/>
      <c r="N236" s="776"/>
      <c r="O236" s="776"/>
      <c r="P236" s="776"/>
      <c r="Q236" s="776"/>
      <c r="R236" s="776"/>
      <c r="S236" s="776"/>
      <c r="T236" s="776"/>
      <c r="U236" s="776"/>
      <c r="V236" s="776"/>
      <c r="W236" s="776"/>
      <c r="X236" s="776"/>
      <c r="Y236" s="776"/>
      <c r="Z236" s="776"/>
      <c r="AA236" s="776"/>
      <c r="AB236" s="776"/>
    </row>
    <row r="237" spans="1:28" ht="15.75">
      <c r="A237" s="775"/>
      <c r="B237" s="775"/>
      <c r="C237" s="775"/>
      <c r="D237" s="776"/>
      <c r="E237" s="776"/>
      <c r="F237" s="776"/>
      <c r="G237" s="776"/>
      <c r="H237" s="776"/>
      <c r="I237" s="776"/>
      <c r="J237" s="776"/>
      <c r="K237" s="776"/>
      <c r="L237" s="776"/>
      <c r="M237" s="776"/>
      <c r="N237" s="776"/>
      <c r="O237" s="776"/>
      <c r="P237" s="776"/>
      <c r="Q237" s="776"/>
      <c r="R237" s="776"/>
      <c r="S237" s="776"/>
      <c r="T237" s="776"/>
      <c r="U237" s="776"/>
      <c r="V237" s="776"/>
      <c r="W237" s="776"/>
      <c r="X237" s="776"/>
      <c r="Y237" s="776"/>
      <c r="Z237" s="776"/>
      <c r="AA237" s="776"/>
      <c r="AB237" s="776"/>
    </row>
    <row r="238" spans="1:28" ht="15.75">
      <c r="A238" s="775"/>
      <c r="B238" s="775"/>
      <c r="C238" s="775"/>
      <c r="D238" s="776"/>
      <c r="E238" s="776"/>
      <c r="F238" s="776"/>
      <c r="G238" s="776"/>
      <c r="H238" s="776"/>
      <c r="I238" s="776"/>
      <c r="J238" s="776"/>
      <c r="K238" s="776"/>
      <c r="L238" s="776"/>
      <c r="M238" s="776"/>
      <c r="N238" s="776"/>
      <c r="O238" s="776"/>
      <c r="P238" s="776"/>
      <c r="Q238" s="776"/>
      <c r="R238" s="776"/>
      <c r="S238" s="776"/>
      <c r="T238" s="776"/>
      <c r="U238" s="776"/>
      <c r="V238" s="776"/>
      <c r="W238" s="776"/>
      <c r="X238" s="776"/>
      <c r="Y238" s="776"/>
      <c r="Z238" s="776"/>
      <c r="AA238" s="776"/>
      <c r="AB238" s="776"/>
    </row>
    <row r="239" spans="1:28" ht="15.75">
      <c r="A239" s="775"/>
      <c r="B239" s="775"/>
      <c r="C239" s="775"/>
      <c r="D239" s="776"/>
      <c r="E239" s="776"/>
      <c r="F239" s="776"/>
      <c r="G239" s="776"/>
      <c r="H239" s="776"/>
      <c r="I239" s="776"/>
      <c r="J239" s="776"/>
      <c r="K239" s="776"/>
      <c r="L239" s="776"/>
      <c r="M239" s="776"/>
      <c r="N239" s="776"/>
      <c r="O239" s="776"/>
      <c r="P239" s="776"/>
      <c r="Q239" s="776"/>
      <c r="R239" s="776"/>
      <c r="S239" s="776"/>
      <c r="T239" s="776"/>
      <c r="U239" s="776"/>
      <c r="V239" s="776"/>
      <c r="W239" s="776"/>
      <c r="X239" s="776"/>
      <c r="Y239" s="776"/>
      <c r="Z239" s="776"/>
      <c r="AA239" s="776"/>
      <c r="AB239" s="776"/>
    </row>
    <row r="240" spans="1:28" ht="15.75">
      <c r="A240" s="775"/>
      <c r="B240" s="775"/>
      <c r="C240" s="775"/>
      <c r="D240" s="776"/>
      <c r="E240" s="776"/>
      <c r="F240" s="776"/>
      <c r="G240" s="776"/>
      <c r="H240" s="776"/>
      <c r="I240" s="776"/>
      <c r="J240" s="776"/>
      <c r="K240" s="776"/>
      <c r="L240" s="776"/>
      <c r="M240" s="776"/>
      <c r="N240" s="776"/>
      <c r="O240" s="776"/>
      <c r="P240" s="776"/>
      <c r="Q240" s="776"/>
      <c r="R240" s="776"/>
      <c r="S240" s="776"/>
      <c r="T240" s="776"/>
      <c r="U240" s="776"/>
      <c r="V240" s="776"/>
      <c r="W240" s="776"/>
      <c r="X240" s="776"/>
      <c r="Y240" s="776"/>
      <c r="Z240" s="776"/>
      <c r="AA240" s="776"/>
      <c r="AB240" s="776"/>
    </row>
    <row r="241" spans="1:28" ht="15.75">
      <c r="A241" s="775"/>
      <c r="B241" s="775"/>
      <c r="C241" s="775"/>
      <c r="D241" s="776"/>
      <c r="E241" s="776"/>
      <c r="F241" s="776"/>
      <c r="G241" s="776"/>
      <c r="H241" s="776"/>
      <c r="I241" s="776"/>
      <c r="J241" s="776"/>
      <c r="K241" s="776"/>
      <c r="L241" s="776"/>
      <c r="M241" s="776"/>
      <c r="N241" s="776"/>
      <c r="O241" s="776"/>
      <c r="P241" s="776"/>
      <c r="Q241" s="776"/>
      <c r="R241" s="776"/>
      <c r="S241" s="776"/>
      <c r="T241" s="776"/>
      <c r="U241" s="776"/>
      <c r="V241" s="776"/>
      <c r="W241" s="776"/>
      <c r="X241" s="776"/>
      <c r="Y241" s="776"/>
      <c r="Z241" s="776"/>
      <c r="AA241" s="776"/>
      <c r="AB241" s="776"/>
    </row>
    <row r="242" spans="1:28" ht="15.75">
      <c r="A242" s="775"/>
      <c r="B242" s="775"/>
      <c r="C242" s="775"/>
      <c r="D242" s="776"/>
      <c r="E242" s="776"/>
      <c r="F242" s="776"/>
      <c r="G242" s="776"/>
      <c r="H242" s="776"/>
      <c r="I242" s="776"/>
      <c r="J242" s="776"/>
      <c r="K242" s="776"/>
      <c r="L242" s="776"/>
      <c r="M242" s="776"/>
      <c r="N242" s="776"/>
      <c r="O242" s="776"/>
      <c r="P242" s="776"/>
      <c r="Q242" s="776"/>
      <c r="R242" s="776"/>
      <c r="S242" s="776"/>
      <c r="T242" s="776"/>
      <c r="U242" s="776"/>
      <c r="V242" s="776"/>
      <c r="W242" s="776"/>
      <c r="X242" s="776"/>
      <c r="Y242" s="776"/>
      <c r="Z242" s="776"/>
      <c r="AA242" s="776"/>
      <c r="AB242" s="776"/>
    </row>
    <row r="243" spans="1:28" ht="15.75">
      <c r="A243" s="775"/>
      <c r="B243" s="775"/>
      <c r="C243" s="775"/>
      <c r="D243" s="776"/>
      <c r="E243" s="776"/>
      <c r="F243" s="776"/>
      <c r="G243" s="776"/>
      <c r="H243" s="776"/>
      <c r="I243" s="776"/>
      <c r="J243" s="776"/>
      <c r="K243" s="776"/>
      <c r="L243" s="776"/>
      <c r="M243" s="776"/>
      <c r="N243" s="776"/>
      <c r="O243" s="776"/>
      <c r="P243" s="776"/>
      <c r="Q243" s="776"/>
      <c r="R243" s="776"/>
      <c r="S243" s="776"/>
      <c r="T243" s="776"/>
      <c r="U243" s="776"/>
      <c r="V243" s="776"/>
      <c r="W243" s="776"/>
      <c r="X243" s="776"/>
      <c r="Y243" s="776"/>
      <c r="Z243" s="776"/>
      <c r="AA243" s="776"/>
      <c r="AB243" s="776"/>
    </row>
    <row r="244" spans="1:28" ht="15.75">
      <c r="A244" s="775"/>
      <c r="B244" s="775"/>
      <c r="C244" s="775"/>
      <c r="D244" s="776"/>
      <c r="E244" s="776"/>
      <c r="F244" s="776"/>
      <c r="G244" s="776"/>
      <c r="H244" s="776"/>
      <c r="I244" s="776"/>
      <c r="J244" s="776"/>
      <c r="K244" s="776"/>
      <c r="L244" s="776"/>
      <c r="M244" s="776"/>
      <c r="N244" s="776"/>
      <c r="O244" s="776"/>
      <c r="P244" s="776"/>
      <c r="Q244" s="776"/>
      <c r="R244" s="776"/>
      <c r="S244" s="776"/>
      <c r="T244" s="776"/>
      <c r="U244" s="776"/>
      <c r="V244" s="776"/>
      <c r="W244" s="776"/>
      <c r="X244" s="776"/>
      <c r="Y244" s="776"/>
      <c r="Z244" s="776"/>
      <c r="AA244" s="776"/>
      <c r="AB244" s="776"/>
    </row>
    <row r="245" spans="1:28" ht="15.75">
      <c r="A245" s="775"/>
      <c r="B245" s="775"/>
      <c r="C245" s="775"/>
      <c r="D245" s="776"/>
      <c r="E245" s="776"/>
      <c r="F245" s="776"/>
      <c r="G245" s="776"/>
      <c r="H245" s="776"/>
      <c r="I245" s="776"/>
      <c r="J245" s="776"/>
      <c r="K245" s="776"/>
      <c r="L245" s="776"/>
      <c r="M245" s="776"/>
      <c r="N245" s="776"/>
      <c r="O245" s="776"/>
      <c r="P245" s="776"/>
      <c r="Q245" s="776"/>
      <c r="R245" s="776"/>
      <c r="S245" s="776"/>
      <c r="T245" s="776"/>
      <c r="U245" s="776"/>
      <c r="V245" s="776"/>
      <c r="W245" s="776"/>
      <c r="X245" s="776"/>
      <c r="Y245" s="776"/>
      <c r="Z245" s="776"/>
      <c r="AA245" s="776"/>
      <c r="AB245" s="776"/>
    </row>
    <row r="246" spans="1:28" ht="15.75">
      <c r="A246" s="775"/>
      <c r="B246" s="775"/>
      <c r="C246" s="775"/>
      <c r="D246" s="776"/>
      <c r="E246" s="776"/>
      <c r="F246" s="776"/>
      <c r="G246" s="776"/>
      <c r="H246" s="776"/>
      <c r="I246" s="776"/>
      <c r="J246" s="776"/>
      <c r="K246" s="776"/>
      <c r="L246" s="776"/>
      <c r="M246" s="776"/>
      <c r="N246" s="776"/>
      <c r="O246" s="776"/>
      <c r="P246" s="776"/>
      <c r="Q246" s="776"/>
      <c r="R246" s="776"/>
      <c r="S246" s="776"/>
      <c r="T246" s="776"/>
      <c r="U246" s="776"/>
      <c r="V246" s="776"/>
      <c r="W246" s="776"/>
      <c r="X246" s="776"/>
      <c r="Y246" s="776"/>
      <c r="Z246" s="776"/>
      <c r="AA246" s="776"/>
      <c r="AB246" s="776"/>
    </row>
    <row r="247" spans="1:28" ht="15.75">
      <c r="A247" s="775"/>
      <c r="B247" s="775"/>
      <c r="C247" s="775"/>
      <c r="D247" s="776"/>
      <c r="E247" s="776"/>
      <c r="F247" s="776"/>
      <c r="G247" s="776"/>
      <c r="H247" s="776"/>
      <c r="I247" s="776"/>
      <c r="J247" s="776"/>
      <c r="K247" s="776"/>
      <c r="L247" s="776"/>
      <c r="M247" s="776"/>
      <c r="N247" s="776"/>
      <c r="O247" s="776"/>
      <c r="P247" s="776"/>
      <c r="Q247" s="776"/>
      <c r="R247" s="776"/>
      <c r="S247" s="776"/>
      <c r="T247" s="776"/>
      <c r="U247" s="776"/>
      <c r="V247" s="776"/>
      <c r="W247" s="776"/>
      <c r="X247" s="776"/>
      <c r="Y247" s="776"/>
      <c r="Z247" s="776"/>
      <c r="AA247" s="776"/>
      <c r="AB247" s="776"/>
    </row>
    <row r="248" spans="1:28" ht="15.75">
      <c r="A248" s="775"/>
      <c r="B248" s="775"/>
      <c r="C248" s="775"/>
      <c r="D248" s="776"/>
      <c r="E248" s="776"/>
      <c r="F248" s="776"/>
      <c r="G248" s="776"/>
      <c r="H248" s="776"/>
      <c r="I248" s="776"/>
      <c r="J248" s="776"/>
      <c r="K248" s="776"/>
      <c r="L248" s="776"/>
      <c r="M248" s="776"/>
      <c r="N248" s="776"/>
      <c r="O248" s="776"/>
      <c r="P248" s="776"/>
      <c r="Q248" s="776"/>
      <c r="R248" s="776"/>
      <c r="S248" s="776"/>
      <c r="T248" s="776"/>
      <c r="U248" s="776"/>
      <c r="V248" s="776"/>
      <c r="W248" s="776"/>
      <c r="X248" s="776"/>
      <c r="Y248" s="776"/>
      <c r="Z248" s="776"/>
      <c r="AA248" s="776"/>
      <c r="AB248" s="776"/>
    </row>
    <row r="249" spans="1:28" ht="15.75">
      <c r="A249" s="775"/>
      <c r="B249" s="775"/>
      <c r="C249" s="775"/>
      <c r="D249" s="776"/>
      <c r="E249" s="776"/>
      <c r="F249" s="776"/>
      <c r="G249" s="776"/>
      <c r="H249" s="776"/>
      <c r="I249" s="776"/>
      <c r="J249" s="776"/>
      <c r="K249" s="776"/>
      <c r="L249" s="776"/>
      <c r="M249" s="776"/>
      <c r="N249" s="776"/>
      <c r="O249" s="776"/>
      <c r="P249" s="776"/>
      <c r="Q249" s="776"/>
      <c r="R249" s="776"/>
      <c r="S249" s="776"/>
      <c r="T249" s="776"/>
      <c r="U249" s="776"/>
      <c r="V249" s="776"/>
      <c r="W249" s="776"/>
      <c r="X249" s="776"/>
      <c r="Y249" s="776"/>
      <c r="Z249" s="776"/>
      <c r="AA249" s="776"/>
      <c r="AB249" s="776"/>
    </row>
    <row r="250" spans="1:28" ht="15.75">
      <c r="A250" s="775"/>
      <c r="B250" s="775"/>
      <c r="C250" s="775"/>
      <c r="D250" s="776"/>
      <c r="E250" s="776"/>
      <c r="F250" s="776"/>
      <c r="G250" s="776"/>
      <c r="H250" s="776"/>
      <c r="I250" s="776"/>
      <c r="J250" s="776"/>
      <c r="K250" s="776"/>
      <c r="L250" s="776"/>
      <c r="M250" s="776"/>
      <c r="N250" s="776"/>
      <c r="O250" s="776"/>
      <c r="P250" s="776"/>
      <c r="Q250" s="776"/>
      <c r="R250" s="776"/>
      <c r="S250" s="776"/>
      <c r="T250" s="776"/>
      <c r="U250" s="776"/>
      <c r="V250" s="776"/>
      <c r="W250" s="776"/>
      <c r="X250" s="776"/>
      <c r="Y250" s="776"/>
      <c r="Z250" s="776"/>
      <c r="AA250" s="776"/>
      <c r="AB250" s="776"/>
    </row>
    <row r="251" spans="1:28" ht="15.75">
      <c r="A251" s="775"/>
      <c r="B251" s="775"/>
      <c r="C251" s="775"/>
      <c r="D251" s="776"/>
      <c r="E251" s="776"/>
      <c r="F251" s="776"/>
      <c r="G251" s="776"/>
      <c r="H251" s="776"/>
      <c r="I251" s="776"/>
      <c r="J251" s="776"/>
      <c r="K251" s="776"/>
      <c r="L251" s="776"/>
      <c r="M251" s="776"/>
      <c r="N251" s="776"/>
      <c r="O251" s="776"/>
      <c r="P251" s="776"/>
      <c r="Q251" s="776"/>
      <c r="R251" s="776"/>
      <c r="S251" s="776"/>
      <c r="T251" s="776"/>
      <c r="U251" s="776"/>
      <c r="V251" s="776"/>
      <c r="W251" s="776"/>
      <c r="X251" s="776"/>
      <c r="Y251" s="776"/>
      <c r="Z251" s="776"/>
      <c r="AA251" s="776"/>
      <c r="AB251" s="776"/>
    </row>
    <row r="252" spans="1:28" ht="15.75">
      <c r="A252" s="775"/>
      <c r="B252" s="775"/>
      <c r="C252" s="775"/>
      <c r="D252" s="776"/>
      <c r="E252" s="776"/>
      <c r="F252" s="776"/>
      <c r="G252" s="776"/>
      <c r="H252" s="776"/>
      <c r="I252" s="776"/>
      <c r="J252" s="776"/>
      <c r="K252" s="776"/>
      <c r="L252" s="776"/>
      <c r="M252" s="776"/>
      <c r="N252" s="776"/>
      <c r="O252" s="776"/>
      <c r="P252" s="776"/>
      <c r="Q252" s="776"/>
      <c r="R252" s="776"/>
      <c r="S252" s="776"/>
      <c r="T252" s="776"/>
      <c r="U252" s="776"/>
      <c r="V252" s="776"/>
      <c r="W252" s="776"/>
      <c r="X252" s="776"/>
      <c r="Y252" s="776"/>
      <c r="Z252" s="776"/>
      <c r="AA252" s="776"/>
      <c r="AB252" s="776"/>
    </row>
    <row r="253" spans="1:28" ht="15.75">
      <c r="A253" s="775"/>
      <c r="B253" s="775"/>
      <c r="C253" s="775"/>
      <c r="D253" s="776"/>
      <c r="E253" s="776"/>
      <c r="F253" s="776"/>
      <c r="G253" s="776"/>
      <c r="H253" s="776"/>
      <c r="I253" s="776"/>
      <c r="J253" s="776"/>
      <c r="K253" s="776"/>
      <c r="L253" s="776"/>
      <c r="M253" s="776"/>
      <c r="N253" s="776"/>
      <c r="O253" s="776"/>
      <c r="P253" s="776"/>
      <c r="Q253" s="776"/>
      <c r="R253" s="776"/>
      <c r="S253" s="776"/>
      <c r="T253" s="776"/>
      <c r="U253" s="776"/>
      <c r="V253" s="776"/>
      <c r="W253" s="776"/>
      <c r="X253" s="776"/>
      <c r="Y253" s="776"/>
      <c r="Z253" s="776"/>
      <c r="AA253" s="776"/>
      <c r="AB253" s="776"/>
    </row>
    <row r="254" spans="1:28" ht="15.75">
      <c r="A254" s="775"/>
      <c r="B254" s="775"/>
      <c r="C254" s="775"/>
      <c r="D254" s="776"/>
      <c r="E254" s="776"/>
      <c r="F254" s="776"/>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row>
    <row r="255" spans="1:28" ht="15.75">
      <c r="A255" s="775"/>
      <c r="B255" s="775"/>
      <c r="C255" s="775"/>
      <c r="D255" s="776"/>
      <c r="E255" s="776"/>
      <c r="F255" s="776"/>
      <c r="G255" s="776"/>
      <c r="H255" s="776"/>
      <c r="I255" s="776"/>
      <c r="J255" s="776"/>
      <c r="K255" s="776"/>
      <c r="L255" s="776"/>
      <c r="M255" s="776"/>
      <c r="N255" s="776"/>
      <c r="O255" s="776"/>
      <c r="P255" s="776"/>
      <c r="Q255" s="776"/>
      <c r="R255" s="776"/>
      <c r="S255" s="776"/>
      <c r="T255" s="776"/>
      <c r="U255" s="776"/>
      <c r="V255" s="776"/>
      <c r="W255" s="776"/>
      <c r="X255" s="776"/>
      <c r="Y255" s="776"/>
      <c r="Z255" s="776"/>
      <c r="AA255" s="776"/>
      <c r="AB255" s="776"/>
    </row>
    <row r="256" spans="1:28" ht="15.75">
      <c r="A256" s="775"/>
      <c r="B256" s="775"/>
      <c r="C256" s="775"/>
      <c r="D256" s="776"/>
      <c r="E256" s="776"/>
      <c r="F256" s="776"/>
      <c r="G256" s="776"/>
      <c r="H256" s="776"/>
      <c r="I256" s="776"/>
      <c r="J256" s="776"/>
      <c r="K256" s="776"/>
      <c r="L256" s="776"/>
      <c r="M256" s="776"/>
      <c r="N256" s="776"/>
      <c r="O256" s="776"/>
      <c r="P256" s="776"/>
      <c r="Q256" s="776"/>
      <c r="R256" s="776"/>
      <c r="S256" s="776"/>
      <c r="T256" s="776"/>
      <c r="U256" s="776"/>
      <c r="V256" s="776"/>
      <c r="W256" s="776"/>
      <c r="X256" s="776"/>
      <c r="Y256" s="776"/>
      <c r="Z256" s="776"/>
      <c r="AA256" s="776"/>
      <c r="AB256" s="776"/>
    </row>
    <row r="257" spans="1:28" ht="15.75">
      <c r="A257" s="775"/>
      <c r="B257" s="775"/>
      <c r="C257" s="775"/>
      <c r="D257" s="776"/>
      <c r="E257" s="776"/>
      <c r="F257" s="776"/>
      <c r="G257" s="776"/>
      <c r="H257" s="776"/>
      <c r="I257" s="776"/>
      <c r="J257" s="776"/>
      <c r="K257" s="776"/>
      <c r="L257" s="776"/>
      <c r="M257" s="776"/>
      <c r="N257" s="776"/>
      <c r="O257" s="776"/>
      <c r="P257" s="776"/>
      <c r="Q257" s="776"/>
      <c r="R257" s="776"/>
      <c r="S257" s="776"/>
      <c r="T257" s="776"/>
      <c r="U257" s="776"/>
      <c r="V257" s="776"/>
      <c r="W257" s="776"/>
      <c r="X257" s="776"/>
      <c r="Y257" s="776"/>
      <c r="Z257" s="776"/>
      <c r="AA257" s="776"/>
      <c r="AB257" s="776"/>
    </row>
    <row r="258" spans="1:28" ht="15.75">
      <c r="A258" s="775"/>
      <c r="B258" s="775"/>
      <c r="C258" s="775"/>
      <c r="D258" s="776"/>
      <c r="E258" s="776"/>
      <c r="F258" s="776"/>
      <c r="G258" s="776"/>
      <c r="H258" s="776"/>
      <c r="I258" s="776"/>
      <c r="J258" s="776"/>
      <c r="K258" s="776"/>
      <c r="L258" s="776"/>
      <c r="M258" s="776"/>
      <c r="N258" s="776"/>
      <c r="O258" s="776"/>
      <c r="P258" s="776"/>
      <c r="Q258" s="776"/>
      <c r="R258" s="776"/>
      <c r="S258" s="776"/>
      <c r="T258" s="776"/>
      <c r="U258" s="776"/>
      <c r="V258" s="776"/>
      <c r="W258" s="776"/>
      <c r="X258" s="776"/>
      <c r="Y258" s="776"/>
      <c r="Z258" s="776"/>
      <c r="AA258" s="776"/>
      <c r="AB258" s="776"/>
    </row>
    <row r="259" spans="1:28" ht="15.75">
      <c r="A259" s="775"/>
      <c r="B259" s="775"/>
      <c r="C259" s="775"/>
      <c r="D259" s="776"/>
      <c r="E259" s="776"/>
      <c r="F259" s="776"/>
      <c r="G259" s="776"/>
      <c r="H259" s="776"/>
      <c r="I259" s="776"/>
      <c r="J259" s="776"/>
      <c r="K259" s="776"/>
      <c r="L259" s="776"/>
      <c r="M259" s="776"/>
      <c r="N259" s="776"/>
      <c r="O259" s="776"/>
      <c r="P259" s="776"/>
      <c r="Q259" s="776"/>
      <c r="R259" s="776"/>
      <c r="S259" s="776"/>
      <c r="T259" s="776"/>
      <c r="U259" s="776"/>
      <c r="V259" s="776"/>
      <c r="W259" s="776"/>
      <c r="X259" s="776"/>
      <c r="Y259" s="776"/>
      <c r="Z259" s="776"/>
      <c r="AA259" s="776"/>
      <c r="AB259" s="776"/>
    </row>
    <row r="260" spans="1:28" ht="15.75">
      <c r="A260" s="775"/>
      <c r="B260" s="775"/>
      <c r="C260" s="775"/>
      <c r="D260" s="776"/>
      <c r="E260" s="776"/>
      <c r="F260" s="776"/>
      <c r="G260" s="776"/>
      <c r="H260" s="776"/>
      <c r="I260" s="776"/>
      <c r="J260" s="776"/>
      <c r="K260" s="776"/>
      <c r="L260" s="776"/>
      <c r="M260" s="776"/>
      <c r="N260" s="776"/>
      <c r="O260" s="776"/>
      <c r="P260" s="776"/>
      <c r="Q260" s="776"/>
      <c r="R260" s="776"/>
      <c r="S260" s="776"/>
      <c r="T260" s="776"/>
      <c r="U260" s="776"/>
      <c r="V260" s="776"/>
      <c r="W260" s="776"/>
      <c r="X260" s="776"/>
      <c r="Y260" s="776"/>
      <c r="Z260" s="776"/>
      <c r="AA260" s="776"/>
      <c r="AB260" s="776"/>
    </row>
    <row r="261" spans="1:28" ht="15.75">
      <c r="A261" s="775"/>
      <c r="B261" s="775"/>
      <c r="C261" s="775"/>
      <c r="D261" s="776"/>
      <c r="E261" s="776"/>
      <c r="F261" s="776"/>
      <c r="G261" s="776"/>
      <c r="H261" s="776"/>
      <c r="I261" s="776"/>
      <c r="J261" s="776"/>
      <c r="K261" s="776"/>
      <c r="L261" s="776"/>
      <c r="M261" s="776"/>
      <c r="N261" s="776"/>
      <c r="O261" s="776"/>
      <c r="P261" s="776"/>
      <c r="Q261" s="776"/>
      <c r="R261" s="776"/>
      <c r="S261" s="776"/>
      <c r="T261" s="776"/>
      <c r="U261" s="776"/>
      <c r="V261" s="776"/>
      <c r="W261" s="776"/>
      <c r="X261" s="776"/>
      <c r="Y261" s="776"/>
      <c r="Z261" s="776"/>
      <c r="AA261" s="776"/>
      <c r="AB261" s="776"/>
    </row>
    <row r="262" spans="1:28" ht="15.75">
      <c r="A262" s="775"/>
      <c r="B262" s="775"/>
      <c r="C262" s="775"/>
      <c r="D262" s="776"/>
      <c r="E262" s="776"/>
      <c r="F262" s="776"/>
      <c r="G262" s="776"/>
      <c r="H262" s="776"/>
      <c r="I262" s="776"/>
      <c r="J262" s="776"/>
      <c r="K262" s="776"/>
      <c r="L262" s="776"/>
      <c r="M262" s="776"/>
      <c r="N262" s="776"/>
      <c r="O262" s="776"/>
      <c r="P262" s="776"/>
      <c r="Q262" s="776"/>
      <c r="R262" s="776"/>
      <c r="S262" s="776"/>
      <c r="T262" s="776"/>
      <c r="U262" s="776"/>
      <c r="V262" s="776"/>
      <c r="W262" s="776"/>
      <c r="X262" s="776"/>
      <c r="Y262" s="776"/>
      <c r="Z262" s="776"/>
      <c r="AA262" s="776"/>
      <c r="AB262" s="776"/>
    </row>
    <row r="263" spans="1:28" ht="15.75">
      <c r="A263" s="775"/>
      <c r="B263" s="775"/>
      <c r="C263" s="775"/>
      <c r="D263" s="776"/>
      <c r="E263" s="776"/>
      <c r="F263" s="776"/>
      <c r="G263" s="776"/>
      <c r="H263" s="776"/>
      <c r="I263" s="776"/>
      <c r="J263" s="776"/>
      <c r="K263" s="776"/>
      <c r="L263" s="776"/>
      <c r="M263" s="776"/>
      <c r="N263" s="776"/>
      <c r="O263" s="776"/>
      <c r="P263" s="776"/>
      <c r="Q263" s="776"/>
      <c r="R263" s="776"/>
      <c r="S263" s="776"/>
      <c r="T263" s="776"/>
      <c r="U263" s="776"/>
      <c r="V263" s="776"/>
      <c r="W263" s="776"/>
      <c r="X263" s="776"/>
      <c r="Y263" s="776"/>
      <c r="Z263" s="776"/>
      <c r="AA263" s="776"/>
      <c r="AB263" s="776"/>
    </row>
    <row r="264" spans="1:28" ht="15.75">
      <c r="A264" s="775"/>
      <c r="B264" s="775"/>
      <c r="C264" s="775"/>
      <c r="D264" s="776"/>
      <c r="E264" s="776"/>
      <c r="F264" s="776"/>
      <c r="G264" s="776"/>
      <c r="H264" s="776"/>
      <c r="I264" s="776"/>
      <c r="J264" s="776"/>
      <c r="K264" s="776"/>
      <c r="L264" s="776"/>
      <c r="M264" s="776"/>
      <c r="N264" s="776"/>
      <c r="O264" s="776"/>
      <c r="P264" s="776"/>
      <c r="Q264" s="776"/>
      <c r="R264" s="776"/>
      <c r="S264" s="776"/>
      <c r="T264" s="776"/>
      <c r="U264" s="776"/>
      <c r="V264" s="776"/>
      <c r="W264" s="776"/>
      <c r="X264" s="776"/>
      <c r="Y264" s="776"/>
      <c r="Z264" s="776"/>
      <c r="AA264" s="776"/>
      <c r="AB264" s="776"/>
    </row>
    <row r="265" spans="1:28" ht="15.75">
      <c r="A265" s="775"/>
      <c r="B265" s="775"/>
      <c r="C265" s="775"/>
      <c r="D265" s="776"/>
      <c r="E265" s="776"/>
      <c r="F265" s="776"/>
      <c r="G265" s="776"/>
      <c r="H265" s="776"/>
      <c r="I265" s="776"/>
      <c r="J265" s="776"/>
      <c r="K265" s="776"/>
      <c r="L265" s="776"/>
      <c r="M265" s="776"/>
      <c r="N265" s="776"/>
      <c r="O265" s="776"/>
      <c r="P265" s="776"/>
      <c r="Q265" s="776"/>
      <c r="R265" s="776"/>
      <c r="S265" s="776"/>
      <c r="T265" s="776"/>
      <c r="U265" s="776"/>
      <c r="V265" s="776"/>
      <c r="W265" s="776"/>
      <c r="X265" s="776"/>
      <c r="Y265" s="776"/>
      <c r="Z265" s="776"/>
      <c r="AA265" s="776"/>
      <c r="AB265" s="776"/>
    </row>
    <row r="266" spans="1:28" ht="15.75">
      <c r="A266" s="775"/>
      <c r="B266" s="775"/>
      <c r="C266" s="775"/>
      <c r="D266" s="776"/>
      <c r="E266" s="776"/>
      <c r="F266" s="776"/>
      <c r="G266" s="776"/>
      <c r="H266" s="776"/>
      <c r="I266" s="776"/>
      <c r="J266" s="776"/>
      <c r="K266" s="776"/>
      <c r="L266" s="776"/>
      <c r="M266" s="776"/>
      <c r="N266" s="776"/>
      <c r="O266" s="776"/>
      <c r="P266" s="776"/>
      <c r="Q266" s="776"/>
      <c r="R266" s="776"/>
      <c r="S266" s="776"/>
      <c r="T266" s="776"/>
      <c r="U266" s="776"/>
      <c r="V266" s="776"/>
      <c r="W266" s="776"/>
      <c r="X266" s="776"/>
      <c r="Y266" s="776"/>
      <c r="Z266" s="776"/>
      <c r="AA266" s="776"/>
      <c r="AB266" s="776"/>
    </row>
    <row r="267" spans="1:28" ht="15.75">
      <c r="A267" s="775"/>
      <c r="B267" s="775"/>
      <c r="C267" s="775"/>
      <c r="D267" s="776"/>
      <c r="E267" s="776"/>
      <c r="F267" s="776"/>
      <c r="G267" s="776"/>
      <c r="H267" s="776"/>
      <c r="I267" s="776"/>
      <c r="J267" s="776"/>
      <c r="K267" s="776"/>
      <c r="L267" s="776"/>
      <c r="M267" s="776"/>
      <c r="N267" s="776"/>
      <c r="O267" s="776"/>
      <c r="P267" s="776"/>
      <c r="Q267" s="776"/>
      <c r="R267" s="776"/>
      <c r="S267" s="776"/>
      <c r="T267" s="776"/>
      <c r="U267" s="776"/>
      <c r="V267" s="776"/>
      <c r="W267" s="776"/>
      <c r="X267" s="776"/>
      <c r="Y267" s="776"/>
      <c r="Z267" s="776"/>
      <c r="AA267" s="776"/>
      <c r="AB267" s="776"/>
    </row>
    <row r="268" spans="1:28" ht="15.75">
      <c r="A268" s="775"/>
      <c r="B268" s="775"/>
      <c r="C268" s="775"/>
      <c r="D268" s="776"/>
      <c r="E268" s="776"/>
      <c r="F268" s="776"/>
      <c r="G268" s="776"/>
      <c r="H268" s="776"/>
      <c r="I268" s="776"/>
      <c r="J268" s="776"/>
      <c r="K268" s="776"/>
      <c r="L268" s="776"/>
      <c r="M268" s="776"/>
      <c r="N268" s="776"/>
      <c r="O268" s="776"/>
      <c r="P268" s="776"/>
      <c r="Q268" s="776"/>
      <c r="R268" s="776"/>
      <c r="S268" s="776"/>
      <c r="T268" s="776"/>
      <c r="U268" s="776"/>
      <c r="V268" s="776"/>
      <c r="W268" s="776"/>
      <c r="X268" s="776"/>
      <c r="Y268" s="776"/>
      <c r="Z268" s="776"/>
      <c r="AA268" s="776"/>
      <c r="AB268" s="776"/>
    </row>
    <row r="269" spans="1:28" ht="15.75">
      <c r="A269" s="775"/>
      <c r="B269" s="775"/>
      <c r="C269" s="775"/>
      <c r="D269" s="776"/>
      <c r="E269" s="776"/>
      <c r="F269" s="776"/>
      <c r="G269" s="776"/>
      <c r="H269" s="776"/>
      <c r="I269" s="776"/>
      <c r="J269" s="776"/>
      <c r="K269" s="776"/>
      <c r="L269" s="776"/>
      <c r="M269" s="776"/>
      <c r="N269" s="776"/>
      <c r="O269" s="776"/>
      <c r="P269" s="776"/>
      <c r="Q269" s="776"/>
      <c r="R269" s="776"/>
      <c r="S269" s="776"/>
      <c r="T269" s="776"/>
      <c r="U269" s="776"/>
      <c r="V269" s="776"/>
      <c r="W269" s="776"/>
      <c r="X269" s="776"/>
      <c r="Y269" s="776"/>
      <c r="Z269" s="776"/>
      <c r="AA269" s="776"/>
      <c r="AB269" s="776"/>
    </row>
    <row r="270" spans="1:28" ht="15.75">
      <c r="A270" s="775"/>
      <c r="B270" s="775"/>
      <c r="C270" s="775"/>
      <c r="D270" s="776"/>
      <c r="E270" s="776"/>
      <c r="F270" s="776"/>
      <c r="G270" s="776"/>
      <c r="H270" s="776"/>
      <c r="I270" s="776"/>
      <c r="J270" s="776"/>
      <c r="K270" s="776"/>
      <c r="L270" s="776"/>
      <c r="M270" s="776"/>
      <c r="N270" s="776"/>
      <c r="O270" s="776"/>
      <c r="P270" s="776"/>
      <c r="Q270" s="776"/>
      <c r="R270" s="776"/>
      <c r="S270" s="776"/>
      <c r="T270" s="776"/>
      <c r="U270" s="776"/>
      <c r="V270" s="776"/>
      <c r="W270" s="776"/>
      <c r="X270" s="776"/>
      <c r="Y270" s="776"/>
      <c r="Z270" s="776"/>
      <c r="AA270" s="776"/>
      <c r="AB270" s="776"/>
    </row>
    <row r="271" spans="1:28" ht="15.75">
      <c r="A271" s="775"/>
      <c r="B271" s="775"/>
      <c r="C271" s="775"/>
      <c r="D271" s="776"/>
      <c r="E271" s="776"/>
      <c r="F271" s="776"/>
      <c r="G271" s="776"/>
      <c r="H271" s="776"/>
      <c r="I271" s="776"/>
      <c r="J271" s="776"/>
      <c r="K271" s="776"/>
      <c r="L271" s="776"/>
      <c r="M271" s="776"/>
      <c r="N271" s="776"/>
      <c r="O271" s="776"/>
      <c r="P271" s="776"/>
      <c r="Q271" s="776"/>
      <c r="R271" s="776"/>
      <c r="S271" s="776"/>
      <c r="T271" s="776"/>
      <c r="U271" s="776"/>
      <c r="V271" s="776"/>
      <c r="W271" s="776"/>
      <c r="X271" s="776"/>
      <c r="Y271" s="776"/>
      <c r="Z271" s="776"/>
      <c r="AA271" s="776"/>
      <c r="AB271" s="776"/>
    </row>
    <row r="272" spans="1:28" ht="15.75">
      <c r="A272" s="775"/>
      <c r="B272" s="775"/>
      <c r="C272" s="775"/>
      <c r="D272" s="776"/>
      <c r="E272" s="776"/>
      <c r="F272" s="776"/>
      <c r="G272" s="776"/>
      <c r="H272" s="776"/>
      <c r="I272" s="776"/>
      <c r="J272" s="776"/>
      <c r="K272" s="776"/>
      <c r="L272" s="776"/>
      <c r="M272" s="776"/>
      <c r="N272" s="776"/>
      <c r="O272" s="776"/>
      <c r="P272" s="776"/>
      <c r="Q272" s="776"/>
      <c r="R272" s="776"/>
      <c r="S272" s="776"/>
      <c r="T272" s="776"/>
      <c r="U272" s="776"/>
      <c r="V272" s="776"/>
      <c r="W272" s="776"/>
      <c r="X272" s="776"/>
      <c r="Y272" s="776"/>
      <c r="Z272" s="776"/>
      <c r="AA272" s="776"/>
      <c r="AB272" s="776"/>
    </row>
    <row r="273" spans="1:28" ht="15.75">
      <c r="A273" s="775"/>
      <c r="B273" s="775"/>
      <c r="C273" s="775"/>
      <c r="D273" s="776"/>
      <c r="E273" s="776"/>
      <c r="F273" s="776"/>
      <c r="G273" s="776"/>
      <c r="H273" s="776"/>
      <c r="I273" s="776"/>
      <c r="J273" s="776"/>
      <c r="K273" s="776"/>
      <c r="L273" s="776"/>
      <c r="M273" s="776"/>
      <c r="N273" s="776"/>
      <c r="O273" s="776"/>
      <c r="P273" s="776"/>
      <c r="Q273" s="776"/>
      <c r="R273" s="776"/>
      <c r="S273" s="776"/>
      <c r="T273" s="776"/>
      <c r="U273" s="776"/>
      <c r="V273" s="776"/>
      <c r="W273" s="776"/>
      <c r="X273" s="776"/>
      <c r="Y273" s="776"/>
      <c r="Z273" s="776"/>
      <c r="AA273" s="776"/>
      <c r="AB273" s="776"/>
    </row>
    <row r="274" spans="1:28" ht="15.75">
      <c r="A274" s="775"/>
      <c r="B274" s="775"/>
      <c r="C274" s="775"/>
      <c r="D274" s="776"/>
      <c r="E274" s="776"/>
      <c r="F274" s="776"/>
      <c r="G274" s="776"/>
      <c r="H274" s="776"/>
      <c r="I274" s="776"/>
      <c r="J274" s="776"/>
      <c r="K274" s="776"/>
      <c r="L274" s="776"/>
      <c r="M274" s="776"/>
      <c r="N274" s="776"/>
      <c r="O274" s="776"/>
      <c r="P274" s="776"/>
      <c r="Q274" s="776"/>
      <c r="R274" s="776"/>
      <c r="S274" s="776"/>
      <c r="T274" s="776"/>
      <c r="U274" s="776"/>
      <c r="V274" s="776"/>
      <c r="W274" s="776"/>
      <c r="X274" s="776"/>
      <c r="Y274" s="776"/>
      <c r="Z274" s="776"/>
      <c r="AA274" s="776"/>
      <c r="AB274" s="776"/>
    </row>
    <row r="275" spans="1:28" ht="15.75">
      <c r="A275" s="775"/>
      <c r="B275" s="775"/>
      <c r="C275" s="775"/>
      <c r="D275" s="776"/>
      <c r="E275" s="776"/>
      <c r="F275" s="776"/>
      <c r="G275" s="776"/>
      <c r="H275" s="776"/>
      <c r="I275" s="776"/>
      <c r="J275" s="776"/>
      <c r="K275" s="776"/>
      <c r="L275" s="776"/>
      <c r="M275" s="776"/>
      <c r="N275" s="776"/>
      <c r="O275" s="776"/>
      <c r="P275" s="776"/>
      <c r="Q275" s="776"/>
      <c r="R275" s="776"/>
      <c r="S275" s="776"/>
      <c r="T275" s="776"/>
      <c r="U275" s="776"/>
      <c r="V275" s="776"/>
      <c r="W275" s="776"/>
      <c r="X275" s="776"/>
      <c r="Y275" s="776"/>
      <c r="Z275" s="776"/>
      <c r="AA275" s="776"/>
      <c r="AB275" s="776"/>
    </row>
    <row r="276" spans="1:28" ht="15.75">
      <c r="A276" s="775"/>
      <c r="B276" s="775"/>
      <c r="C276" s="775"/>
      <c r="D276" s="776"/>
      <c r="E276" s="776"/>
      <c r="F276" s="776"/>
      <c r="G276" s="776"/>
      <c r="H276" s="776"/>
      <c r="I276" s="776"/>
      <c r="J276" s="776"/>
      <c r="K276" s="776"/>
      <c r="L276" s="776"/>
      <c r="M276" s="776"/>
      <c r="N276" s="776"/>
      <c r="O276" s="776"/>
      <c r="P276" s="776"/>
      <c r="Q276" s="776"/>
      <c r="R276" s="776"/>
      <c r="S276" s="776"/>
      <c r="T276" s="776"/>
      <c r="U276" s="776"/>
      <c r="V276" s="776"/>
      <c r="W276" s="776"/>
      <c r="X276" s="776"/>
      <c r="Y276" s="776"/>
      <c r="Z276" s="776"/>
      <c r="AA276" s="776"/>
      <c r="AB276" s="776"/>
    </row>
    <row r="277" spans="1:28" ht="15.75">
      <c r="A277" s="775"/>
      <c r="B277" s="775"/>
      <c r="C277" s="775"/>
      <c r="D277" s="776"/>
      <c r="E277" s="776"/>
      <c r="F277" s="776"/>
      <c r="G277" s="776"/>
      <c r="H277" s="776"/>
      <c r="I277" s="776"/>
      <c r="J277" s="776"/>
      <c r="K277" s="776"/>
      <c r="L277" s="776"/>
      <c r="M277" s="776"/>
      <c r="N277" s="776"/>
      <c r="O277" s="776"/>
      <c r="P277" s="776"/>
      <c r="Q277" s="776"/>
      <c r="R277" s="776"/>
      <c r="S277" s="776"/>
      <c r="T277" s="776"/>
      <c r="U277" s="776"/>
      <c r="V277" s="776"/>
      <c r="W277" s="776"/>
      <c r="X277" s="776"/>
      <c r="Y277" s="776"/>
      <c r="Z277" s="776"/>
      <c r="AA277" s="776"/>
      <c r="AB277" s="776"/>
    </row>
    <row r="278" spans="1:28" ht="15.75">
      <c r="A278" s="775"/>
      <c r="B278" s="775"/>
      <c r="C278" s="775"/>
      <c r="D278" s="776"/>
      <c r="E278" s="776"/>
      <c r="F278" s="776"/>
      <c r="G278" s="776"/>
      <c r="H278" s="776"/>
      <c r="I278" s="776"/>
      <c r="J278" s="776"/>
      <c r="K278" s="776"/>
      <c r="L278" s="776"/>
      <c r="M278" s="776"/>
      <c r="N278" s="776"/>
      <c r="O278" s="776"/>
      <c r="P278" s="776"/>
      <c r="Q278" s="776"/>
      <c r="R278" s="776"/>
      <c r="S278" s="776"/>
      <c r="T278" s="776"/>
      <c r="U278" s="776"/>
      <c r="V278" s="776"/>
      <c r="W278" s="776"/>
      <c r="X278" s="776"/>
      <c r="Y278" s="776"/>
      <c r="Z278" s="776"/>
      <c r="AA278" s="776"/>
      <c r="AB278" s="776"/>
    </row>
    <row r="279" spans="1:28" ht="15.75">
      <c r="A279" s="775"/>
      <c r="B279" s="775"/>
      <c r="C279" s="775"/>
      <c r="D279" s="776"/>
      <c r="E279" s="776"/>
      <c r="F279" s="776"/>
      <c r="G279" s="776"/>
      <c r="H279" s="776"/>
      <c r="I279" s="776"/>
      <c r="J279" s="776"/>
      <c r="K279" s="776"/>
      <c r="L279" s="776"/>
      <c r="M279" s="776"/>
      <c r="N279" s="776"/>
      <c r="O279" s="776"/>
      <c r="P279" s="776"/>
      <c r="Q279" s="776"/>
      <c r="R279" s="776"/>
      <c r="S279" s="776"/>
      <c r="T279" s="776"/>
      <c r="U279" s="776"/>
      <c r="V279" s="776"/>
      <c r="W279" s="776"/>
      <c r="X279" s="776"/>
      <c r="Y279" s="776"/>
      <c r="Z279" s="776"/>
      <c r="AA279" s="776"/>
      <c r="AB279" s="776"/>
    </row>
    <row r="280" spans="1:28" ht="15.75">
      <c r="A280" s="775"/>
      <c r="B280" s="775"/>
      <c r="C280" s="775"/>
      <c r="D280" s="776"/>
      <c r="E280" s="776"/>
      <c r="F280" s="776"/>
      <c r="G280" s="776"/>
      <c r="H280" s="776"/>
      <c r="I280" s="776"/>
      <c r="J280" s="776"/>
      <c r="K280" s="776"/>
      <c r="L280" s="776"/>
      <c r="M280" s="776"/>
      <c r="N280" s="776"/>
      <c r="O280" s="776"/>
      <c r="P280" s="776"/>
      <c r="Q280" s="776"/>
      <c r="R280" s="776"/>
      <c r="S280" s="776"/>
      <c r="T280" s="776"/>
      <c r="U280" s="776"/>
      <c r="V280" s="776"/>
      <c r="W280" s="776"/>
      <c r="X280" s="776"/>
      <c r="Y280" s="776"/>
      <c r="Z280" s="776"/>
      <c r="AA280" s="776"/>
      <c r="AB280" s="776"/>
    </row>
    <row r="281" spans="1:28" ht="15.75">
      <c r="A281" s="775"/>
      <c r="B281" s="775"/>
      <c r="C281" s="775"/>
      <c r="D281" s="776"/>
      <c r="E281" s="776"/>
      <c r="F281" s="776"/>
      <c r="G281" s="776"/>
      <c r="H281" s="776"/>
      <c r="I281" s="776"/>
      <c r="J281" s="776"/>
      <c r="K281" s="776"/>
      <c r="L281" s="776"/>
      <c r="M281" s="776"/>
      <c r="N281" s="776"/>
      <c r="O281" s="776"/>
      <c r="P281" s="776"/>
      <c r="Q281" s="776"/>
      <c r="R281" s="776"/>
      <c r="S281" s="776"/>
      <c r="T281" s="776"/>
      <c r="U281" s="776"/>
      <c r="V281" s="776"/>
      <c r="W281" s="776"/>
      <c r="X281" s="776"/>
      <c r="Y281" s="776"/>
      <c r="Z281" s="776"/>
      <c r="AA281" s="776"/>
      <c r="AB281" s="776"/>
    </row>
    <row r="282" spans="1:28" ht="15.75">
      <c r="A282" s="775"/>
      <c r="B282" s="775"/>
      <c r="C282" s="775"/>
      <c r="D282" s="776"/>
      <c r="E282" s="776"/>
      <c r="F282" s="776"/>
      <c r="G282" s="776"/>
      <c r="H282" s="776"/>
      <c r="I282" s="776"/>
      <c r="J282" s="776"/>
      <c r="K282" s="776"/>
      <c r="L282" s="776"/>
      <c r="M282" s="776"/>
      <c r="N282" s="776"/>
      <c r="O282" s="776"/>
      <c r="P282" s="776"/>
      <c r="Q282" s="776"/>
      <c r="R282" s="776"/>
      <c r="S282" s="776"/>
      <c r="T282" s="776"/>
      <c r="U282" s="776"/>
      <c r="V282" s="776"/>
      <c r="W282" s="776"/>
      <c r="X282" s="776"/>
      <c r="Y282" s="776"/>
      <c r="Z282" s="776"/>
      <c r="AA282" s="776"/>
      <c r="AB282" s="776"/>
    </row>
    <row r="283" spans="1:28" ht="15.75">
      <c r="A283" s="775"/>
      <c r="B283" s="775"/>
      <c r="C283" s="775"/>
      <c r="D283" s="776"/>
      <c r="E283" s="776"/>
      <c r="F283" s="776"/>
      <c r="G283" s="776"/>
      <c r="H283" s="776"/>
      <c r="I283" s="776"/>
      <c r="J283" s="776"/>
      <c r="K283" s="776"/>
      <c r="L283" s="776"/>
      <c r="M283" s="776"/>
      <c r="N283" s="776"/>
      <c r="O283" s="776"/>
      <c r="P283" s="776"/>
      <c r="Q283" s="776"/>
      <c r="R283" s="776"/>
      <c r="S283" s="776"/>
      <c r="T283" s="776"/>
      <c r="U283" s="776"/>
      <c r="V283" s="776"/>
      <c r="W283" s="776"/>
      <c r="X283" s="776"/>
      <c r="Y283" s="776"/>
      <c r="Z283" s="776"/>
      <c r="AA283" s="776"/>
      <c r="AB283" s="776"/>
    </row>
    <row r="284" spans="1:28" ht="15.75">
      <c r="A284" s="775"/>
      <c r="B284" s="775"/>
      <c r="C284" s="775"/>
      <c r="D284" s="776"/>
      <c r="E284" s="776"/>
      <c r="F284" s="776"/>
      <c r="G284" s="776"/>
      <c r="H284" s="776"/>
      <c r="I284" s="776"/>
      <c r="J284" s="776"/>
      <c r="K284" s="776"/>
      <c r="L284" s="776"/>
      <c r="M284" s="776"/>
      <c r="N284" s="776"/>
      <c r="O284" s="776"/>
      <c r="P284" s="776"/>
      <c r="Q284" s="776"/>
      <c r="R284" s="776"/>
      <c r="S284" s="776"/>
      <c r="T284" s="776"/>
      <c r="U284" s="776"/>
      <c r="V284" s="776"/>
      <c r="W284" s="776"/>
      <c r="X284" s="776"/>
      <c r="Y284" s="776"/>
      <c r="Z284" s="776"/>
      <c r="AA284" s="776"/>
      <c r="AB284" s="776"/>
    </row>
    <row r="285" spans="1:28" ht="15.75">
      <c r="A285" s="775"/>
      <c r="B285" s="775"/>
      <c r="C285" s="775"/>
      <c r="D285" s="776"/>
      <c r="E285" s="776"/>
      <c r="F285" s="776"/>
      <c r="G285" s="776"/>
      <c r="H285" s="776"/>
      <c r="I285" s="776"/>
      <c r="J285" s="776"/>
      <c r="K285" s="776"/>
      <c r="L285" s="776"/>
      <c r="M285" s="776"/>
      <c r="N285" s="776"/>
      <c r="O285" s="776"/>
      <c r="P285" s="776"/>
      <c r="Q285" s="776"/>
      <c r="R285" s="776"/>
      <c r="S285" s="776"/>
      <c r="T285" s="776"/>
      <c r="U285" s="776"/>
      <c r="V285" s="776"/>
      <c r="W285" s="776"/>
      <c r="X285" s="776"/>
      <c r="Y285" s="776"/>
      <c r="Z285" s="776"/>
      <c r="AA285" s="776"/>
      <c r="AB285" s="776"/>
    </row>
    <row r="286" spans="1:28" ht="15.75">
      <c r="A286" s="775"/>
      <c r="B286" s="775"/>
      <c r="C286" s="775"/>
      <c r="D286" s="776"/>
      <c r="E286" s="776"/>
      <c r="F286" s="776"/>
      <c r="G286" s="776"/>
      <c r="H286" s="776"/>
      <c r="I286" s="776"/>
      <c r="J286" s="776"/>
      <c r="K286" s="776"/>
      <c r="L286" s="776"/>
      <c r="M286" s="776"/>
      <c r="N286" s="776"/>
      <c r="O286" s="776"/>
      <c r="P286" s="776"/>
      <c r="Q286" s="776"/>
      <c r="R286" s="776"/>
      <c r="S286" s="776"/>
      <c r="T286" s="776"/>
      <c r="U286" s="776"/>
      <c r="V286" s="776"/>
      <c r="W286" s="776"/>
      <c r="X286" s="776"/>
      <c r="Y286" s="776"/>
      <c r="Z286" s="776"/>
      <c r="AA286" s="776"/>
      <c r="AB286" s="776"/>
    </row>
    <row r="287" spans="1:28" ht="15.75">
      <c r="A287" s="775"/>
      <c r="B287" s="775"/>
      <c r="C287" s="775"/>
      <c r="D287" s="776"/>
      <c r="E287" s="776"/>
      <c r="F287" s="776"/>
      <c r="G287" s="776"/>
      <c r="H287" s="776"/>
      <c r="I287" s="776"/>
      <c r="J287" s="776"/>
      <c r="K287" s="776"/>
      <c r="L287" s="776"/>
      <c r="M287" s="776"/>
      <c r="N287" s="776"/>
      <c r="O287" s="776"/>
      <c r="P287" s="776"/>
      <c r="Q287" s="776"/>
      <c r="R287" s="776"/>
      <c r="S287" s="776"/>
      <c r="T287" s="776"/>
      <c r="U287" s="776"/>
      <c r="V287" s="776"/>
      <c r="W287" s="776"/>
      <c r="X287" s="776"/>
      <c r="Y287" s="776"/>
      <c r="Z287" s="776"/>
      <c r="AA287" s="776"/>
      <c r="AB287" s="776"/>
    </row>
    <row r="288" spans="1:28" ht="15.75">
      <c r="A288" s="775"/>
      <c r="B288" s="775"/>
      <c r="C288" s="775"/>
      <c r="D288" s="776"/>
      <c r="E288" s="776"/>
      <c r="F288" s="776"/>
      <c r="G288" s="776"/>
      <c r="H288" s="776"/>
      <c r="I288" s="776"/>
      <c r="J288" s="776"/>
      <c r="K288" s="776"/>
      <c r="L288" s="776"/>
      <c r="M288" s="776"/>
      <c r="N288" s="776"/>
      <c r="O288" s="776"/>
      <c r="P288" s="776"/>
      <c r="Q288" s="776"/>
      <c r="R288" s="776"/>
      <c r="S288" s="776"/>
      <c r="T288" s="776"/>
      <c r="U288" s="776"/>
      <c r="V288" s="776"/>
      <c r="W288" s="776"/>
      <c r="X288" s="776"/>
      <c r="Y288" s="776"/>
      <c r="Z288" s="776"/>
      <c r="AA288" s="776"/>
      <c r="AB288" s="776"/>
    </row>
    <row r="289" spans="1:28" ht="15.75">
      <c r="A289" s="775"/>
      <c r="B289" s="775"/>
      <c r="C289" s="775"/>
      <c r="D289" s="776"/>
      <c r="E289" s="776"/>
      <c r="F289" s="776"/>
      <c r="G289" s="776"/>
      <c r="H289" s="776"/>
      <c r="I289" s="776"/>
      <c r="J289" s="776"/>
      <c r="K289" s="776"/>
      <c r="L289" s="776"/>
      <c r="M289" s="776"/>
      <c r="N289" s="776"/>
      <c r="O289" s="776"/>
      <c r="P289" s="776"/>
      <c r="Q289" s="776"/>
      <c r="R289" s="776"/>
      <c r="S289" s="776"/>
      <c r="T289" s="776"/>
      <c r="U289" s="776"/>
      <c r="V289" s="776"/>
      <c r="W289" s="776"/>
      <c r="X289" s="776"/>
      <c r="Y289" s="776"/>
      <c r="Z289" s="776"/>
      <c r="AA289" s="776"/>
      <c r="AB289" s="776"/>
    </row>
    <row r="290" spans="1:28" ht="15.75">
      <c r="A290" s="775"/>
      <c r="B290" s="775"/>
      <c r="C290" s="775"/>
      <c r="D290" s="776"/>
      <c r="E290" s="776"/>
      <c r="F290" s="776"/>
      <c r="G290" s="776"/>
      <c r="H290" s="776"/>
      <c r="I290" s="776"/>
      <c r="J290" s="776"/>
      <c r="K290" s="776"/>
      <c r="L290" s="776"/>
      <c r="M290" s="776"/>
      <c r="N290" s="776"/>
      <c r="O290" s="776"/>
      <c r="P290" s="776"/>
      <c r="Q290" s="776"/>
      <c r="R290" s="776"/>
      <c r="S290" s="776"/>
      <c r="T290" s="776"/>
      <c r="U290" s="776"/>
      <c r="V290" s="776"/>
      <c r="W290" s="776"/>
      <c r="X290" s="776"/>
      <c r="Y290" s="776"/>
      <c r="Z290" s="776"/>
      <c r="AA290" s="776"/>
      <c r="AB290" s="776"/>
    </row>
    <row r="291" spans="1:28" ht="15.75">
      <c r="A291" s="775"/>
      <c r="B291" s="775"/>
      <c r="C291" s="775"/>
      <c r="D291" s="776"/>
      <c r="E291" s="776"/>
      <c r="F291" s="776"/>
      <c r="G291" s="776"/>
      <c r="H291" s="776"/>
      <c r="I291" s="776"/>
      <c r="J291" s="776"/>
      <c r="K291" s="776"/>
      <c r="L291" s="776"/>
      <c r="M291" s="776"/>
      <c r="N291" s="776"/>
      <c r="O291" s="776"/>
      <c r="P291" s="776"/>
      <c r="Q291" s="776"/>
      <c r="R291" s="776"/>
      <c r="S291" s="776"/>
      <c r="T291" s="776"/>
      <c r="U291" s="776"/>
      <c r="V291" s="776"/>
      <c r="W291" s="776"/>
      <c r="X291" s="776"/>
      <c r="Y291" s="776"/>
      <c r="Z291" s="776"/>
      <c r="AA291" s="776"/>
      <c r="AB291" s="776"/>
    </row>
    <row r="292" spans="1:28" ht="15.75">
      <c r="A292" s="775"/>
      <c r="B292" s="775"/>
      <c r="C292" s="775"/>
      <c r="D292" s="776"/>
      <c r="E292" s="776"/>
      <c r="F292" s="776"/>
      <c r="G292" s="776"/>
      <c r="H292" s="776"/>
      <c r="I292" s="776"/>
      <c r="J292" s="776"/>
      <c r="K292" s="776"/>
      <c r="L292" s="776"/>
      <c r="M292" s="776"/>
      <c r="N292" s="776"/>
      <c r="O292" s="776"/>
      <c r="P292" s="776"/>
      <c r="Q292" s="776"/>
      <c r="R292" s="776"/>
      <c r="S292" s="776"/>
      <c r="T292" s="776"/>
      <c r="U292" s="776"/>
      <c r="V292" s="776"/>
      <c r="W292" s="776"/>
      <c r="X292" s="776"/>
      <c r="Y292" s="776"/>
      <c r="Z292" s="776"/>
      <c r="AA292" s="776"/>
      <c r="AB292" s="776"/>
    </row>
    <row r="293" spans="1:28" ht="15.75">
      <c r="A293" s="775"/>
      <c r="B293" s="775"/>
      <c r="C293" s="775"/>
      <c r="D293" s="776"/>
      <c r="E293" s="776"/>
      <c r="F293" s="776"/>
      <c r="G293" s="776"/>
      <c r="H293" s="776"/>
      <c r="I293" s="776"/>
      <c r="J293" s="776"/>
      <c r="K293" s="776"/>
      <c r="L293" s="776"/>
      <c r="M293" s="776"/>
      <c r="N293" s="776"/>
      <c r="O293" s="776"/>
      <c r="P293" s="776"/>
      <c r="Q293" s="776"/>
      <c r="R293" s="776"/>
      <c r="S293" s="776"/>
      <c r="T293" s="776"/>
      <c r="U293" s="776"/>
      <c r="V293" s="776"/>
      <c r="W293" s="776"/>
      <c r="X293" s="776"/>
      <c r="Y293" s="776"/>
      <c r="Z293" s="776"/>
      <c r="AA293" s="776"/>
      <c r="AB293" s="776"/>
    </row>
    <row r="294" spans="1:28" ht="15.75">
      <c r="A294" s="775"/>
      <c r="B294" s="775"/>
      <c r="C294" s="775"/>
      <c r="D294" s="776"/>
      <c r="E294" s="776"/>
      <c r="F294" s="776"/>
      <c r="G294" s="776"/>
      <c r="H294" s="776"/>
      <c r="I294" s="776"/>
      <c r="J294" s="776"/>
      <c r="K294" s="776"/>
      <c r="L294" s="776"/>
      <c r="M294" s="776"/>
      <c r="N294" s="776"/>
      <c r="O294" s="776"/>
      <c r="P294" s="776"/>
      <c r="Q294" s="776"/>
      <c r="R294" s="776"/>
      <c r="S294" s="776"/>
      <c r="T294" s="776"/>
      <c r="U294" s="776"/>
      <c r="V294" s="776"/>
      <c r="W294" s="776"/>
      <c r="X294" s="776"/>
      <c r="Y294" s="776"/>
      <c r="Z294" s="776"/>
      <c r="AA294" s="776"/>
      <c r="AB294" s="776"/>
    </row>
    <row r="295" spans="1:28" ht="15.75">
      <c r="A295" s="775"/>
      <c r="B295" s="775"/>
      <c r="C295" s="775"/>
      <c r="D295" s="776"/>
      <c r="E295" s="776"/>
      <c r="F295" s="776"/>
      <c r="G295" s="776"/>
      <c r="H295" s="776"/>
      <c r="I295" s="776"/>
      <c r="J295" s="776"/>
      <c r="K295" s="776"/>
      <c r="L295" s="776"/>
      <c r="M295" s="776"/>
      <c r="N295" s="776"/>
      <c r="O295" s="776"/>
      <c r="P295" s="776"/>
      <c r="Q295" s="776"/>
      <c r="R295" s="776"/>
      <c r="S295" s="776"/>
      <c r="T295" s="776"/>
      <c r="U295" s="776"/>
      <c r="V295" s="776"/>
      <c r="W295" s="776"/>
      <c r="X295" s="776"/>
      <c r="Y295" s="776"/>
      <c r="Z295" s="776"/>
      <c r="AA295" s="776"/>
      <c r="AB295" s="776"/>
    </row>
    <row r="296" spans="1:28" ht="15.75">
      <c r="A296" s="775"/>
      <c r="B296" s="775"/>
      <c r="C296" s="775"/>
      <c r="D296" s="776"/>
      <c r="E296" s="776"/>
      <c r="F296" s="776"/>
      <c r="G296" s="776"/>
      <c r="H296" s="776"/>
      <c r="I296" s="776"/>
      <c r="J296" s="776"/>
      <c r="K296" s="776"/>
      <c r="L296" s="776"/>
      <c r="M296" s="776"/>
      <c r="N296" s="776"/>
      <c r="O296" s="776"/>
      <c r="P296" s="776"/>
      <c r="Q296" s="776"/>
      <c r="R296" s="776"/>
      <c r="S296" s="776"/>
      <c r="T296" s="776"/>
      <c r="U296" s="776"/>
      <c r="V296" s="776"/>
      <c r="W296" s="776"/>
      <c r="X296" s="776"/>
      <c r="Y296" s="776"/>
      <c r="Z296" s="776"/>
      <c r="AA296" s="776"/>
      <c r="AB296" s="776"/>
    </row>
    <row r="297" spans="1:28" ht="15.75">
      <c r="A297" s="775"/>
      <c r="B297" s="775"/>
      <c r="C297" s="775"/>
      <c r="D297" s="776"/>
      <c r="E297" s="776"/>
      <c r="F297" s="776"/>
      <c r="G297" s="776"/>
      <c r="H297" s="776"/>
      <c r="I297" s="776"/>
      <c r="J297" s="776"/>
      <c r="K297" s="776"/>
      <c r="L297" s="776"/>
      <c r="M297" s="776"/>
      <c r="N297" s="776"/>
      <c r="O297" s="776"/>
      <c r="P297" s="776"/>
      <c r="Q297" s="776"/>
      <c r="R297" s="776"/>
      <c r="S297" s="776"/>
      <c r="T297" s="776"/>
      <c r="U297" s="776"/>
      <c r="V297" s="776"/>
      <c r="W297" s="776"/>
      <c r="X297" s="776"/>
      <c r="Y297" s="776"/>
      <c r="Z297" s="776"/>
      <c r="AA297" s="776"/>
      <c r="AB297" s="776"/>
    </row>
    <row r="298" spans="1:28" ht="15.75">
      <c r="A298" s="775"/>
      <c r="B298" s="775"/>
      <c r="C298" s="775"/>
      <c r="D298" s="776"/>
      <c r="E298" s="776"/>
      <c r="F298" s="776"/>
      <c r="G298" s="776"/>
      <c r="H298" s="776"/>
      <c r="I298" s="776"/>
      <c r="J298" s="776"/>
      <c r="K298" s="776"/>
      <c r="L298" s="776"/>
      <c r="M298" s="776"/>
      <c r="N298" s="776"/>
      <c r="O298" s="776"/>
      <c r="P298" s="776"/>
      <c r="Q298" s="776"/>
      <c r="R298" s="776"/>
      <c r="S298" s="776"/>
      <c r="T298" s="776"/>
      <c r="U298" s="776"/>
      <c r="V298" s="776"/>
      <c r="W298" s="776"/>
      <c r="X298" s="776"/>
      <c r="Y298" s="776"/>
      <c r="Z298" s="776"/>
      <c r="AA298" s="776"/>
      <c r="AB298" s="776"/>
    </row>
    <row r="299" spans="1:28" ht="15.75">
      <c r="A299" s="775"/>
      <c r="B299" s="775"/>
      <c r="C299" s="775"/>
      <c r="D299" s="776"/>
      <c r="E299" s="776"/>
      <c r="F299" s="776"/>
      <c r="G299" s="776"/>
      <c r="H299" s="776"/>
      <c r="I299" s="776"/>
      <c r="J299" s="776"/>
      <c r="K299" s="776"/>
      <c r="L299" s="776"/>
      <c r="M299" s="776"/>
      <c r="N299" s="776"/>
      <c r="O299" s="776"/>
      <c r="P299" s="776"/>
      <c r="Q299" s="776"/>
      <c r="R299" s="776"/>
      <c r="S299" s="776"/>
      <c r="T299" s="776"/>
      <c r="U299" s="776"/>
      <c r="V299" s="776"/>
      <c r="W299" s="776"/>
      <c r="X299" s="776"/>
      <c r="Y299" s="776"/>
      <c r="Z299" s="776"/>
      <c r="AA299" s="776"/>
      <c r="AB299" s="776"/>
    </row>
    <row r="300" spans="1:28" ht="15.75">
      <c r="B300" s="775"/>
      <c r="C300" s="775"/>
      <c r="D300" s="776"/>
      <c r="E300" s="776"/>
      <c r="F300" s="776"/>
      <c r="G300" s="776"/>
      <c r="H300" s="776"/>
      <c r="I300" s="776"/>
      <c r="J300" s="776"/>
      <c r="K300" s="776"/>
      <c r="L300" s="776"/>
      <c r="M300" s="776"/>
      <c r="N300" s="776"/>
      <c r="O300" s="776"/>
      <c r="P300" s="776"/>
      <c r="Q300" s="776"/>
      <c r="R300" s="776"/>
      <c r="S300" s="776"/>
      <c r="T300" s="776"/>
      <c r="U300" s="776"/>
      <c r="V300" s="776"/>
      <c r="W300" s="776"/>
      <c r="X300" s="776"/>
      <c r="Y300" s="776"/>
      <c r="Z300" s="776"/>
      <c r="AA300" s="776"/>
      <c r="AB300" s="776"/>
    </row>
    <row r="301" spans="1:28" ht="15.75">
      <c r="B301" s="775"/>
      <c r="C301" s="775"/>
      <c r="D301" s="776"/>
      <c r="E301" s="776"/>
      <c r="F301" s="776"/>
      <c r="G301" s="776"/>
      <c r="H301" s="776"/>
      <c r="I301" s="776"/>
      <c r="J301" s="776"/>
      <c r="K301" s="776"/>
      <c r="L301" s="776"/>
      <c r="M301" s="776"/>
      <c r="N301" s="776"/>
      <c r="O301" s="776"/>
      <c r="P301" s="776"/>
      <c r="Q301" s="776"/>
      <c r="R301" s="776"/>
      <c r="S301" s="776"/>
      <c r="T301" s="776"/>
      <c r="U301" s="776"/>
      <c r="V301" s="776"/>
      <c r="W301" s="776"/>
      <c r="X301" s="776"/>
      <c r="Y301" s="776"/>
      <c r="Z301" s="776"/>
      <c r="AA301" s="776"/>
      <c r="AB301" s="776"/>
    </row>
    <row r="321" spans="1:6">
      <c r="A321" s="777"/>
    </row>
    <row r="322" spans="1:6">
      <c r="A322" s="777"/>
    </row>
    <row r="323" spans="1:6">
      <c r="A323" s="777"/>
      <c r="B323" s="777"/>
      <c r="C323" s="777"/>
      <c r="D323" s="778"/>
      <c r="E323" s="778"/>
      <c r="F323" s="778"/>
    </row>
    <row r="324" spans="1:6">
      <c r="A324" s="777"/>
      <c r="B324" s="777"/>
      <c r="C324" s="777"/>
      <c r="D324" s="778"/>
      <c r="E324" s="778"/>
      <c r="F324" s="778"/>
    </row>
    <row r="325" spans="1:6">
      <c r="A325" s="777"/>
      <c r="B325" s="777"/>
      <c r="C325" s="777"/>
      <c r="D325" s="778"/>
      <c r="E325" s="778"/>
      <c r="F325" s="778"/>
    </row>
    <row r="326" spans="1:6">
      <c r="A326" s="777"/>
      <c r="B326" s="777"/>
      <c r="C326" s="777"/>
      <c r="D326" s="778"/>
      <c r="E326" s="778"/>
      <c r="F326" s="778"/>
    </row>
    <row r="327" spans="1:6">
      <c r="A327" s="777"/>
      <c r="B327" s="777"/>
      <c r="C327" s="777"/>
      <c r="D327" s="778"/>
      <c r="E327" s="778"/>
      <c r="F327" s="778"/>
    </row>
    <row r="328" spans="1:6">
      <c r="A328" s="777"/>
      <c r="B328" s="777"/>
      <c r="C328" s="777"/>
      <c r="D328" s="778"/>
      <c r="E328" s="778"/>
      <c r="F328" s="778"/>
    </row>
    <row r="329" spans="1:6">
      <c r="A329" s="777"/>
      <c r="B329" s="777"/>
      <c r="C329" s="777"/>
      <c r="D329" s="778"/>
      <c r="E329" s="778"/>
      <c r="F329" s="778"/>
    </row>
    <row r="330" spans="1:6">
      <c r="B330" s="777"/>
      <c r="C330" s="777"/>
      <c r="D330" s="778"/>
      <c r="E330" s="778"/>
      <c r="F330" s="778"/>
    </row>
    <row r="331" spans="1:6">
      <c r="B331" s="777"/>
      <c r="C331" s="777"/>
      <c r="D331" s="778"/>
      <c r="E331" s="778"/>
      <c r="F331" s="778"/>
    </row>
  </sheetData>
  <mergeCells count="2">
    <mergeCell ref="A1:J1"/>
    <mergeCell ref="A3:J3"/>
  </mergeCells>
  <phoneticPr fontId="0" type="noConversion"/>
  <printOptions horizontalCentered="1"/>
  <pageMargins left="0.75" right="0.5" top="1" bottom="0.5" header="0.5" footer="0.5"/>
  <pageSetup scale="56" fitToWidth="3" fitToHeight="3" orientation="landscape" r:id="rId1"/>
  <headerFooter alignWithMargins="0"/>
  <rowBreaks count="2" manualBreakCount="2">
    <brk id="63" max="17" man="1"/>
    <brk id="119" max="17" man="1"/>
  </rowBreaks>
  <ignoredErrors>
    <ignoredError sqref="O48 O93 Q93 O118 Q118 H163 D167:D169 D171" evalError="1"/>
    <ignoredError sqref="P118 F144 F145:F158 C52 P48" formula="1"/>
    <ignoredError sqref="Q48 P93" evalError="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U318"/>
  <sheetViews>
    <sheetView zoomScaleNormal="100" workbookViewId="0"/>
  </sheetViews>
  <sheetFormatPr defaultRowHeight="12.75"/>
  <cols>
    <col min="1" max="1" width="9.28515625" bestFit="1" customWidth="1"/>
    <col min="2" max="2" width="27.5703125" customWidth="1"/>
    <col min="3" max="3" width="15.140625" customWidth="1"/>
    <col min="4" max="4" width="13" style="284" customWidth="1"/>
    <col min="5" max="5" width="13.42578125" customWidth="1"/>
    <col min="6" max="6" width="12.7109375" customWidth="1"/>
    <col min="7" max="7" width="12.85546875" customWidth="1"/>
    <col min="8" max="9" width="9.85546875" style="779" customWidth="1"/>
    <col min="10" max="10" width="11.28515625" style="779" customWidth="1"/>
    <col min="11" max="11" width="11.5703125" style="779" customWidth="1"/>
    <col min="12" max="12" width="12.42578125" style="779" customWidth="1"/>
    <col min="13" max="14" width="12.28515625" customWidth="1"/>
    <col min="15" max="15" width="12.85546875" customWidth="1"/>
    <col min="16" max="16" width="12.42578125" customWidth="1"/>
    <col min="17" max="17" width="12" customWidth="1"/>
    <col min="18" max="18" width="12.5703125" customWidth="1"/>
    <col min="19" max="19" width="11.28515625" customWidth="1"/>
    <col min="20" max="20" width="10.28515625" customWidth="1"/>
    <col min="21" max="21" width="12" customWidth="1"/>
    <col min="22" max="22" width="12.5703125" customWidth="1"/>
    <col min="23" max="23" width="11.28515625" customWidth="1"/>
    <col min="24" max="24" width="10.28515625" customWidth="1"/>
    <col min="25" max="25" width="12" customWidth="1"/>
    <col min="26" max="26" width="12.5703125" customWidth="1"/>
    <col min="27" max="27" width="11.28515625" customWidth="1"/>
    <col min="28" max="28" width="10.28515625" customWidth="1"/>
    <col min="29" max="29" width="12" customWidth="1"/>
    <col min="30" max="30" width="12.5703125" customWidth="1"/>
    <col min="31" max="31" width="11.28515625" customWidth="1"/>
    <col min="32" max="32" width="10.28515625" customWidth="1"/>
    <col min="33" max="33" width="12" style="856" customWidth="1"/>
    <col min="34" max="34" width="12.5703125" style="856" customWidth="1"/>
    <col min="35" max="35" width="11.28515625" style="856" customWidth="1"/>
    <col min="36" max="36" width="10.28515625" style="856" customWidth="1"/>
    <col min="37" max="37" width="12" style="856" customWidth="1"/>
    <col min="38" max="38" width="12.5703125" style="856" customWidth="1"/>
    <col min="39" max="39" width="11.28515625" style="856" customWidth="1"/>
    <col min="40" max="40" width="10.28515625" style="856" customWidth="1"/>
    <col min="41" max="41" width="12" style="856" customWidth="1"/>
    <col min="42" max="42" width="12.5703125" style="856" customWidth="1"/>
    <col min="43" max="43" width="11.28515625" style="856" customWidth="1"/>
    <col min="44" max="44" width="10.28515625" style="856" customWidth="1"/>
    <col min="45" max="45" width="12" style="880" customWidth="1"/>
    <col min="46" max="46" width="12.5703125" style="880" customWidth="1"/>
    <col min="47" max="47" width="11.28515625" style="880" customWidth="1"/>
    <col min="48" max="48" width="10.28515625" style="880" customWidth="1"/>
    <col min="49" max="49" width="12" style="1000" customWidth="1"/>
    <col min="50" max="50" width="12.5703125" style="1000" customWidth="1"/>
    <col min="51" max="51" width="11.28515625" style="1000" customWidth="1"/>
    <col min="52" max="52" width="10.28515625" style="1000" customWidth="1"/>
    <col min="53" max="53" width="13.7109375" bestFit="1" customWidth="1"/>
    <col min="54" max="54" width="21.85546875" customWidth="1"/>
    <col min="55" max="55" width="18.42578125" customWidth="1"/>
    <col min="56" max="57" width="9.7109375" bestFit="1" customWidth="1"/>
  </cols>
  <sheetData>
    <row r="1" spans="1:55" ht="18">
      <c r="C1" s="494" t="str">
        <f>'ATT H-3D'!A4</f>
        <v>Delmarva Power &amp; Light Company</v>
      </c>
      <c r="D1" s="824"/>
      <c r="E1" s="824"/>
      <c r="F1" s="824"/>
      <c r="G1" s="824"/>
      <c r="H1" s="824"/>
      <c r="I1" s="824"/>
      <c r="J1" s="824"/>
      <c r="K1" s="824"/>
      <c r="L1" s="824"/>
      <c r="M1" s="289"/>
      <c r="N1" s="289"/>
      <c r="O1" s="289"/>
      <c r="P1" s="289"/>
      <c r="Q1" s="289"/>
      <c r="R1" s="289"/>
      <c r="S1" s="289"/>
      <c r="T1" s="289"/>
      <c r="U1" s="289"/>
      <c r="V1" s="289"/>
      <c r="W1" s="289"/>
      <c r="X1" s="289"/>
      <c r="Y1" s="289"/>
      <c r="Z1" s="289"/>
      <c r="AA1" s="289"/>
      <c r="AB1" s="289"/>
      <c r="AC1" s="289"/>
      <c r="AD1" s="289"/>
      <c r="AE1" s="289"/>
      <c r="AF1" s="289"/>
      <c r="AG1" s="857"/>
      <c r="AH1" s="857"/>
      <c r="AI1" s="857"/>
      <c r="AJ1" s="857"/>
      <c r="AK1" s="857"/>
      <c r="AL1" s="857"/>
      <c r="AM1" s="857"/>
      <c r="AN1" s="857"/>
      <c r="AO1" s="857"/>
      <c r="AP1" s="857"/>
      <c r="AQ1" s="857"/>
      <c r="AR1" s="857"/>
      <c r="AS1" s="881"/>
      <c r="AT1" s="881"/>
      <c r="AU1" s="881"/>
      <c r="AV1" s="881"/>
      <c r="AW1" s="1001"/>
      <c r="AX1" s="1001"/>
      <c r="AY1" s="1001"/>
      <c r="AZ1" s="1001"/>
      <c r="BA1" s="289"/>
      <c r="BB1" s="289"/>
      <c r="BC1" s="289"/>
    </row>
    <row r="3" spans="1:55" ht="15.75">
      <c r="C3" s="825" t="s">
        <v>492</v>
      </c>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c r="AJ3" s="825"/>
      <c r="AK3" s="825"/>
      <c r="AL3" s="825"/>
      <c r="AM3" s="825"/>
      <c r="AN3" s="825"/>
      <c r="AO3" s="825"/>
      <c r="AP3" s="825"/>
      <c r="AQ3" s="825"/>
      <c r="AR3" s="825"/>
      <c r="AS3" s="825"/>
      <c r="AT3" s="825"/>
      <c r="AU3" s="825"/>
      <c r="AV3" s="825"/>
      <c r="AW3" s="825"/>
      <c r="AX3" s="825"/>
      <c r="AY3" s="825"/>
      <c r="AZ3" s="825"/>
      <c r="BA3" s="825"/>
      <c r="BB3" s="825"/>
      <c r="BC3" s="825"/>
    </row>
    <row r="5" spans="1:55">
      <c r="C5" s="305"/>
    </row>
    <row r="8" spans="1:55">
      <c r="A8">
        <v>1</v>
      </c>
      <c r="C8" t="s">
        <v>301</v>
      </c>
    </row>
    <row r="10" spans="1:55">
      <c r="A10">
        <v>2</v>
      </c>
      <c r="C10" s="329" t="s">
        <v>451</v>
      </c>
    </row>
    <row r="11" spans="1:55">
      <c r="A11">
        <v>3</v>
      </c>
      <c r="C11" s="329"/>
      <c r="D11" s="284" t="s">
        <v>300</v>
      </c>
    </row>
    <row r="12" spans="1:55">
      <c r="A12">
        <v>4</v>
      </c>
      <c r="C12" s="284" t="s">
        <v>68</v>
      </c>
      <c r="D12" s="284">
        <f>+'ATT H-3D'!A271</f>
        <v>160</v>
      </c>
      <c r="E12" s="509" t="str">
        <f>+'ATT H-3D'!C271</f>
        <v>Net Plant Carrying Charge without Depreciation</v>
      </c>
      <c r="H12" s="780"/>
      <c r="I12" s="780"/>
      <c r="J12" s="780"/>
      <c r="K12" s="780"/>
      <c r="L12" s="818">
        <f>+'ATT H-3D'!H271</f>
        <v>0.10772176481255294</v>
      </c>
    </row>
    <row r="13" spans="1:55">
      <c r="A13">
        <v>5</v>
      </c>
      <c r="C13" s="284" t="s">
        <v>182</v>
      </c>
      <c r="D13" s="284">
        <f>+'ATT H-3D'!A281</f>
        <v>167</v>
      </c>
      <c r="E13" s="509" t="str">
        <f>+'ATT H-3D'!C281</f>
        <v>Net Plant Carrying Charge per 100 Basis Point increase in ROE without Depreciation</v>
      </c>
      <c r="H13" s="780"/>
      <c r="I13" s="780"/>
      <c r="J13" s="780"/>
      <c r="K13" s="780"/>
      <c r="L13" s="818">
        <f>+'ATT H-3D'!H281</f>
        <v>0.11392455481845215</v>
      </c>
    </row>
    <row r="14" spans="1:55">
      <c r="A14">
        <v>6</v>
      </c>
      <c r="C14" s="284" t="s">
        <v>46</v>
      </c>
      <c r="E14" t="s">
        <v>285</v>
      </c>
      <c r="H14" s="780"/>
      <c r="I14" s="780"/>
      <c r="J14" s="780"/>
      <c r="K14" s="780"/>
      <c r="L14" s="819">
        <f>+L13-L12</f>
        <v>6.2027900058992114E-3</v>
      </c>
    </row>
    <row r="15" spans="1:55">
      <c r="H15" s="780"/>
      <c r="I15" s="780"/>
      <c r="J15" s="780"/>
      <c r="K15" s="780"/>
      <c r="L15" s="819"/>
    </row>
    <row r="16" spans="1:55">
      <c r="A16">
        <v>7</v>
      </c>
      <c r="C16" s="329" t="s">
        <v>283</v>
      </c>
      <c r="H16" s="780"/>
      <c r="I16" s="780"/>
      <c r="J16" s="780"/>
      <c r="K16" s="780"/>
      <c r="L16" s="819"/>
    </row>
    <row r="17" spans="1:68">
      <c r="C17" s="329"/>
      <c r="H17" s="780"/>
      <c r="I17" s="780"/>
      <c r="J17" s="780"/>
      <c r="K17" s="780"/>
      <c r="L17" s="819"/>
    </row>
    <row r="18" spans="1:68">
      <c r="A18">
        <v>8</v>
      </c>
      <c r="C18" s="284" t="s">
        <v>69</v>
      </c>
      <c r="D18" s="284">
        <f>+'ATT H-3D'!A272</f>
        <v>161</v>
      </c>
      <c r="E18" s="509" t="str">
        <f>+'ATT H-3D'!C272</f>
        <v>Net Plant Carrying Charge without Depreciation, Return, nor Income Taxes</v>
      </c>
      <c r="H18" s="780"/>
      <c r="I18" s="780"/>
      <c r="J18" s="780"/>
      <c r="K18" s="780"/>
      <c r="L18" s="820">
        <f>+'ATT H-3D'!H272</f>
        <v>2.7412697597086012E-2</v>
      </c>
    </row>
    <row r="19" spans="1:68">
      <c r="C19" s="284"/>
      <c r="E19" s="509"/>
      <c r="H19" s="780"/>
      <c r="I19" s="780"/>
      <c r="J19" s="780"/>
      <c r="K19" s="780"/>
      <c r="L19" s="780"/>
      <c r="N19" s="781"/>
    </row>
    <row r="20" spans="1:68" ht="15.75">
      <c r="C20" s="680"/>
    </row>
    <row r="21" spans="1:68">
      <c r="A21">
        <v>9</v>
      </c>
      <c r="C21" s="309" t="s">
        <v>519</v>
      </c>
    </row>
    <row r="22" spans="1:68">
      <c r="A22">
        <v>10</v>
      </c>
      <c r="C22" s="309" t="s">
        <v>398</v>
      </c>
    </row>
    <row r="23" spans="1:68" ht="25.5" customHeight="1" thickBot="1">
      <c r="A23">
        <v>11</v>
      </c>
      <c r="C23" s="1254" t="s">
        <v>802</v>
      </c>
      <c r="D23" s="1255"/>
      <c r="E23" s="1255"/>
      <c r="F23" s="1255"/>
      <c r="G23" s="1255"/>
      <c r="H23" s="1255"/>
      <c r="I23" s="1255"/>
      <c r="J23" s="1255"/>
      <c r="K23" s="1255"/>
      <c r="L23" s="1255"/>
      <c r="M23" s="1255"/>
      <c r="N23" s="1255"/>
      <c r="O23" s="1255"/>
      <c r="P23" s="1255"/>
      <c r="Q23" s="1255"/>
      <c r="R23" s="1255"/>
      <c r="S23" s="1255"/>
      <c r="T23" s="1255"/>
      <c r="U23" s="1255"/>
      <c r="V23" s="1255"/>
      <c r="W23" s="1255"/>
      <c r="X23" s="1255"/>
      <c r="Y23" s="1255"/>
      <c r="Z23" s="1255"/>
      <c r="AA23" s="1255"/>
      <c r="AB23" s="1255"/>
      <c r="AC23" s="1255"/>
      <c r="AD23" s="1255"/>
      <c r="AE23" s="1255"/>
      <c r="AF23" s="1255"/>
      <c r="AG23" s="1255"/>
      <c r="AH23" s="1255"/>
      <c r="AI23" s="1255"/>
      <c r="AJ23" s="1255"/>
      <c r="AK23" s="1255"/>
      <c r="AL23" s="1255"/>
      <c r="AM23" s="1255"/>
      <c r="AN23" s="1255"/>
      <c r="AO23" s="1255"/>
      <c r="AP23" s="1255"/>
      <c r="AQ23" s="1255"/>
      <c r="AR23" s="1255"/>
      <c r="AS23" s="1255"/>
      <c r="AT23" s="1255"/>
      <c r="AU23" s="1255"/>
      <c r="AV23" s="1255"/>
      <c r="AW23" s="1255"/>
      <c r="AX23" s="1255"/>
      <c r="AY23" s="1255"/>
      <c r="AZ23" s="1255"/>
      <c r="BA23" s="1255"/>
      <c r="BB23" s="501"/>
      <c r="BC23" s="501"/>
      <c r="BD23" s="2"/>
      <c r="BE23" s="2"/>
      <c r="BF23" s="2"/>
      <c r="BG23" s="2"/>
      <c r="BH23" s="2"/>
      <c r="BI23" s="2"/>
      <c r="BJ23" s="2"/>
      <c r="BK23" s="2"/>
      <c r="BL23" s="2"/>
      <c r="BM23" s="2"/>
      <c r="BN23" s="2"/>
      <c r="BO23" s="2"/>
      <c r="BP23" s="2"/>
    </row>
    <row r="24" spans="1:68">
      <c r="C24" s="681" t="s">
        <v>279</v>
      </c>
      <c r="D24" s="782"/>
      <c r="E24" s="1258" t="s">
        <v>149</v>
      </c>
      <c r="F24" s="1259"/>
      <c r="G24" s="1259"/>
      <c r="H24" s="1260"/>
      <c r="I24" s="1258" t="s">
        <v>423</v>
      </c>
      <c r="J24" s="1259"/>
      <c r="K24" s="1259"/>
      <c r="L24" s="1260"/>
      <c r="M24" s="1258" t="s">
        <v>424</v>
      </c>
      <c r="N24" s="1259"/>
      <c r="O24" s="1259"/>
      <c r="P24" s="1260"/>
      <c r="Q24" s="840" t="s">
        <v>621</v>
      </c>
      <c r="R24" s="841"/>
      <c r="S24" s="841"/>
      <c r="T24" s="842"/>
      <c r="U24" s="840" t="s">
        <v>622</v>
      </c>
      <c r="V24" s="841"/>
      <c r="W24" s="841"/>
      <c r="X24" s="842"/>
      <c r="Y24" s="840" t="s">
        <v>623</v>
      </c>
      <c r="Z24" s="841"/>
      <c r="AA24" s="841"/>
      <c r="AB24" s="842"/>
      <c r="AC24" s="840" t="s">
        <v>23</v>
      </c>
      <c r="AD24" s="841"/>
      <c r="AE24" s="841"/>
      <c r="AF24" s="842"/>
      <c r="AG24" s="840" t="s">
        <v>701</v>
      </c>
      <c r="AH24" s="841"/>
      <c r="AI24" s="841"/>
      <c r="AJ24" s="842"/>
      <c r="AK24" s="840" t="s">
        <v>702</v>
      </c>
      <c r="AL24" s="841"/>
      <c r="AM24" s="841"/>
      <c r="AN24" s="842"/>
      <c r="AO24" s="840" t="s">
        <v>703</v>
      </c>
      <c r="AP24" s="841"/>
      <c r="AQ24" s="841"/>
      <c r="AR24" s="842"/>
      <c r="AS24" s="840" t="s">
        <v>723</v>
      </c>
      <c r="AT24" s="841"/>
      <c r="AU24" s="841"/>
      <c r="AV24" s="842"/>
      <c r="AW24" s="840" t="s">
        <v>771</v>
      </c>
      <c r="AX24" s="841"/>
      <c r="AY24" s="841"/>
      <c r="AZ24" s="842"/>
      <c r="BA24" s="630"/>
      <c r="BB24" s="450"/>
      <c r="BC24" s="476"/>
    </row>
    <row r="25" spans="1:68" ht="38.25">
      <c r="A25">
        <v>12</v>
      </c>
      <c r="B25" s="783" t="s">
        <v>687</v>
      </c>
      <c r="C25" s="470" t="s">
        <v>551</v>
      </c>
      <c r="D25" s="455" t="s">
        <v>26</v>
      </c>
      <c r="E25" s="583" t="s">
        <v>282</v>
      </c>
      <c r="F25" s="653"/>
      <c r="G25" s="653"/>
      <c r="H25" s="654"/>
      <c r="I25" s="583" t="s">
        <v>281</v>
      </c>
      <c r="J25" s="653"/>
      <c r="K25" s="653"/>
      <c r="L25" s="654"/>
      <c r="M25" s="583" t="s">
        <v>281</v>
      </c>
      <c r="N25" s="653"/>
      <c r="O25" s="653"/>
      <c r="P25" s="654"/>
      <c r="Q25" s="854" t="s">
        <v>281</v>
      </c>
      <c r="R25" s="348"/>
      <c r="S25" s="348"/>
      <c r="T25" s="655"/>
      <c r="U25" s="854" t="s">
        <v>281</v>
      </c>
      <c r="V25" s="348"/>
      <c r="W25" s="348"/>
      <c r="X25" s="655"/>
      <c r="Y25" s="854" t="s">
        <v>281</v>
      </c>
      <c r="Z25" s="348"/>
      <c r="AA25" s="348"/>
      <c r="AB25" s="655"/>
      <c r="AC25" s="854" t="s">
        <v>281</v>
      </c>
      <c r="AD25" s="348"/>
      <c r="AE25" s="348"/>
      <c r="AF25" s="655"/>
      <c r="AG25" s="854" t="s">
        <v>282</v>
      </c>
      <c r="AH25" s="348"/>
      <c r="AI25" s="348"/>
      <c r="AJ25" s="655"/>
      <c r="AK25" s="854" t="s">
        <v>282</v>
      </c>
      <c r="AL25" s="348"/>
      <c r="AM25" s="348"/>
      <c r="AN25" s="655"/>
      <c r="AO25" s="854" t="s">
        <v>281</v>
      </c>
      <c r="AP25" s="348"/>
      <c r="AQ25" s="348"/>
      <c r="AR25" s="655"/>
      <c r="AS25" s="854" t="s">
        <v>281</v>
      </c>
      <c r="AT25" s="348"/>
      <c r="AU25" s="348"/>
      <c r="AV25" s="655"/>
      <c r="AW25" s="854" t="s">
        <v>281</v>
      </c>
      <c r="AX25" s="348"/>
      <c r="AY25" s="348"/>
      <c r="AZ25" s="655"/>
      <c r="BA25" s="295"/>
      <c r="BB25" s="419"/>
      <c r="BC25" s="417"/>
    </row>
    <row r="26" spans="1:68">
      <c r="A26">
        <v>13</v>
      </c>
      <c r="B26" t="s">
        <v>688</v>
      </c>
      <c r="C26" s="470" t="s">
        <v>277</v>
      </c>
      <c r="D26" s="455"/>
      <c r="E26" s="583">
        <v>35</v>
      </c>
      <c r="F26" s="454"/>
      <c r="G26" s="454"/>
      <c r="H26" s="784"/>
      <c r="I26" s="583">
        <v>35</v>
      </c>
      <c r="J26" s="454"/>
      <c r="K26" s="454"/>
      <c r="L26" s="784"/>
      <c r="M26" s="583">
        <v>35</v>
      </c>
      <c r="N26" s="454"/>
      <c r="O26" s="454"/>
      <c r="P26" s="455"/>
      <c r="Q26" s="583">
        <v>35</v>
      </c>
      <c r="R26" s="454"/>
      <c r="S26" s="454"/>
      <c r="T26" s="455"/>
      <c r="U26" s="583">
        <v>35</v>
      </c>
      <c r="V26" s="454"/>
      <c r="W26" s="454"/>
      <c r="X26" s="455"/>
      <c r="Y26" s="583">
        <v>35</v>
      </c>
      <c r="Z26" s="454"/>
      <c r="AA26" s="454"/>
      <c r="AB26" s="455"/>
      <c r="AC26" s="583">
        <v>35</v>
      </c>
      <c r="AD26" s="454"/>
      <c r="AE26" s="454"/>
      <c r="AF26" s="455"/>
      <c r="AG26" s="583">
        <v>35</v>
      </c>
      <c r="AH26" s="454"/>
      <c r="AI26" s="454"/>
      <c r="AJ26" s="455"/>
      <c r="AK26" s="583">
        <v>35</v>
      </c>
      <c r="AL26" s="454"/>
      <c r="AM26" s="454"/>
      <c r="AN26" s="455"/>
      <c r="AO26" s="583">
        <v>35</v>
      </c>
      <c r="AP26" s="454"/>
      <c r="AQ26" s="454"/>
      <c r="AR26" s="455"/>
      <c r="AS26" s="583">
        <v>35</v>
      </c>
      <c r="AT26" s="454"/>
      <c r="AU26" s="454"/>
      <c r="AV26" s="455"/>
      <c r="AW26" s="583">
        <v>35</v>
      </c>
      <c r="AX26" s="454"/>
      <c r="AY26" s="454"/>
      <c r="AZ26" s="455"/>
      <c r="BA26" s="295"/>
      <c r="BB26" s="419"/>
      <c r="BC26" s="417"/>
    </row>
    <row r="27" spans="1:68" ht="51">
      <c r="A27">
        <v>14</v>
      </c>
      <c r="B27" s="785" t="s">
        <v>689</v>
      </c>
      <c r="C27" s="470" t="s">
        <v>278</v>
      </c>
      <c r="D27" s="455" t="s">
        <v>26</v>
      </c>
      <c r="E27" s="583" t="s">
        <v>281</v>
      </c>
      <c r="F27" s="454"/>
      <c r="G27" s="454"/>
      <c r="H27" s="784"/>
      <c r="I27" s="583" t="s">
        <v>281</v>
      </c>
      <c r="J27" s="454"/>
      <c r="K27" s="454"/>
      <c r="L27" s="784"/>
      <c r="M27" s="583" t="s">
        <v>281</v>
      </c>
      <c r="N27" s="454"/>
      <c r="O27" s="454"/>
      <c r="P27" s="455"/>
      <c r="Q27" s="583" t="s">
        <v>281</v>
      </c>
      <c r="R27" s="454"/>
      <c r="S27" s="454"/>
      <c r="T27" s="455"/>
      <c r="U27" s="583" t="s">
        <v>281</v>
      </c>
      <c r="V27" s="454"/>
      <c r="W27" s="454"/>
      <c r="X27" s="455"/>
      <c r="Y27" s="583" t="s">
        <v>281</v>
      </c>
      <c r="Z27" s="454"/>
      <c r="AA27" s="454"/>
      <c r="AB27" s="455"/>
      <c r="AC27" s="583" t="s">
        <v>281</v>
      </c>
      <c r="AD27" s="454"/>
      <c r="AE27" s="454"/>
      <c r="AF27" s="455"/>
      <c r="AG27" s="583" t="s">
        <v>281</v>
      </c>
      <c r="AH27" s="454"/>
      <c r="AI27" s="454"/>
      <c r="AJ27" s="455"/>
      <c r="AK27" s="583" t="s">
        <v>281</v>
      </c>
      <c r="AL27" s="454"/>
      <c r="AM27" s="454"/>
      <c r="AN27" s="455"/>
      <c r="AO27" s="583" t="s">
        <v>281</v>
      </c>
      <c r="AP27" s="454"/>
      <c r="AQ27" s="454"/>
      <c r="AR27" s="455"/>
      <c r="AS27" s="583" t="s">
        <v>281</v>
      </c>
      <c r="AT27" s="454"/>
      <c r="AU27" s="454"/>
      <c r="AV27" s="455"/>
      <c r="AW27" s="583" t="s">
        <v>281</v>
      </c>
      <c r="AX27" s="454"/>
      <c r="AY27" s="454"/>
      <c r="AZ27" s="455"/>
      <c r="BA27" s="295"/>
      <c r="BB27" s="419"/>
      <c r="BC27" s="417"/>
    </row>
    <row r="28" spans="1:68" ht="25.5">
      <c r="A28">
        <v>15</v>
      </c>
      <c r="B28" s="785" t="s">
        <v>690</v>
      </c>
      <c r="C28" s="470" t="s">
        <v>477</v>
      </c>
      <c r="D28" s="455"/>
      <c r="E28" s="583">
        <v>150</v>
      </c>
      <c r="F28" s="454"/>
      <c r="G28" s="454"/>
      <c r="H28" s="784"/>
      <c r="I28" s="583">
        <v>150</v>
      </c>
      <c r="J28" s="454"/>
      <c r="K28" s="454"/>
      <c r="L28" s="784"/>
      <c r="M28" s="583">
        <v>150</v>
      </c>
      <c r="N28" s="454"/>
      <c r="O28" s="454"/>
      <c r="P28" s="455"/>
      <c r="Q28" s="583">
        <v>150</v>
      </c>
      <c r="R28" s="454"/>
      <c r="S28" s="454"/>
      <c r="T28" s="455"/>
      <c r="U28" s="583">
        <v>150</v>
      </c>
      <c r="V28" s="454"/>
      <c r="W28" s="454"/>
      <c r="X28" s="455"/>
      <c r="Y28" s="583">
        <v>150</v>
      </c>
      <c r="Z28" s="454"/>
      <c r="AA28" s="454"/>
      <c r="AB28" s="455"/>
      <c r="AC28" s="583">
        <v>150</v>
      </c>
      <c r="AD28" s="454"/>
      <c r="AE28" s="454"/>
      <c r="AF28" s="455"/>
      <c r="AG28" s="583">
        <v>0</v>
      </c>
      <c r="AH28" s="454"/>
      <c r="AI28" s="454"/>
      <c r="AJ28" s="455"/>
      <c r="AK28" s="583">
        <v>0</v>
      </c>
      <c r="AL28" s="454"/>
      <c r="AM28" s="454"/>
      <c r="AN28" s="455"/>
      <c r="AO28" s="583">
        <v>150</v>
      </c>
      <c r="AP28" s="454"/>
      <c r="AQ28" s="454"/>
      <c r="AR28" s="455"/>
      <c r="AS28" s="583">
        <v>0</v>
      </c>
      <c r="AT28" s="454"/>
      <c r="AU28" s="454"/>
      <c r="AV28" s="455"/>
      <c r="AW28" s="583">
        <v>0</v>
      </c>
      <c r="AX28" s="454"/>
      <c r="AY28" s="454"/>
      <c r="AZ28" s="455"/>
      <c r="BA28" s="295"/>
      <c r="BB28" s="419"/>
      <c r="BC28" s="417"/>
    </row>
    <row r="29" spans="1:68" ht="38.25">
      <c r="A29">
        <v>16</v>
      </c>
      <c r="B29" s="785" t="s">
        <v>0</v>
      </c>
      <c r="C29" s="470" t="s">
        <v>1</v>
      </c>
      <c r="D29" s="455"/>
      <c r="E29" s="786">
        <f>+$L$12</f>
        <v>0.10772176481255294</v>
      </c>
      <c r="F29" s="295"/>
      <c r="G29" s="853"/>
      <c r="H29" s="787"/>
      <c r="I29" s="786">
        <f>+$L$12</f>
        <v>0.10772176481255294</v>
      </c>
      <c r="J29" s="295"/>
      <c r="K29" s="853"/>
      <c r="L29" s="787"/>
      <c r="M29" s="786">
        <f>+$L$12</f>
        <v>0.10772176481255294</v>
      </c>
      <c r="N29" s="454"/>
      <c r="O29" s="454"/>
      <c r="P29" s="455"/>
      <c r="Q29" s="786">
        <f>+$L$12</f>
        <v>0.10772176481255294</v>
      </c>
      <c r="R29" s="295"/>
      <c r="S29" s="295"/>
      <c r="T29" s="417"/>
      <c r="U29" s="786">
        <f>+$L$12</f>
        <v>0.10772176481255294</v>
      </c>
      <c r="V29" s="295"/>
      <c r="W29" s="295"/>
      <c r="X29" s="417"/>
      <c r="Y29" s="786">
        <f>+$L$12</f>
        <v>0.10772176481255294</v>
      </c>
      <c r="Z29" s="295"/>
      <c r="AA29" s="295"/>
      <c r="AB29" s="417"/>
      <c r="AC29" s="786">
        <f>+$L$12</f>
        <v>0.10772176481255294</v>
      </c>
      <c r="AD29" s="295"/>
      <c r="AE29" s="295"/>
      <c r="AF29" s="417"/>
      <c r="AG29" s="786">
        <f>+$L$12</f>
        <v>0.10772176481255294</v>
      </c>
      <c r="AH29" s="295"/>
      <c r="AI29" s="295"/>
      <c r="AJ29" s="417"/>
      <c r="AK29" s="786">
        <f>+$L$12</f>
        <v>0.10772176481255294</v>
      </c>
      <c r="AL29" s="295"/>
      <c r="AM29" s="295"/>
      <c r="AN29" s="417"/>
      <c r="AO29" s="786">
        <f>+$L$12</f>
        <v>0.10772176481255294</v>
      </c>
      <c r="AP29" s="295"/>
      <c r="AQ29" s="295"/>
      <c r="AR29" s="417"/>
      <c r="AS29" s="786">
        <f>+$L$12</f>
        <v>0.10772176481255294</v>
      </c>
      <c r="AT29" s="295"/>
      <c r="AU29" s="295"/>
      <c r="AV29" s="417"/>
      <c r="AW29" s="786">
        <f>+$L$12</f>
        <v>0.10772176481255294</v>
      </c>
      <c r="AX29" s="295"/>
      <c r="AY29" s="295"/>
      <c r="AZ29" s="417"/>
      <c r="BA29" s="295"/>
      <c r="BB29" s="419"/>
      <c r="BC29" s="417"/>
    </row>
    <row r="30" spans="1:68" ht="25.5">
      <c r="A30">
        <v>17</v>
      </c>
      <c r="B30" s="788" t="s">
        <v>2</v>
      </c>
      <c r="C30" s="470" t="s">
        <v>284</v>
      </c>
      <c r="D30" s="729"/>
      <c r="E30" s="789">
        <f>+$L14*E28/100+E29</f>
        <v>0.11702594982140176</v>
      </c>
      <c r="F30" s="790"/>
      <c r="G30" s="790"/>
      <c r="H30" s="791"/>
      <c r="I30" s="789">
        <f>+$L14*I28/100+I29</f>
        <v>0.11702594982140176</v>
      </c>
      <c r="J30" s="790"/>
      <c r="K30" s="790"/>
      <c r="L30" s="791"/>
      <c r="M30" s="789">
        <f>+$L14*M28/100+M29</f>
        <v>0.11702594982140176</v>
      </c>
      <c r="N30" s="295"/>
      <c r="O30" s="295"/>
      <c r="P30" s="417"/>
      <c r="Q30" s="789">
        <f>+$L14*Q28/100+Q29</f>
        <v>0.11702594982140176</v>
      </c>
      <c r="R30" s="295"/>
      <c r="S30" s="295"/>
      <c r="T30" s="417"/>
      <c r="U30" s="789">
        <f>+$L14*U28/100+U29</f>
        <v>0.11702594982140176</v>
      </c>
      <c r="V30" s="295"/>
      <c r="W30" s="295"/>
      <c r="X30" s="417"/>
      <c r="Y30" s="789">
        <f>+$L14*Y28/100+Y29</f>
        <v>0.11702594982140176</v>
      </c>
      <c r="Z30" s="295"/>
      <c r="AA30" s="295"/>
      <c r="AB30" s="417"/>
      <c r="AC30" s="789">
        <f>+$L14*AC28/100+AC29</f>
        <v>0.11702594982140176</v>
      </c>
      <c r="AD30" s="295"/>
      <c r="AE30" s="295"/>
      <c r="AF30" s="417"/>
      <c r="AG30" s="789">
        <f>+$L14*AG28/100+AG29</f>
        <v>0.10772176481255294</v>
      </c>
      <c r="AH30" s="295"/>
      <c r="AI30" s="295"/>
      <c r="AJ30" s="417"/>
      <c r="AK30" s="789">
        <f>+$L14*AK28/100+AK29</f>
        <v>0.10772176481255294</v>
      </c>
      <c r="AL30" s="295"/>
      <c r="AM30" s="295"/>
      <c r="AN30" s="417"/>
      <c r="AO30" s="789">
        <f>+$L14*AO28/100+AO29</f>
        <v>0.11702594982140176</v>
      </c>
      <c r="AP30" s="295"/>
      <c r="AQ30" s="295"/>
      <c r="AR30" s="417"/>
      <c r="AS30" s="789">
        <f>+$L14*AS28/100+AS29</f>
        <v>0.10772176481255294</v>
      </c>
      <c r="AT30" s="295"/>
      <c r="AU30" s="295"/>
      <c r="AV30" s="417"/>
      <c r="AW30" s="789">
        <f>+$L14*AW28/100+AW29</f>
        <v>0.10772176481255294</v>
      </c>
      <c r="AX30" s="295"/>
      <c r="AY30" s="295"/>
      <c r="AZ30" s="417"/>
      <c r="BA30" s="295"/>
      <c r="BB30" s="419"/>
      <c r="BC30" s="417"/>
    </row>
    <row r="31" spans="1:68" ht="26.25">
      <c r="A31">
        <v>18</v>
      </c>
      <c r="B31" s="792" t="s">
        <v>3</v>
      </c>
      <c r="C31" s="470" t="s">
        <v>290</v>
      </c>
      <c r="D31" s="455"/>
      <c r="E31" s="796">
        <v>14689101</v>
      </c>
      <c r="F31" s="794"/>
      <c r="G31" s="794"/>
      <c r="H31" s="795"/>
      <c r="I31" s="793">
        <v>3099104</v>
      </c>
      <c r="J31" s="794"/>
      <c r="K31" s="794"/>
      <c r="L31" s="795"/>
      <c r="M31" s="796">
        <v>2418717</v>
      </c>
      <c r="N31" s="797"/>
      <c r="O31" s="797"/>
      <c r="P31" s="787"/>
      <c r="Q31" s="796">
        <v>6414723</v>
      </c>
      <c r="R31" s="797"/>
      <c r="S31" s="797"/>
      <c r="T31" s="787"/>
      <c r="U31" s="796">
        <f>8379558</f>
        <v>8379558</v>
      </c>
      <c r="V31" s="797"/>
      <c r="W31" s="797"/>
      <c r="X31" s="787"/>
      <c r="Y31" s="796">
        <v>14504530</v>
      </c>
      <c r="Z31" s="797"/>
      <c r="AA31" s="797"/>
      <c r="AB31" s="787"/>
      <c r="AC31" s="796">
        <v>6681345</v>
      </c>
      <c r="AD31" s="797"/>
      <c r="AE31" s="797"/>
      <c r="AF31" s="787"/>
      <c r="AG31" s="796">
        <v>217662</v>
      </c>
      <c r="AH31" s="797"/>
      <c r="AI31" s="797"/>
      <c r="AJ31" s="787"/>
      <c r="AK31" s="796">
        <v>5055041</v>
      </c>
      <c r="AL31" s="797"/>
      <c r="AM31" s="797"/>
      <c r="AN31" s="787"/>
      <c r="AO31" s="796">
        <v>16372433</v>
      </c>
      <c r="AP31" s="797"/>
      <c r="AQ31" s="797"/>
      <c r="AR31" s="787"/>
      <c r="AS31" s="796">
        <v>10567349</v>
      </c>
      <c r="AT31" s="797"/>
      <c r="AU31" s="797"/>
      <c r="AV31" s="787"/>
      <c r="AW31" s="796">
        <v>7246743</v>
      </c>
      <c r="AX31" s="797"/>
      <c r="AY31" s="797"/>
      <c r="AZ31" s="787"/>
      <c r="BA31" s="295"/>
      <c r="BB31" s="419"/>
      <c r="BC31" s="417"/>
    </row>
    <row r="32" spans="1:68">
      <c r="A32">
        <v>19</v>
      </c>
      <c r="B32" s="799" t="s">
        <v>4</v>
      </c>
      <c r="C32" s="419" t="s">
        <v>291</v>
      </c>
      <c r="D32" s="455"/>
      <c r="E32" s="798">
        <f>IF(E31=0,0,E31/E26)</f>
        <v>419688.6</v>
      </c>
      <c r="F32" s="797"/>
      <c r="G32" s="797"/>
      <c r="H32" s="787"/>
      <c r="I32" s="798">
        <f>IF(I31=0,0,I31/I26)</f>
        <v>88545.828571428574</v>
      </c>
      <c r="J32" s="797"/>
      <c r="K32" s="797"/>
      <c r="L32" s="787"/>
      <c r="M32" s="798">
        <f>IF(M31=0,0,M31/M26)</f>
        <v>69106.2</v>
      </c>
      <c r="N32" s="797"/>
      <c r="O32" s="797"/>
      <c r="P32" s="787"/>
      <c r="Q32" s="798">
        <f>+Q31/Q26</f>
        <v>183277.8</v>
      </c>
      <c r="R32" s="797"/>
      <c r="S32" s="797"/>
      <c r="T32" s="787"/>
      <c r="U32" s="798">
        <f>+U31/U26</f>
        <v>239415.94285714286</v>
      </c>
      <c r="V32" s="797"/>
      <c r="W32" s="797"/>
      <c r="X32" s="787"/>
      <c r="Y32" s="798">
        <f>+Y31/Y26</f>
        <v>414415.14285714284</v>
      </c>
      <c r="Z32" s="797"/>
      <c r="AA32" s="797"/>
      <c r="AB32" s="787"/>
      <c r="AC32" s="798">
        <f>+AC31/AC26</f>
        <v>190895.57142857142</v>
      </c>
      <c r="AD32" s="797"/>
      <c r="AE32" s="797"/>
      <c r="AF32" s="787"/>
      <c r="AG32" s="798">
        <f>+AG31/AG26</f>
        <v>6218.9142857142861</v>
      </c>
      <c r="AH32" s="797"/>
      <c r="AI32" s="797"/>
      <c r="AJ32" s="787"/>
      <c r="AK32" s="798">
        <f>+AK31/AK26</f>
        <v>144429.74285714285</v>
      </c>
      <c r="AL32" s="797"/>
      <c r="AM32" s="797"/>
      <c r="AN32" s="787"/>
      <c r="AO32" s="798">
        <f>+AO31/AO26</f>
        <v>467783.8</v>
      </c>
      <c r="AP32" s="797"/>
      <c r="AQ32" s="797"/>
      <c r="AR32" s="787"/>
      <c r="AS32" s="798">
        <f>+AS31/AS26</f>
        <v>301924.25714285712</v>
      </c>
      <c r="AT32" s="797"/>
      <c r="AU32" s="797"/>
      <c r="AV32" s="787"/>
      <c r="AW32" s="798">
        <f>+AW31/AW26</f>
        <v>207049.8</v>
      </c>
      <c r="AX32" s="797"/>
      <c r="AY32" s="797"/>
      <c r="AZ32" s="787"/>
      <c r="BA32" s="295"/>
      <c r="BB32" s="419"/>
      <c r="BC32" s="417"/>
    </row>
    <row r="33" spans="1:73" s="2" customFormat="1" ht="27" customHeight="1">
      <c r="A33" s="2">
        <f>+A32+1</f>
        <v>20</v>
      </c>
      <c r="B33" s="788" t="s">
        <v>5</v>
      </c>
      <c r="C33" s="1256" t="s">
        <v>682</v>
      </c>
      <c r="D33" s="1257"/>
      <c r="E33" s="800">
        <v>6</v>
      </c>
      <c r="F33" s="801"/>
      <c r="G33" s="801"/>
      <c r="H33" s="802"/>
      <c r="I33" s="800">
        <v>6</v>
      </c>
      <c r="J33" s="801"/>
      <c r="K33" s="801"/>
      <c r="L33" s="802"/>
      <c r="M33" s="800">
        <v>6</v>
      </c>
      <c r="N33" s="803"/>
      <c r="O33" s="803"/>
      <c r="P33" s="804"/>
      <c r="Q33" s="796">
        <v>6</v>
      </c>
      <c r="R33" s="803"/>
      <c r="S33" s="803"/>
      <c r="T33" s="804"/>
      <c r="U33" s="796">
        <v>12</v>
      </c>
      <c r="V33" s="803"/>
      <c r="W33" s="803"/>
      <c r="X33" s="804"/>
      <c r="Y33" s="796">
        <v>9</v>
      </c>
      <c r="Z33" s="803"/>
      <c r="AA33" s="803"/>
      <c r="AB33" s="804"/>
      <c r="AC33" s="796">
        <v>8</v>
      </c>
      <c r="AD33" s="803"/>
      <c r="AE33" s="803"/>
      <c r="AF33" s="804"/>
      <c r="AG33" s="796">
        <v>6</v>
      </c>
      <c r="AH33" s="803"/>
      <c r="AI33" s="803"/>
      <c r="AJ33" s="804"/>
      <c r="AK33" s="796">
        <v>6</v>
      </c>
      <c r="AL33" s="803"/>
      <c r="AM33" s="803"/>
      <c r="AN33" s="804"/>
      <c r="AO33" s="796">
        <v>12</v>
      </c>
      <c r="AP33" s="803"/>
      <c r="AQ33" s="803"/>
      <c r="AR33" s="804"/>
      <c r="AS33" s="796">
        <v>4</v>
      </c>
      <c r="AT33" s="803"/>
      <c r="AU33" s="803"/>
      <c r="AV33" s="804"/>
      <c r="AW33" s="796">
        <v>5</v>
      </c>
      <c r="AX33" s="803"/>
      <c r="AY33" s="803"/>
      <c r="AZ33" s="804"/>
      <c r="BA33" s="296"/>
      <c r="BB33" s="470"/>
      <c r="BC33" s="477"/>
    </row>
    <row r="34" spans="1:73" ht="13.5" thickBot="1">
      <c r="C34" s="422"/>
      <c r="D34" s="805"/>
      <c r="E34" s="806"/>
      <c r="F34" s="807"/>
      <c r="G34" s="807"/>
      <c r="H34" s="808"/>
      <c r="I34" s="806"/>
      <c r="J34" s="807"/>
      <c r="K34" s="807"/>
      <c r="L34" s="808"/>
      <c r="M34" s="806"/>
      <c r="N34" s="807"/>
      <c r="O34" s="807"/>
      <c r="P34" s="808"/>
      <c r="Q34" s="806"/>
      <c r="R34" s="807"/>
      <c r="S34" s="807"/>
      <c r="T34" s="808"/>
      <c r="U34" s="806"/>
      <c r="V34" s="807"/>
      <c r="W34" s="807"/>
      <c r="X34" s="808"/>
      <c r="Y34" s="806"/>
      <c r="Z34" s="807"/>
      <c r="AA34" s="807"/>
      <c r="AB34" s="808"/>
      <c r="AC34" s="806"/>
      <c r="AD34" s="807"/>
      <c r="AE34" s="807"/>
      <c r="AF34" s="808"/>
      <c r="AG34" s="806"/>
      <c r="AH34" s="807"/>
      <c r="AI34" s="807"/>
      <c r="AJ34" s="808"/>
      <c r="AK34" s="806"/>
      <c r="AL34" s="807"/>
      <c r="AM34" s="807"/>
      <c r="AN34" s="808"/>
      <c r="AO34" s="806"/>
      <c r="AP34" s="807"/>
      <c r="AQ34" s="807"/>
      <c r="AR34" s="808"/>
      <c r="AS34" s="806"/>
      <c r="AT34" s="807"/>
      <c r="AU34" s="807"/>
      <c r="AV34" s="808"/>
      <c r="AW34" s="806"/>
      <c r="AX34" s="807"/>
      <c r="AY34" s="807"/>
      <c r="AZ34" s="808"/>
      <c r="BA34" s="418"/>
      <c r="BB34" s="422"/>
      <c r="BC34" s="423"/>
    </row>
    <row r="35" spans="1:73">
      <c r="C35" s="450"/>
      <c r="D35" s="457" t="s">
        <v>280</v>
      </c>
      <c r="E35" s="452" t="s">
        <v>293</v>
      </c>
      <c r="F35" s="452" t="s">
        <v>294</v>
      </c>
      <c r="G35" s="452" t="s">
        <v>295</v>
      </c>
      <c r="H35" s="809" t="s">
        <v>292</v>
      </c>
      <c r="I35" s="877" t="s">
        <v>293</v>
      </c>
      <c r="J35" s="877" t="s">
        <v>294</v>
      </c>
      <c r="K35" s="877" t="s">
        <v>295</v>
      </c>
      <c r="L35" s="809" t="s">
        <v>292</v>
      </c>
      <c r="M35" s="451" t="s">
        <v>293</v>
      </c>
      <c r="N35" s="452" t="s">
        <v>294</v>
      </c>
      <c r="O35" s="452" t="s">
        <v>295</v>
      </c>
      <c r="P35" s="453" t="s">
        <v>292</v>
      </c>
      <c r="Q35" s="451" t="s">
        <v>293</v>
      </c>
      <c r="R35" s="452" t="s">
        <v>294</v>
      </c>
      <c r="S35" s="452" t="s">
        <v>295</v>
      </c>
      <c r="T35" s="453" t="s">
        <v>292</v>
      </c>
      <c r="U35" s="451" t="s">
        <v>293</v>
      </c>
      <c r="V35" s="452" t="s">
        <v>294</v>
      </c>
      <c r="W35" s="452" t="s">
        <v>295</v>
      </c>
      <c r="X35" s="453" t="s">
        <v>292</v>
      </c>
      <c r="Y35" s="451" t="s">
        <v>293</v>
      </c>
      <c r="Z35" s="452" t="s">
        <v>294</v>
      </c>
      <c r="AA35" s="452" t="s">
        <v>295</v>
      </c>
      <c r="AB35" s="453" t="s">
        <v>292</v>
      </c>
      <c r="AC35" s="451" t="s">
        <v>293</v>
      </c>
      <c r="AD35" s="452" t="s">
        <v>294</v>
      </c>
      <c r="AE35" s="452" t="s">
        <v>295</v>
      </c>
      <c r="AF35" s="453" t="s">
        <v>292</v>
      </c>
      <c r="AG35" s="858" t="s">
        <v>293</v>
      </c>
      <c r="AH35" s="859" t="s">
        <v>294</v>
      </c>
      <c r="AI35" s="859" t="s">
        <v>295</v>
      </c>
      <c r="AJ35" s="860" t="s">
        <v>292</v>
      </c>
      <c r="AK35" s="858" t="s">
        <v>293</v>
      </c>
      <c r="AL35" s="859" t="s">
        <v>294</v>
      </c>
      <c r="AM35" s="859" t="s">
        <v>295</v>
      </c>
      <c r="AN35" s="860" t="s">
        <v>292</v>
      </c>
      <c r="AO35" s="858" t="s">
        <v>293</v>
      </c>
      <c r="AP35" s="859" t="s">
        <v>294</v>
      </c>
      <c r="AQ35" s="859" t="s">
        <v>295</v>
      </c>
      <c r="AR35" s="860" t="s">
        <v>292</v>
      </c>
      <c r="AS35" s="882" t="s">
        <v>293</v>
      </c>
      <c r="AT35" s="883" t="s">
        <v>294</v>
      </c>
      <c r="AU35" s="883" t="s">
        <v>295</v>
      </c>
      <c r="AV35" s="884" t="s">
        <v>292</v>
      </c>
      <c r="AW35" s="1002" t="s">
        <v>293</v>
      </c>
      <c r="AX35" s="1003" t="s">
        <v>294</v>
      </c>
      <c r="AY35" s="1003" t="s">
        <v>295</v>
      </c>
      <c r="AZ35" s="1004" t="s">
        <v>292</v>
      </c>
      <c r="BA35" s="469" t="s">
        <v>181</v>
      </c>
      <c r="BB35" s="537" t="s">
        <v>298</v>
      </c>
      <c r="BC35" s="810" t="s">
        <v>299</v>
      </c>
    </row>
    <row r="36" spans="1:73" hidden="1">
      <c r="A36">
        <f>+A33+1</f>
        <v>21</v>
      </c>
      <c r="C36" s="419" t="str">
        <f>+C29</f>
        <v>Base FCR</v>
      </c>
      <c r="D36" s="458">
        <v>2008</v>
      </c>
      <c r="E36" s="459"/>
      <c r="F36" s="797"/>
      <c r="G36" s="459">
        <v>0</v>
      </c>
      <c r="H36" s="787">
        <v>0</v>
      </c>
      <c r="I36" s="459"/>
      <c r="J36" s="797"/>
      <c r="K36" s="459">
        <v>0</v>
      </c>
      <c r="L36" s="787">
        <v>0</v>
      </c>
      <c r="M36" s="459"/>
      <c r="N36" s="797"/>
      <c r="O36" s="459">
        <v>0</v>
      </c>
      <c r="P36" s="787">
        <v>0</v>
      </c>
      <c r="Q36" s="419"/>
      <c r="R36" s="295"/>
      <c r="S36" s="295"/>
      <c r="T36" s="787"/>
      <c r="U36" s="419"/>
      <c r="V36" s="295"/>
      <c r="W36" s="295"/>
      <c r="X36" s="787"/>
      <c r="Y36" s="419"/>
      <c r="Z36" s="295"/>
      <c r="AA36" s="295"/>
      <c r="AB36" s="787"/>
      <c r="AC36" s="419"/>
      <c r="AD36" s="295"/>
      <c r="AE36" s="295"/>
      <c r="AF36" s="787"/>
      <c r="AG36" s="419"/>
      <c r="AH36" s="295"/>
      <c r="AI36" s="295"/>
      <c r="AJ36" s="787"/>
      <c r="AK36" s="419"/>
      <c r="AL36" s="295"/>
      <c r="AM36" s="295"/>
      <c r="AN36" s="787"/>
      <c r="AO36" s="419"/>
      <c r="AP36" s="295"/>
      <c r="AQ36" s="295"/>
      <c r="AR36" s="787"/>
      <c r="AS36" s="419"/>
      <c r="AT36" s="295"/>
      <c r="AU36" s="295"/>
      <c r="AV36" s="787"/>
      <c r="AW36" s="419"/>
      <c r="AX36" s="295"/>
      <c r="AY36" s="295"/>
      <c r="AZ36" s="787"/>
      <c r="BA36" s="811">
        <v>11906709.865205778</v>
      </c>
      <c r="BB36" s="295"/>
      <c r="BC36" s="460">
        <f>+BA36</f>
        <v>11906709.865205778</v>
      </c>
    </row>
    <row r="37" spans="1:73" hidden="1">
      <c r="A37">
        <f>+A36+1</f>
        <v>22</v>
      </c>
      <c r="C37" s="419" t="s">
        <v>478</v>
      </c>
      <c r="D37" s="458">
        <v>2008</v>
      </c>
      <c r="E37" s="459"/>
      <c r="F37" s="797"/>
      <c r="G37" s="459">
        <v>0</v>
      </c>
      <c r="H37" s="787">
        <v>0</v>
      </c>
      <c r="I37" s="459"/>
      <c r="J37" s="797"/>
      <c r="K37" s="459">
        <v>0</v>
      </c>
      <c r="L37" s="787">
        <v>0</v>
      </c>
      <c r="M37" s="459"/>
      <c r="N37" s="797"/>
      <c r="O37" s="459">
        <v>0</v>
      </c>
      <c r="P37" s="787">
        <v>0</v>
      </c>
      <c r="Q37" s="419"/>
      <c r="R37" s="295"/>
      <c r="S37" s="295"/>
      <c r="T37" s="787"/>
      <c r="U37" s="419"/>
      <c r="V37" s="295"/>
      <c r="W37" s="295"/>
      <c r="X37" s="787"/>
      <c r="Y37" s="419"/>
      <c r="Z37" s="295"/>
      <c r="AA37" s="295"/>
      <c r="AB37" s="787"/>
      <c r="AC37" s="419"/>
      <c r="AD37" s="295"/>
      <c r="AE37" s="295"/>
      <c r="AF37" s="787"/>
      <c r="AG37" s="419"/>
      <c r="AH37" s="295"/>
      <c r="AI37" s="295"/>
      <c r="AJ37" s="787"/>
      <c r="AK37" s="419"/>
      <c r="AL37" s="295"/>
      <c r="AM37" s="295"/>
      <c r="AN37" s="787"/>
      <c r="AO37" s="419"/>
      <c r="AP37" s="295"/>
      <c r="AQ37" s="295"/>
      <c r="AR37" s="787"/>
      <c r="AS37" s="419"/>
      <c r="AT37" s="295"/>
      <c r="AU37" s="295"/>
      <c r="AV37" s="787"/>
      <c r="AW37" s="419"/>
      <c r="AX37" s="295"/>
      <c r="AY37" s="295"/>
      <c r="AZ37" s="787"/>
      <c r="BA37" s="811">
        <v>11906709.865205778</v>
      </c>
      <c r="BB37" s="461">
        <f>+BA37</f>
        <v>11906709.865205778</v>
      </c>
      <c r="BC37" s="417"/>
    </row>
    <row r="38" spans="1:73" hidden="1">
      <c r="A38">
        <f t="shared" ref="A38:A77" si="0">+A37+1</f>
        <v>23</v>
      </c>
      <c r="C38" s="419" t="str">
        <f>+C36</f>
        <v>Base FCR</v>
      </c>
      <c r="D38" s="458">
        <f t="shared" ref="D38:D75" si="1">+D36+1</f>
        <v>2009</v>
      </c>
      <c r="E38" s="459">
        <v>14689101</v>
      </c>
      <c r="F38" s="797">
        <v>209844.3</v>
      </c>
      <c r="G38" s="459">
        <v>14479256.699999999</v>
      </c>
      <c r="H38" s="787">
        <v>2027345.7502079715</v>
      </c>
      <c r="I38" s="459">
        <v>3099104</v>
      </c>
      <c r="J38" s="797">
        <v>44272.914285714287</v>
      </c>
      <c r="K38" s="459">
        <v>3054831.0857142857</v>
      </c>
      <c r="L38" s="787">
        <v>427729.05733662838</v>
      </c>
      <c r="M38" s="459">
        <v>2418717</v>
      </c>
      <c r="N38" s="797">
        <v>34553.1</v>
      </c>
      <c r="O38" s="459">
        <v>2384163.9</v>
      </c>
      <c r="P38" s="787">
        <v>333824.08024192724</v>
      </c>
      <c r="Q38" s="462"/>
      <c r="R38" s="797"/>
      <c r="S38" s="459"/>
      <c r="T38" s="787"/>
      <c r="U38" s="462"/>
      <c r="V38" s="797"/>
      <c r="W38" s="459"/>
      <c r="X38" s="787"/>
      <c r="Y38" s="462"/>
      <c r="Z38" s="797"/>
      <c r="AA38" s="459"/>
      <c r="AB38" s="787"/>
      <c r="AC38" s="462"/>
      <c r="AD38" s="797"/>
      <c r="AE38" s="459"/>
      <c r="AF38" s="787"/>
      <c r="AG38" s="462"/>
      <c r="AH38" s="797"/>
      <c r="AI38" s="459"/>
      <c r="AJ38" s="787"/>
      <c r="AK38" s="462"/>
      <c r="AL38" s="797"/>
      <c r="AM38" s="459"/>
      <c r="AN38" s="787"/>
      <c r="AO38" s="462"/>
      <c r="AP38" s="797"/>
      <c r="AQ38" s="459"/>
      <c r="AR38" s="787"/>
      <c r="AS38" s="462"/>
      <c r="AT38" s="797"/>
      <c r="AU38" s="459"/>
      <c r="AV38" s="787"/>
      <c r="AW38" s="462"/>
      <c r="AX38" s="797"/>
      <c r="AY38" s="459"/>
      <c r="AZ38" s="787"/>
      <c r="BA38" s="811">
        <v>11906709.865205778</v>
      </c>
      <c r="BB38" s="295"/>
      <c r="BC38" s="460">
        <f>+BA38</f>
        <v>11906709.865205778</v>
      </c>
      <c r="BQ38" s="667"/>
      <c r="BR38" s="667"/>
      <c r="BS38" s="667"/>
      <c r="BT38" s="667"/>
      <c r="BU38" s="667"/>
    </row>
    <row r="39" spans="1:73" hidden="1">
      <c r="A39">
        <f t="shared" si="0"/>
        <v>24</v>
      </c>
      <c r="C39" s="419" t="str">
        <f>+C37</f>
        <v>W Increased ROE</v>
      </c>
      <c r="D39" s="458">
        <f t="shared" si="1"/>
        <v>2009</v>
      </c>
      <c r="E39" s="459">
        <v>14689101</v>
      </c>
      <c r="F39" s="797">
        <v>209844.3</v>
      </c>
      <c r="G39" s="459">
        <v>14479256.699999999</v>
      </c>
      <c r="H39" s="787">
        <v>2170869.4430184173</v>
      </c>
      <c r="I39" s="459">
        <v>3099104</v>
      </c>
      <c r="J39" s="797">
        <v>44272.914285714287</v>
      </c>
      <c r="K39" s="459">
        <v>3054831.0857142857</v>
      </c>
      <c r="L39" s="787">
        <v>458009.66133571754</v>
      </c>
      <c r="M39" s="459">
        <v>2418717</v>
      </c>
      <c r="N39" s="797">
        <v>34553.1</v>
      </c>
      <c r="O39" s="459">
        <v>2384163.9</v>
      </c>
      <c r="P39" s="787">
        <v>357456.78558607347</v>
      </c>
      <c r="Q39" s="462"/>
      <c r="R39" s="797"/>
      <c r="S39" s="459"/>
      <c r="T39" s="787"/>
      <c r="U39" s="462"/>
      <c r="V39" s="797"/>
      <c r="W39" s="459"/>
      <c r="X39" s="787"/>
      <c r="Y39" s="462"/>
      <c r="Z39" s="797"/>
      <c r="AA39" s="459"/>
      <c r="AB39" s="787"/>
      <c r="AC39" s="462"/>
      <c r="AD39" s="797"/>
      <c r="AE39" s="459"/>
      <c r="AF39" s="787"/>
      <c r="AG39" s="462"/>
      <c r="AH39" s="797"/>
      <c r="AI39" s="459"/>
      <c r="AJ39" s="787"/>
      <c r="AK39" s="462"/>
      <c r="AL39" s="797"/>
      <c r="AM39" s="459"/>
      <c r="AN39" s="787"/>
      <c r="AO39" s="462"/>
      <c r="AP39" s="797"/>
      <c r="AQ39" s="459"/>
      <c r="AR39" s="787"/>
      <c r="AS39" s="462"/>
      <c r="AT39" s="797"/>
      <c r="AU39" s="459"/>
      <c r="AV39" s="787"/>
      <c r="AW39" s="462"/>
      <c r="AX39" s="797"/>
      <c r="AY39" s="459"/>
      <c r="AZ39" s="787"/>
      <c r="BA39" s="811">
        <v>11906709.865205778</v>
      </c>
      <c r="BB39" s="461">
        <f>+BA39</f>
        <v>11906709.865205778</v>
      </c>
      <c r="BC39" s="417"/>
      <c r="BQ39" s="667"/>
      <c r="BR39" s="667"/>
      <c r="BS39" s="667"/>
      <c r="BT39" s="667"/>
      <c r="BU39" s="667"/>
    </row>
    <row r="40" spans="1:73" hidden="1">
      <c r="A40">
        <f t="shared" si="0"/>
        <v>25</v>
      </c>
      <c r="C40" s="419" t="str">
        <f t="shared" ref="C40:C75" si="2">+C38</f>
        <v>Base FCR</v>
      </c>
      <c r="D40" s="458">
        <f t="shared" si="1"/>
        <v>2010</v>
      </c>
      <c r="E40" s="459">
        <v>14479256.699999999</v>
      </c>
      <c r="F40" s="459">
        <v>419688.6</v>
      </c>
      <c r="G40" s="459">
        <v>14059568.1</v>
      </c>
      <c r="H40" s="787">
        <v>2184508.8487526681</v>
      </c>
      <c r="I40" s="462">
        <v>3054831.0857142857</v>
      </c>
      <c r="J40" s="459">
        <v>88545.828571428574</v>
      </c>
      <c r="K40" s="459">
        <v>2966285.2571428572</v>
      </c>
      <c r="L40" s="787">
        <v>460887.30080927268</v>
      </c>
      <c r="M40" s="462">
        <v>2384163.9</v>
      </c>
      <c r="N40" s="459">
        <v>69106.2</v>
      </c>
      <c r="O40" s="459">
        <v>2315057.7000000002</v>
      </c>
      <c r="P40" s="787">
        <v>359702.65907549456</v>
      </c>
      <c r="Q40" s="462">
        <v>6414723</v>
      </c>
      <c r="R40" s="797">
        <v>91638.9</v>
      </c>
      <c r="S40" s="459">
        <v>6323084.0999999996</v>
      </c>
      <c r="T40" s="787">
        <v>932508.31708739861</v>
      </c>
      <c r="U40" s="462">
        <v>8379558</v>
      </c>
      <c r="V40" s="797">
        <v>0</v>
      </c>
      <c r="W40" s="459">
        <v>8379558</v>
      </c>
      <c r="X40" s="787">
        <v>1114347.6726665786</v>
      </c>
      <c r="Y40" s="462">
        <v>14504530</v>
      </c>
      <c r="Z40" s="797">
        <v>103603.78571428571</v>
      </c>
      <c r="AA40" s="459">
        <v>14400926.214285715</v>
      </c>
      <c r="AB40" s="787">
        <v>2018697.4709817434</v>
      </c>
      <c r="AC40" s="462"/>
      <c r="AD40" s="797"/>
      <c r="AE40" s="459"/>
      <c r="AF40" s="787"/>
      <c r="AG40" s="462"/>
      <c r="AH40" s="797"/>
      <c r="AI40" s="459"/>
      <c r="AJ40" s="787"/>
      <c r="AK40" s="462"/>
      <c r="AL40" s="797"/>
      <c r="AM40" s="459"/>
      <c r="AN40" s="787"/>
      <c r="AO40" s="462"/>
      <c r="AP40" s="797"/>
      <c r="AQ40" s="459"/>
      <c r="AR40" s="787"/>
      <c r="AS40" s="462"/>
      <c r="AT40" s="797"/>
      <c r="AU40" s="459"/>
      <c r="AV40" s="787"/>
      <c r="AW40" s="462"/>
      <c r="AX40" s="797"/>
      <c r="AY40" s="459"/>
      <c r="AZ40" s="787"/>
      <c r="BA40" s="811">
        <v>11906709.865205778</v>
      </c>
      <c r="BB40" s="295"/>
      <c r="BC40" s="460">
        <f>+BA40</f>
        <v>11906709.865205778</v>
      </c>
      <c r="BQ40" s="667"/>
      <c r="BR40" s="667"/>
      <c r="BS40" s="667"/>
      <c r="BT40" s="667"/>
      <c r="BU40" s="667"/>
    </row>
    <row r="41" spans="1:73" hidden="1">
      <c r="A41">
        <f t="shared" si="0"/>
        <v>26</v>
      </c>
      <c r="C41" s="419" t="str">
        <f t="shared" si="2"/>
        <v>W Increased ROE</v>
      </c>
      <c r="D41" s="458">
        <f t="shared" si="1"/>
        <v>2010</v>
      </c>
      <c r="E41" s="459">
        <v>14479256.699999999</v>
      </c>
      <c r="F41" s="459">
        <v>419688.6</v>
      </c>
      <c r="G41" s="459">
        <v>14059568.1</v>
      </c>
      <c r="H41" s="787">
        <v>2323872.4345251299</v>
      </c>
      <c r="I41" s="462">
        <v>3054831.0857142857</v>
      </c>
      <c r="J41" s="459">
        <v>88545.828571428574</v>
      </c>
      <c r="K41" s="459">
        <v>2966285.2571428572</v>
      </c>
      <c r="L41" s="787">
        <v>490290.20614172157</v>
      </c>
      <c r="M41" s="462">
        <v>2384163.9</v>
      </c>
      <c r="N41" s="459">
        <v>69106.2</v>
      </c>
      <c r="O41" s="459">
        <v>2315057.7000000002</v>
      </c>
      <c r="P41" s="787">
        <v>382650.35846763657</v>
      </c>
      <c r="Q41" s="462">
        <v>6414723</v>
      </c>
      <c r="R41" s="797">
        <v>91638.9</v>
      </c>
      <c r="S41" s="459">
        <v>6323084.0999999996</v>
      </c>
      <c r="T41" s="787">
        <v>999766.33878652658</v>
      </c>
      <c r="U41" s="462">
        <v>8379558</v>
      </c>
      <c r="V41" s="797">
        <v>0</v>
      </c>
      <c r="W41" s="459">
        <v>8379558</v>
      </c>
      <c r="X41" s="787">
        <v>1203480.2043362272</v>
      </c>
      <c r="Y41" s="462">
        <v>14504530</v>
      </c>
      <c r="Z41" s="797">
        <v>103603.78571428571</v>
      </c>
      <c r="AA41" s="459">
        <v>14400926.214285715</v>
      </c>
      <c r="AB41" s="787">
        <v>2171878.7022432368</v>
      </c>
      <c r="AC41" s="462"/>
      <c r="AD41" s="797"/>
      <c r="AE41" s="459"/>
      <c r="AF41" s="787"/>
      <c r="AG41" s="462"/>
      <c r="AH41" s="797"/>
      <c r="AI41" s="459"/>
      <c r="AJ41" s="787"/>
      <c r="AK41" s="462"/>
      <c r="AL41" s="797"/>
      <c r="AM41" s="459"/>
      <c r="AN41" s="787"/>
      <c r="AO41" s="462"/>
      <c r="AP41" s="797"/>
      <c r="AQ41" s="459"/>
      <c r="AR41" s="787"/>
      <c r="AS41" s="462"/>
      <c r="AT41" s="797"/>
      <c r="AU41" s="459"/>
      <c r="AV41" s="787"/>
      <c r="AW41" s="462"/>
      <c r="AX41" s="797"/>
      <c r="AY41" s="459"/>
      <c r="AZ41" s="787"/>
      <c r="BA41" s="811">
        <v>11906709.865205778</v>
      </c>
      <c r="BB41" s="461">
        <f>+BA41</f>
        <v>11906709.865205778</v>
      </c>
      <c r="BC41" s="417"/>
      <c r="BQ41" s="667"/>
      <c r="BR41" s="667"/>
      <c r="BS41" s="667"/>
      <c r="BT41" s="667"/>
      <c r="BU41" s="667"/>
    </row>
    <row r="42" spans="1:73" hidden="1">
      <c r="A42">
        <f t="shared" si="0"/>
        <v>27</v>
      </c>
      <c r="C42" s="419" t="str">
        <f t="shared" si="2"/>
        <v>Base FCR</v>
      </c>
      <c r="D42" s="458">
        <f t="shared" si="1"/>
        <v>2011</v>
      </c>
      <c r="E42" s="459">
        <v>14059568.1</v>
      </c>
      <c r="F42" s="459">
        <v>419688.6</v>
      </c>
      <c r="G42" s="459">
        <v>13639879.5</v>
      </c>
      <c r="H42" s="885">
        <v>2165363.6335302796</v>
      </c>
      <c r="I42" s="459">
        <v>2966285.2571428572</v>
      </c>
      <c r="J42" s="459">
        <v>88545.828571428574</v>
      </c>
      <c r="K42" s="459">
        <v>2877739.4285714286</v>
      </c>
      <c r="L42" s="787">
        <v>456848.04659782955</v>
      </c>
      <c r="M42" s="462">
        <v>2315057.7000000002</v>
      </c>
      <c r="N42" s="459">
        <v>69106.2</v>
      </c>
      <c r="O42" s="459">
        <v>2245951.5</v>
      </c>
      <c r="P42" s="787">
        <v>356550.19538646087</v>
      </c>
      <c r="Q42" s="462">
        <v>6323084.0999999996</v>
      </c>
      <c r="R42" s="459">
        <v>183277.8</v>
      </c>
      <c r="S42" s="459">
        <v>6139806.2999999998</v>
      </c>
      <c r="T42" s="787">
        <v>969069.68097826838</v>
      </c>
      <c r="U42" s="462">
        <v>8379558</v>
      </c>
      <c r="V42" s="459">
        <v>239415.94285714286</v>
      </c>
      <c r="W42" s="459">
        <v>8140142.0571428575</v>
      </c>
      <c r="X42" s="787">
        <v>1281217.1375483493</v>
      </c>
      <c r="Y42" s="462">
        <v>14400926.214285715</v>
      </c>
      <c r="Z42" s="459">
        <v>414415.14285714284</v>
      </c>
      <c r="AA42" s="459">
        <v>13986511.071428571</v>
      </c>
      <c r="AB42" s="787">
        <v>2204453.1841453887</v>
      </c>
      <c r="AC42" s="462">
        <v>6681345</v>
      </c>
      <c r="AD42" s="459">
        <v>63631.857142857138</v>
      </c>
      <c r="AE42" s="459">
        <v>6617713.1428571427</v>
      </c>
      <c r="AF42" s="787">
        <v>416530.15475828311</v>
      </c>
      <c r="AG42" s="459"/>
      <c r="AH42" s="797"/>
      <c r="AI42" s="459"/>
      <c r="AJ42" s="787"/>
      <c r="AK42" s="459"/>
      <c r="AL42" s="797"/>
      <c r="AM42" s="459"/>
      <c r="AN42" s="787"/>
      <c r="AO42" s="459"/>
      <c r="AP42" s="797"/>
      <c r="AQ42" s="459"/>
      <c r="AR42" s="787"/>
      <c r="AS42" s="459"/>
      <c r="AT42" s="797"/>
      <c r="AU42" s="459"/>
      <c r="AV42" s="787"/>
      <c r="AW42" s="459"/>
      <c r="AX42" s="797"/>
      <c r="AY42" s="459"/>
      <c r="AZ42" s="787"/>
      <c r="BA42" s="811">
        <v>11906709.865205778</v>
      </c>
      <c r="BB42" s="295"/>
      <c r="BC42" s="460">
        <v>11906709.865205778</v>
      </c>
      <c r="BQ42" s="667"/>
      <c r="BR42" s="667"/>
      <c r="BS42" s="667"/>
      <c r="BT42" s="667"/>
      <c r="BU42" s="667"/>
    </row>
    <row r="43" spans="1:73" hidden="1">
      <c r="A43">
        <f t="shared" si="0"/>
        <v>28</v>
      </c>
      <c r="C43" s="419" t="str">
        <f t="shared" si="2"/>
        <v>W Increased ROE</v>
      </c>
      <c r="D43" s="458">
        <f t="shared" si="1"/>
        <v>2011</v>
      </c>
      <c r="E43" s="459">
        <v>14059568.1</v>
      </c>
      <c r="F43" s="459">
        <v>419688.6</v>
      </c>
      <c r="G43" s="459">
        <v>13639879.5</v>
      </c>
      <c r="H43" s="885">
        <v>2299493.7392377472</v>
      </c>
      <c r="I43" s="459">
        <v>2966285.2571428572</v>
      </c>
      <c r="J43" s="459">
        <v>88545.828571428574</v>
      </c>
      <c r="K43" s="459">
        <v>2877739.4285714286</v>
      </c>
      <c r="L43" s="787">
        <v>485146.79320719896</v>
      </c>
      <c r="M43" s="462">
        <v>2315057.7000000002</v>
      </c>
      <c r="N43" s="459">
        <v>69106.2</v>
      </c>
      <c r="O43" s="459">
        <v>2245951.5</v>
      </c>
      <c r="P43" s="787">
        <v>378636.14652032865</v>
      </c>
      <c r="Q43" s="462">
        <v>6323084.0999999996</v>
      </c>
      <c r="R43" s="459">
        <v>183277.8</v>
      </c>
      <c r="S43" s="459">
        <v>6139806.2999999998</v>
      </c>
      <c r="T43" s="787">
        <v>1029446.5243398519</v>
      </c>
      <c r="U43" s="462">
        <v>8379558</v>
      </c>
      <c r="V43" s="459">
        <v>239415.94285714286</v>
      </c>
      <c r="W43" s="459">
        <v>8140142.0571428575</v>
      </c>
      <c r="X43" s="787">
        <v>1361264.6273079454</v>
      </c>
      <c r="Y43" s="462">
        <v>14400926.214285715</v>
      </c>
      <c r="Z43" s="459">
        <v>414415.14285714284</v>
      </c>
      <c r="AA43" s="459">
        <v>13986511.071428571</v>
      </c>
      <c r="AB43" s="787">
        <v>2341991.9511476466</v>
      </c>
      <c r="AC43" s="462">
        <v>6681345</v>
      </c>
      <c r="AD43" s="797">
        <v>63631.857142857138</v>
      </c>
      <c r="AE43" s="459">
        <v>6617713.1428571427</v>
      </c>
      <c r="AF43" s="787">
        <v>443645.33086721686</v>
      </c>
      <c r="AG43" s="462"/>
      <c r="AH43" s="797"/>
      <c r="AI43" s="459"/>
      <c r="AJ43" s="787"/>
      <c r="AK43" s="462"/>
      <c r="AL43" s="797"/>
      <c r="AM43" s="459"/>
      <c r="AN43" s="787"/>
      <c r="AO43" s="462"/>
      <c r="AP43" s="797"/>
      <c r="AQ43" s="459"/>
      <c r="AR43" s="787"/>
      <c r="AS43" s="462"/>
      <c r="AT43" s="797"/>
      <c r="AU43" s="459"/>
      <c r="AV43" s="787"/>
      <c r="AW43" s="462"/>
      <c r="AX43" s="797"/>
      <c r="AY43" s="459"/>
      <c r="AZ43" s="787"/>
      <c r="BA43" s="811">
        <v>12708000.492262214</v>
      </c>
      <c r="BB43" s="461">
        <v>12708000.492262214</v>
      </c>
      <c r="BC43" s="417"/>
      <c r="BD43" s="852"/>
      <c r="BQ43" s="667"/>
      <c r="BR43" s="667"/>
      <c r="BS43" s="667"/>
      <c r="BT43" s="667"/>
      <c r="BU43" s="667"/>
    </row>
    <row r="44" spans="1:73" hidden="1">
      <c r="A44">
        <f t="shared" si="0"/>
        <v>29</v>
      </c>
      <c r="C44" s="419" t="str">
        <f t="shared" si="2"/>
        <v>Base FCR</v>
      </c>
      <c r="D44" s="458">
        <f t="shared" si="1"/>
        <v>2012</v>
      </c>
      <c r="E44" s="459">
        <v>13639879.5</v>
      </c>
      <c r="F44" s="459">
        <v>419688.6</v>
      </c>
      <c r="G44" s="459">
        <v>13220190.9</v>
      </c>
      <c r="H44" s="885">
        <v>2127592.4368447736</v>
      </c>
      <c r="I44" s="459">
        <v>2877739.4285714286</v>
      </c>
      <c r="J44" s="459">
        <v>88545.828571428574</v>
      </c>
      <c r="K44" s="459">
        <v>2789193.6</v>
      </c>
      <c r="L44" s="787">
        <v>448879.08602407901</v>
      </c>
      <c r="M44" s="462">
        <v>2245951.5</v>
      </c>
      <c r="N44" s="459">
        <v>69106.2</v>
      </c>
      <c r="O44" s="459">
        <v>2176845.2999999998</v>
      </c>
      <c r="P44" s="787">
        <v>350330.76537957491</v>
      </c>
      <c r="Q44" s="462">
        <v>6139806.2999999998</v>
      </c>
      <c r="R44" s="459">
        <v>183277.8</v>
      </c>
      <c r="S44" s="459">
        <v>5956528.5</v>
      </c>
      <c r="T44" s="787">
        <v>952796.02832038235</v>
      </c>
      <c r="U44" s="462">
        <v>8140142.0571428575</v>
      </c>
      <c r="V44" s="459">
        <v>239415.94285714286</v>
      </c>
      <c r="W44" s="459">
        <v>7900726.1142857149</v>
      </c>
      <c r="X44" s="787">
        <v>1260103.204222504</v>
      </c>
      <c r="Y44" s="462">
        <v>13986511.071428571</v>
      </c>
      <c r="Z44" s="459">
        <v>414415.14285714284</v>
      </c>
      <c r="AA44" s="459">
        <v>13572095.928571427</v>
      </c>
      <c r="AB44" s="787">
        <v>2167781.2542672637</v>
      </c>
      <c r="AC44" s="462">
        <v>6617713.1428571427</v>
      </c>
      <c r="AD44" s="459">
        <v>190895.57142857142</v>
      </c>
      <c r="AE44" s="459">
        <v>6426817.5714285709</v>
      </c>
      <c r="AF44" s="787">
        <v>1021169.9957520708</v>
      </c>
      <c r="AG44" s="462">
        <v>217662</v>
      </c>
      <c r="AH44" s="459">
        <v>3109.4571428571426</v>
      </c>
      <c r="AI44" s="459">
        <v>214552.54285714286</v>
      </c>
      <c r="AJ44" s="787">
        <v>19278.196040402228</v>
      </c>
      <c r="AK44" s="462">
        <v>5055041</v>
      </c>
      <c r="AL44" s="862">
        <v>72214.871428571423</v>
      </c>
      <c r="AM44" s="459">
        <v>4982826.1285714284</v>
      </c>
      <c r="AN44" s="863">
        <v>447722.02492980356</v>
      </c>
      <c r="AO44" s="462">
        <v>16372433</v>
      </c>
      <c r="AP44" s="862">
        <v>0</v>
      </c>
      <c r="AQ44" s="459">
        <v>16372433</v>
      </c>
      <c r="AR44" s="863">
        <v>176261.58194120065</v>
      </c>
      <c r="AS44" s="462"/>
      <c r="AT44" s="862"/>
      <c r="AU44" s="459"/>
      <c r="AV44" s="863"/>
      <c r="AW44" s="462"/>
      <c r="AX44" s="862"/>
      <c r="AY44" s="459"/>
      <c r="AZ44" s="863"/>
      <c r="BA44" s="811">
        <v>14133541.233374584</v>
      </c>
      <c r="BB44" s="295"/>
      <c r="BC44" s="460">
        <v>14133541.233374584</v>
      </c>
      <c r="BQ44" s="667"/>
      <c r="BR44" s="667"/>
      <c r="BS44" s="667"/>
      <c r="BT44" s="667"/>
      <c r="BU44" s="667"/>
    </row>
    <row r="45" spans="1:73" hidden="1">
      <c r="A45">
        <f t="shared" si="0"/>
        <v>30</v>
      </c>
      <c r="C45" s="419" t="str">
        <f t="shared" si="2"/>
        <v>W Increased ROE</v>
      </c>
      <c r="D45" s="458">
        <f t="shared" si="1"/>
        <v>2012</v>
      </c>
      <c r="E45" s="459">
        <v>13639879.5</v>
      </c>
      <c r="F45" s="459">
        <v>419688.6</v>
      </c>
      <c r="G45" s="459">
        <v>13220190.9</v>
      </c>
      <c r="H45" s="885">
        <v>2265406.2326637851</v>
      </c>
      <c r="I45" s="459">
        <v>2877739.4285714286</v>
      </c>
      <c r="J45" s="459">
        <v>88545.828571428574</v>
      </c>
      <c r="K45" s="459">
        <v>2789193.6</v>
      </c>
      <c r="L45" s="787">
        <v>477955.01693897182</v>
      </c>
      <c r="M45" s="462">
        <v>2245951.5</v>
      </c>
      <c r="N45" s="459">
        <v>69106.2</v>
      </c>
      <c r="O45" s="459">
        <v>2176845.2999999998</v>
      </c>
      <c r="P45" s="787">
        <v>373023.27534202754</v>
      </c>
      <c r="Q45" s="462">
        <v>6139806.2999999998</v>
      </c>
      <c r="R45" s="459">
        <v>183277.8</v>
      </c>
      <c r="S45" s="459">
        <v>5956528.5</v>
      </c>
      <c r="T45" s="787">
        <v>1014889.8217231028</v>
      </c>
      <c r="U45" s="462">
        <v>8140142.0571428575</v>
      </c>
      <c r="V45" s="459">
        <v>239415.94285714286</v>
      </c>
      <c r="W45" s="459">
        <v>7900726.1142857149</v>
      </c>
      <c r="X45" s="787">
        <v>1342464.2732700096</v>
      </c>
      <c r="Y45" s="462">
        <v>13986511.071428571</v>
      </c>
      <c r="Z45" s="459">
        <v>414415.14285714284</v>
      </c>
      <c r="AA45" s="459">
        <v>13572095.928571427</v>
      </c>
      <c r="AB45" s="787">
        <v>2309263.4818148389</v>
      </c>
      <c r="AC45" s="462">
        <v>6617713.1428571427</v>
      </c>
      <c r="AD45" s="459">
        <v>190895.57142857142</v>
      </c>
      <c r="AE45" s="459">
        <v>6426817.5714285709</v>
      </c>
      <c r="AF45" s="787">
        <v>1088166.3145839639</v>
      </c>
      <c r="AG45" s="462">
        <v>217662</v>
      </c>
      <c r="AH45" s="459">
        <v>3109.4571428571426</v>
      </c>
      <c r="AI45" s="459">
        <v>214552.54285714286</v>
      </c>
      <c r="AJ45" s="787">
        <v>19278.196040402228</v>
      </c>
      <c r="AK45" s="462">
        <v>5055041</v>
      </c>
      <c r="AL45" s="862">
        <v>72214.871428571423</v>
      </c>
      <c r="AM45" s="459">
        <v>4982826.1285714284</v>
      </c>
      <c r="AN45" s="863">
        <v>447722.02492980356</v>
      </c>
      <c r="AO45" s="462">
        <v>16372433</v>
      </c>
      <c r="AP45" s="862">
        <v>0</v>
      </c>
      <c r="AQ45" s="459">
        <v>16372433</v>
      </c>
      <c r="AR45" s="863">
        <v>190484.44223364955</v>
      </c>
      <c r="AS45" s="462"/>
      <c r="AT45" s="886"/>
      <c r="AU45" s="459"/>
      <c r="AV45" s="863"/>
      <c r="AW45" s="462"/>
      <c r="AX45" s="886"/>
      <c r="AY45" s="459"/>
      <c r="AZ45" s="863"/>
      <c r="BA45" s="811">
        <v>15106780.567413883</v>
      </c>
      <c r="BB45" s="461">
        <v>15106780.567413883</v>
      </c>
      <c r="BC45" s="417"/>
      <c r="BD45" s="852"/>
      <c r="BF45" s="667"/>
      <c r="BQ45" s="667"/>
      <c r="BR45" s="667"/>
      <c r="BS45" s="667"/>
      <c r="BT45" s="667"/>
      <c r="BU45" s="667"/>
    </row>
    <row r="46" spans="1:73" hidden="1">
      <c r="A46">
        <f t="shared" si="0"/>
        <v>31</v>
      </c>
      <c r="C46" s="419" t="str">
        <f t="shared" si="2"/>
        <v>Base FCR</v>
      </c>
      <c r="D46" s="458">
        <f t="shared" si="1"/>
        <v>2013</v>
      </c>
      <c r="E46" s="459">
        <v>13220190.9</v>
      </c>
      <c r="F46" s="459">
        <v>419688.6</v>
      </c>
      <c r="G46" s="459">
        <v>12800502.300000001</v>
      </c>
      <c r="H46" s="885">
        <v>2138771.9232177455</v>
      </c>
      <c r="I46" s="459">
        <v>2789193.6</v>
      </c>
      <c r="J46" s="459">
        <v>88545.828571428574</v>
      </c>
      <c r="K46" s="459">
        <v>2700647.7714285715</v>
      </c>
      <c r="L46" s="787">
        <v>451237.73213430878</v>
      </c>
      <c r="M46" s="462">
        <v>2176845.2999999998</v>
      </c>
      <c r="N46" s="459">
        <v>69106.2</v>
      </c>
      <c r="O46" s="459">
        <v>2107739.0999999996</v>
      </c>
      <c r="P46" s="787">
        <v>352171.58693438454</v>
      </c>
      <c r="Q46" s="462">
        <v>5956528.5</v>
      </c>
      <c r="R46" s="459">
        <v>183277.8</v>
      </c>
      <c r="S46" s="459">
        <v>5773250.7000000002</v>
      </c>
      <c r="T46" s="787">
        <v>958614.4833991488</v>
      </c>
      <c r="U46" s="462">
        <v>7900726.1142857149</v>
      </c>
      <c r="V46" s="459">
        <v>239415.94285714286</v>
      </c>
      <c r="W46" s="459">
        <v>7661310.1714285724</v>
      </c>
      <c r="X46" s="787">
        <v>1268315.4532850536</v>
      </c>
      <c r="Y46" s="462">
        <v>13572095.928571427</v>
      </c>
      <c r="Z46" s="459">
        <v>414415.14285714284</v>
      </c>
      <c r="AA46" s="459">
        <v>13157680.785714284</v>
      </c>
      <c r="AB46" s="787">
        <v>2181466.8632372082</v>
      </c>
      <c r="AC46" s="462">
        <v>6426817.5714285709</v>
      </c>
      <c r="AD46" s="459">
        <v>190895.57142857142</v>
      </c>
      <c r="AE46" s="459">
        <v>6235921.9999999991</v>
      </c>
      <c r="AF46" s="787">
        <v>1028368.1380392306</v>
      </c>
      <c r="AG46" s="462">
        <v>214552.54285714286</v>
      </c>
      <c r="AH46" s="459">
        <v>6218.9142857142861</v>
      </c>
      <c r="AI46" s="459">
        <v>208333.62857142859</v>
      </c>
      <c r="AJ46" s="787">
        <v>34197.727784508228</v>
      </c>
      <c r="AK46" s="462">
        <v>4982826.1285714284</v>
      </c>
      <c r="AL46" s="459">
        <v>144429.74285714285</v>
      </c>
      <c r="AM46" s="459">
        <v>4838396.3857142851</v>
      </c>
      <c r="AN46" s="787">
        <v>794217.2545392774</v>
      </c>
      <c r="AO46" s="462">
        <v>16372433</v>
      </c>
      <c r="AP46" s="459">
        <v>467783.8</v>
      </c>
      <c r="AQ46" s="459">
        <v>15904649.199999999</v>
      </c>
      <c r="AR46" s="787">
        <v>2603748.1989399111</v>
      </c>
      <c r="AS46" s="462">
        <v>10567349</v>
      </c>
      <c r="AT46" s="862">
        <v>201282.83809523808</v>
      </c>
      <c r="AU46" s="459">
        <v>10366066.161904762</v>
      </c>
      <c r="AV46" s="863">
        <v>1245390.1931422888</v>
      </c>
      <c r="AW46" s="462"/>
      <c r="AX46" s="862"/>
      <c r="AY46" s="459"/>
      <c r="AZ46" s="863"/>
      <c r="BA46" s="811">
        <v>23442695.082597896</v>
      </c>
      <c r="BB46" s="295"/>
      <c r="BC46" s="460">
        <f>+BA46</f>
        <v>23442695.082597896</v>
      </c>
      <c r="BQ46" s="667"/>
      <c r="BR46" s="667"/>
      <c r="BS46" s="667"/>
      <c r="BT46" s="667"/>
      <c r="BU46" s="667"/>
    </row>
    <row r="47" spans="1:73" hidden="1">
      <c r="A47">
        <f t="shared" si="0"/>
        <v>32</v>
      </c>
      <c r="C47" s="419" t="str">
        <f t="shared" si="2"/>
        <v>W Increased ROE</v>
      </c>
      <c r="D47" s="458">
        <f t="shared" si="1"/>
        <v>2013</v>
      </c>
      <c r="E47" s="459">
        <v>13220190.9</v>
      </c>
      <c r="F47" s="459">
        <v>419688.6</v>
      </c>
      <c r="G47" s="459">
        <v>12800502.300000001</v>
      </c>
      <c r="H47" s="885">
        <v>2272417.4509916049</v>
      </c>
      <c r="I47" s="459">
        <v>2789193.6</v>
      </c>
      <c r="J47" s="459">
        <v>88545.828571428574</v>
      </c>
      <c r="K47" s="459">
        <v>2700647.7714285715</v>
      </c>
      <c r="L47" s="787">
        <v>479434.24257467396</v>
      </c>
      <c r="M47" s="462">
        <v>2176845.2999999998</v>
      </c>
      <c r="N47" s="459">
        <v>69106.2</v>
      </c>
      <c r="O47" s="459">
        <v>2107739.0999999996</v>
      </c>
      <c r="P47" s="787">
        <v>374177.74714804266</v>
      </c>
      <c r="Q47" s="462">
        <v>5956528.5</v>
      </c>
      <c r="R47" s="459">
        <v>183277.8</v>
      </c>
      <c r="S47" s="459">
        <v>5773250.7000000002</v>
      </c>
      <c r="T47" s="787">
        <v>1018890.9568288126</v>
      </c>
      <c r="U47" s="462">
        <v>7900726.1142857149</v>
      </c>
      <c r="V47" s="459">
        <v>239415.94285714286</v>
      </c>
      <c r="W47" s="459">
        <v>7661310.1714285724</v>
      </c>
      <c r="X47" s="787">
        <v>1348304.489441846</v>
      </c>
      <c r="Y47" s="462">
        <v>13572095.928571427</v>
      </c>
      <c r="Z47" s="459">
        <v>414415.14285714284</v>
      </c>
      <c r="AA47" s="459">
        <v>13157680.785714284</v>
      </c>
      <c r="AB47" s="787">
        <v>2318841.56554766</v>
      </c>
      <c r="AC47" s="462">
        <v>6426817.5714285709</v>
      </c>
      <c r="AD47" s="459">
        <v>190895.57142857142</v>
      </c>
      <c r="AE47" s="459">
        <v>6235921.9999999991</v>
      </c>
      <c r="AF47" s="787">
        <v>1093475.199255619</v>
      </c>
      <c r="AG47" s="462">
        <v>214552.54285714286</v>
      </c>
      <c r="AH47" s="459">
        <v>6218.9142857142861</v>
      </c>
      <c r="AI47" s="459">
        <v>208333.62857142859</v>
      </c>
      <c r="AJ47" s="787">
        <v>34197.727784508228</v>
      </c>
      <c r="AK47" s="462">
        <v>4982826.1285714284</v>
      </c>
      <c r="AL47" s="459">
        <v>144429.74285714285</v>
      </c>
      <c r="AM47" s="459">
        <v>4838396.3857142851</v>
      </c>
      <c r="AN47" s="787">
        <v>794217.2545392774</v>
      </c>
      <c r="AO47" s="462">
        <v>16372433</v>
      </c>
      <c r="AP47" s="459">
        <v>467783.8</v>
      </c>
      <c r="AQ47" s="459">
        <v>15904649.199999999</v>
      </c>
      <c r="AR47" s="787">
        <v>2769803.0291782599</v>
      </c>
      <c r="AS47" s="462">
        <v>10567349</v>
      </c>
      <c r="AT47" s="862">
        <v>201282.83809523808</v>
      </c>
      <c r="AU47" s="459">
        <v>10366066.161904762</v>
      </c>
      <c r="AV47" s="863">
        <v>1245390.1931422888</v>
      </c>
      <c r="AW47" s="462"/>
      <c r="AX47" s="862"/>
      <c r="AY47" s="459"/>
      <c r="AZ47" s="863"/>
      <c r="BA47" s="811">
        <v>24109183.424690232</v>
      </c>
      <c r="BB47" s="461">
        <f>+BA47</f>
        <v>24109183.424690232</v>
      </c>
      <c r="BC47" s="417"/>
      <c r="BD47" s="852"/>
      <c r="BE47" s="852"/>
      <c r="BQ47" s="667"/>
      <c r="BR47" s="667"/>
      <c r="BS47" s="667"/>
      <c r="BT47" s="667"/>
      <c r="BU47" s="667"/>
    </row>
    <row r="48" spans="1:73" hidden="1">
      <c r="A48">
        <f t="shared" si="0"/>
        <v>33</v>
      </c>
      <c r="C48" s="419" t="str">
        <f t="shared" si="2"/>
        <v>Base FCR</v>
      </c>
      <c r="D48" s="458">
        <f t="shared" si="1"/>
        <v>2014</v>
      </c>
      <c r="E48" s="459">
        <v>12800502.300000001</v>
      </c>
      <c r="F48" s="459">
        <v>419688.6</v>
      </c>
      <c r="G48" s="459">
        <v>12380813.700000001</v>
      </c>
      <c r="H48" s="885">
        <v>1875792.5659522433</v>
      </c>
      <c r="I48" s="459">
        <v>2700647.7714285715</v>
      </c>
      <c r="J48" s="459">
        <v>88545.828571428574</v>
      </c>
      <c r="K48" s="459">
        <v>2612101.942857143</v>
      </c>
      <c r="L48" s="787">
        <v>395754.39261482796</v>
      </c>
      <c r="M48" s="462">
        <v>2107739.0999999996</v>
      </c>
      <c r="N48" s="459">
        <v>69106.2</v>
      </c>
      <c r="O48" s="459">
        <v>2038632.8999999997</v>
      </c>
      <c r="P48" s="787">
        <v>308869.23357272247</v>
      </c>
      <c r="Q48" s="462">
        <v>5773250.7000000002</v>
      </c>
      <c r="R48" s="459">
        <v>183277.8</v>
      </c>
      <c r="S48" s="459">
        <v>5589972.9000000004</v>
      </c>
      <c r="T48" s="787">
        <v>840712.91747176717</v>
      </c>
      <c r="U48" s="462">
        <v>7661310.1714285724</v>
      </c>
      <c r="V48" s="459">
        <v>239415.94285714286</v>
      </c>
      <c r="W48" s="459">
        <v>7421894.2285714298</v>
      </c>
      <c r="X48" s="787">
        <v>1112302.8049784042</v>
      </c>
      <c r="Y48" s="462">
        <v>13157680.785714284</v>
      </c>
      <c r="Z48" s="459">
        <v>414415.14285714284</v>
      </c>
      <c r="AA48" s="459">
        <v>12743265.64285714</v>
      </c>
      <c r="AB48" s="787">
        <v>1913146.9783702842</v>
      </c>
      <c r="AC48" s="462">
        <v>6235921.9999999991</v>
      </c>
      <c r="AD48" s="459">
        <v>190895.57142857142</v>
      </c>
      <c r="AE48" s="459">
        <v>6045026.4285714272</v>
      </c>
      <c r="AF48" s="787">
        <v>901849.40452994336</v>
      </c>
      <c r="AG48" s="462">
        <v>208333.62857142859</v>
      </c>
      <c r="AH48" s="459">
        <v>6218.9142857142861</v>
      </c>
      <c r="AI48" s="459">
        <v>202114.71428571432</v>
      </c>
      <c r="AJ48" s="787">
        <v>29989.568152247564</v>
      </c>
      <c r="AK48" s="462">
        <v>4838396.3857142851</v>
      </c>
      <c r="AL48" s="459">
        <v>144429.74285714285</v>
      </c>
      <c r="AM48" s="459">
        <v>4693966.6428571418</v>
      </c>
      <c r="AN48" s="787">
        <v>696485.82013353554</v>
      </c>
      <c r="AO48" s="462">
        <v>15904649.199999999</v>
      </c>
      <c r="AP48" s="459">
        <v>467783.8</v>
      </c>
      <c r="AQ48" s="459">
        <v>15436865.399999999</v>
      </c>
      <c r="AR48" s="787">
        <v>2283309.1342363888</v>
      </c>
      <c r="AS48" s="462">
        <v>10366066.161904762</v>
      </c>
      <c r="AT48" s="459">
        <v>301924.25714285712</v>
      </c>
      <c r="AU48" s="459">
        <v>10064141.904761905</v>
      </c>
      <c r="AV48" s="787">
        <v>1485565.1144016958</v>
      </c>
      <c r="AW48" s="462"/>
      <c r="AX48" s="459"/>
      <c r="AY48" s="459"/>
      <c r="AZ48" s="787"/>
      <c r="BA48" s="811">
        <v>11843777.934414061</v>
      </c>
      <c r="BB48" s="295"/>
      <c r="BC48" s="460">
        <v>11843777.934414061</v>
      </c>
      <c r="BQ48" s="667"/>
      <c r="BR48" s="667"/>
      <c r="BS48" s="667"/>
      <c r="BT48" s="667"/>
      <c r="BU48" s="667"/>
    </row>
    <row r="49" spans="1:73" hidden="1">
      <c r="A49">
        <f t="shared" si="0"/>
        <v>34</v>
      </c>
      <c r="C49" s="419" t="str">
        <f t="shared" si="2"/>
        <v>W Increased ROE</v>
      </c>
      <c r="D49" s="458">
        <f t="shared" si="1"/>
        <v>2014</v>
      </c>
      <c r="E49" s="459">
        <v>12800502.300000001</v>
      </c>
      <c r="F49" s="459">
        <v>419688.6</v>
      </c>
      <c r="G49" s="459">
        <v>12380813.700000001</v>
      </c>
      <c r="H49" s="885">
        <v>1998346.362561645</v>
      </c>
      <c r="I49" s="459">
        <v>2700647.7714285715</v>
      </c>
      <c r="J49" s="459">
        <v>88545.828571428574</v>
      </c>
      <c r="K49" s="459">
        <v>2612101.942857143</v>
      </c>
      <c r="L49" s="787">
        <v>421610.77152374701</v>
      </c>
      <c r="M49" s="462">
        <v>2107739.0999999996</v>
      </c>
      <c r="N49" s="459">
        <v>69106.2</v>
      </c>
      <c r="O49" s="459">
        <v>2038632.8999999997</v>
      </c>
      <c r="P49" s="787">
        <v>329049.02206173225</v>
      </c>
      <c r="Q49" s="462">
        <v>5773250.7000000002</v>
      </c>
      <c r="R49" s="459">
        <v>183277.8</v>
      </c>
      <c r="S49" s="459">
        <v>5589972.9000000004</v>
      </c>
      <c r="T49" s="787">
        <v>896046.30818732781</v>
      </c>
      <c r="U49" s="462">
        <v>7661310.1714285724</v>
      </c>
      <c r="V49" s="459">
        <v>239415.94285714286</v>
      </c>
      <c r="W49" s="459">
        <v>7421894.2285714298</v>
      </c>
      <c r="X49" s="787">
        <v>1185769.8110884174</v>
      </c>
      <c r="Y49" s="462">
        <v>13157680.785714284</v>
      </c>
      <c r="Z49" s="459">
        <v>414415.14285714284</v>
      </c>
      <c r="AA49" s="459">
        <v>12743265.64285714</v>
      </c>
      <c r="AB49" s="787">
        <v>2039288.5732263871</v>
      </c>
      <c r="AC49" s="462">
        <v>6235921.9999999991</v>
      </c>
      <c r="AD49" s="459">
        <v>190895.57142857142</v>
      </c>
      <c r="AE49" s="459">
        <v>6045026.4285714272</v>
      </c>
      <c r="AF49" s="787">
        <v>961687.22758236527</v>
      </c>
      <c r="AG49" s="462">
        <v>208333.62857142859</v>
      </c>
      <c r="AH49" s="459">
        <v>6218.9142857142861</v>
      </c>
      <c r="AI49" s="459">
        <v>202114.71428571432</v>
      </c>
      <c r="AJ49" s="787">
        <v>29989.568152247564</v>
      </c>
      <c r="AK49" s="462">
        <v>4838396.3857142851</v>
      </c>
      <c r="AL49" s="459">
        <v>144429.74285714285</v>
      </c>
      <c r="AM49" s="459">
        <v>4693966.6428571418</v>
      </c>
      <c r="AN49" s="787">
        <v>696485.82013353554</v>
      </c>
      <c r="AO49" s="462">
        <v>15904649.199999999</v>
      </c>
      <c r="AP49" s="459">
        <v>467783.8</v>
      </c>
      <c r="AQ49" s="459">
        <v>15436865.399999999</v>
      </c>
      <c r="AR49" s="787">
        <v>2436113.8293363811</v>
      </c>
      <c r="AS49" s="462">
        <v>10366066.161904762</v>
      </c>
      <c r="AT49" s="459">
        <v>301924.25714285712</v>
      </c>
      <c r="AU49" s="459">
        <v>10064141.904761905</v>
      </c>
      <c r="AV49" s="787">
        <v>1485565.1144016958</v>
      </c>
      <c r="AW49" s="462"/>
      <c r="AX49" s="459"/>
      <c r="AY49" s="459"/>
      <c r="AZ49" s="787"/>
      <c r="BA49" s="811">
        <v>12479952.408255482</v>
      </c>
      <c r="BB49" s="461">
        <v>12479952.408255482</v>
      </c>
      <c r="BC49" s="417"/>
      <c r="BD49" s="852"/>
      <c r="BE49" s="852"/>
      <c r="BQ49" s="667"/>
      <c r="BR49" s="667"/>
      <c r="BS49" s="667"/>
      <c r="BT49" s="667"/>
      <c r="BU49" s="667"/>
    </row>
    <row r="50" spans="1:73" hidden="1">
      <c r="A50">
        <f t="shared" si="0"/>
        <v>35</v>
      </c>
      <c r="C50" s="419" t="str">
        <f t="shared" si="2"/>
        <v>Base FCR</v>
      </c>
      <c r="D50" s="458">
        <f t="shared" si="1"/>
        <v>2015</v>
      </c>
      <c r="E50" s="459">
        <v>12380813.700000001</v>
      </c>
      <c r="F50" s="459">
        <v>419688.6</v>
      </c>
      <c r="G50" s="459">
        <v>11961125.100000001</v>
      </c>
      <c r="H50" s="885">
        <v>1790570.9998638085</v>
      </c>
      <c r="I50" s="459">
        <v>2612101.942857143</v>
      </c>
      <c r="J50" s="459">
        <v>88545.828571428574</v>
      </c>
      <c r="K50" s="459">
        <v>2523556.1142857145</v>
      </c>
      <c r="L50" s="787">
        <v>377774.3612738403</v>
      </c>
      <c r="M50" s="462">
        <v>2038632.8999999997</v>
      </c>
      <c r="N50" s="459">
        <v>69106.2</v>
      </c>
      <c r="O50" s="459">
        <v>1969526.6999999997</v>
      </c>
      <c r="P50" s="787">
        <v>294836.59463418426</v>
      </c>
      <c r="Q50" s="462">
        <v>5589972.9000000004</v>
      </c>
      <c r="R50" s="459">
        <v>183277.8</v>
      </c>
      <c r="S50" s="459">
        <v>5406695.1000000006</v>
      </c>
      <c r="T50" s="787">
        <v>802947.19498190633</v>
      </c>
      <c r="U50" s="462">
        <v>7421894.2285714298</v>
      </c>
      <c r="V50" s="459">
        <v>239415.94285714286</v>
      </c>
      <c r="W50" s="459">
        <v>7182478.2857142873</v>
      </c>
      <c r="X50" s="787">
        <v>1062610.4991359408</v>
      </c>
      <c r="Y50" s="462">
        <v>12743265.64285714</v>
      </c>
      <c r="Z50" s="459">
        <v>414415.14285714284</v>
      </c>
      <c r="AA50" s="459">
        <v>12328850.499999996</v>
      </c>
      <c r="AB50" s="787">
        <v>1827443.0996504473</v>
      </c>
      <c r="AC50" s="462">
        <v>6045026.4285714272</v>
      </c>
      <c r="AD50" s="459">
        <v>190895.57142857142</v>
      </c>
      <c r="AE50" s="459">
        <v>5854130.8571428554</v>
      </c>
      <c r="AF50" s="787">
        <v>861846.24634098168</v>
      </c>
      <c r="AG50" s="462">
        <v>202114.71428571432</v>
      </c>
      <c r="AH50" s="459">
        <v>6218.9142857142861</v>
      </c>
      <c r="AI50" s="459">
        <v>195895.80000000005</v>
      </c>
      <c r="AJ50" s="787">
        <v>28670.824301038905</v>
      </c>
      <c r="AK50" s="462">
        <v>4693966.6428571418</v>
      </c>
      <c r="AL50" s="459">
        <v>144429.74285714285</v>
      </c>
      <c r="AM50" s="459">
        <v>4549536.8999999985</v>
      </c>
      <c r="AN50" s="787">
        <v>665858.95721599518</v>
      </c>
      <c r="AO50" s="462">
        <v>15436865.399999999</v>
      </c>
      <c r="AP50" s="459">
        <v>467783.8</v>
      </c>
      <c r="AQ50" s="459">
        <v>14969081.599999998</v>
      </c>
      <c r="AR50" s="787">
        <v>2183412.5837475401</v>
      </c>
      <c r="AS50" s="462">
        <v>10064141.904761905</v>
      </c>
      <c r="AT50" s="459">
        <v>301924.25714285712</v>
      </c>
      <c r="AU50" s="459">
        <v>9762217.6476190481</v>
      </c>
      <c r="AV50" s="787">
        <v>1420786.5919879982</v>
      </c>
      <c r="AW50" s="462">
        <v>6694564.4199999999</v>
      </c>
      <c r="AX50" s="862">
        <v>111576.07366666666</v>
      </c>
      <c r="AY50" s="459">
        <v>6582988.3463333333</v>
      </c>
      <c r="AZ50" s="863">
        <v>614566.82005260792</v>
      </c>
      <c r="BA50" s="811">
        <v>11931324.773186289</v>
      </c>
      <c r="BB50" s="295"/>
      <c r="BC50" s="460">
        <v>11931324.773186289</v>
      </c>
      <c r="BQ50" s="667"/>
      <c r="BR50" s="667"/>
      <c r="BS50" s="667"/>
      <c r="BT50" s="667"/>
      <c r="BU50" s="667"/>
    </row>
    <row r="51" spans="1:73" hidden="1">
      <c r="A51">
        <f t="shared" si="0"/>
        <v>36</v>
      </c>
      <c r="C51" s="419" t="str">
        <f t="shared" si="2"/>
        <v>W Increased ROE</v>
      </c>
      <c r="D51" s="458">
        <f t="shared" si="1"/>
        <v>2015</v>
      </c>
      <c r="E51" s="459">
        <v>12380813.700000001</v>
      </c>
      <c r="F51" s="459">
        <v>419688.6</v>
      </c>
      <c r="G51" s="459">
        <v>11961125.100000001</v>
      </c>
      <c r="H51" s="885">
        <v>1910863.7187810787</v>
      </c>
      <c r="I51" s="459">
        <v>2612101.942857143</v>
      </c>
      <c r="J51" s="459">
        <v>88545.828571428574</v>
      </c>
      <c r="K51" s="459">
        <v>2523556.1142857145</v>
      </c>
      <c r="L51" s="787">
        <v>403153.69840055669</v>
      </c>
      <c r="M51" s="462">
        <v>2038632.8999999997</v>
      </c>
      <c r="N51" s="459">
        <v>69106.2</v>
      </c>
      <c r="O51" s="459">
        <v>1969526.6999999997</v>
      </c>
      <c r="P51" s="787">
        <v>314644.07258817361</v>
      </c>
      <c r="Q51" s="462">
        <v>5589972.9000000004</v>
      </c>
      <c r="R51" s="459">
        <v>183277.8</v>
      </c>
      <c r="S51" s="459">
        <v>5406695.1000000006</v>
      </c>
      <c r="T51" s="787">
        <v>857322.18466708926</v>
      </c>
      <c r="U51" s="462">
        <v>7421894.2285714298</v>
      </c>
      <c r="V51" s="459">
        <v>239415.94285714286</v>
      </c>
      <c r="W51" s="459">
        <v>7182478.2857142873</v>
      </c>
      <c r="X51" s="787">
        <v>1134844.493373893</v>
      </c>
      <c r="Y51" s="462">
        <v>12743265.64285714</v>
      </c>
      <c r="Z51" s="459">
        <v>414415.14285714284</v>
      </c>
      <c r="AA51" s="459">
        <v>12328850.499999996</v>
      </c>
      <c r="AB51" s="787">
        <v>1951434.0231940481</v>
      </c>
      <c r="AC51" s="462">
        <v>6045026.4285714272</v>
      </c>
      <c r="AD51" s="459">
        <v>190895.57142857142</v>
      </c>
      <c r="AE51" s="459">
        <v>5854130.8571428554</v>
      </c>
      <c r="AF51" s="787">
        <v>920721.08560699713</v>
      </c>
      <c r="AG51" s="462">
        <v>202114.71428571432</v>
      </c>
      <c r="AH51" s="459">
        <v>6218.9142857142861</v>
      </c>
      <c r="AI51" s="459">
        <v>195895.80000000005</v>
      </c>
      <c r="AJ51" s="787">
        <v>28670.824301038905</v>
      </c>
      <c r="AK51" s="462">
        <v>4693966.6428571418</v>
      </c>
      <c r="AL51" s="459">
        <v>144429.74285714285</v>
      </c>
      <c r="AM51" s="459">
        <v>4549536.8999999985</v>
      </c>
      <c r="AN51" s="787">
        <v>665858.95721599518</v>
      </c>
      <c r="AO51" s="462">
        <v>15436865.399999999</v>
      </c>
      <c r="AP51" s="459">
        <v>467783.8</v>
      </c>
      <c r="AQ51" s="459">
        <v>14969081.599999998</v>
      </c>
      <c r="AR51" s="787">
        <v>2333956.2416646769</v>
      </c>
      <c r="AS51" s="462">
        <v>10064141.904761905</v>
      </c>
      <c r="AT51" s="459">
        <v>301924.25714285712</v>
      </c>
      <c r="AU51" s="459">
        <v>9762217.6476190481</v>
      </c>
      <c r="AV51" s="787">
        <v>1420786.5919879982</v>
      </c>
      <c r="AW51" s="462">
        <v>6694564.4199999999</v>
      </c>
      <c r="AX51" s="862">
        <v>111576.07366666666</v>
      </c>
      <c r="AY51" s="459">
        <v>6582988.3463333333</v>
      </c>
      <c r="AZ51" s="863">
        <v>614566.82005260792</v>
      </c>
      <c r="BA51" s="811">
        <v>12556822.711834155</v>
      </c>
      <c r="BB51" s="461">
        <v>12556822.711834155</v>
      </c>
      <c r="BC51" s="417"/>
      <c r="BD51" s="852"/>
      <c r="BE51" s="852"/>
      <c r="BQ51" s="667"/>
      <c r="BR51" s="667"/>
      <c r="BS51" s="667"/>
      <c r="BT51" s="667"/>
      <c r="BU51" s="667"/>
    </row>
    <row r="52" spans="1:73">
      <c r="A52">
        <f t="shared" si="0"/>
        <v>37</v>
      </c>
      <c r="C52" s="419" t="str">
        <f t="shared" si="2"/>
        <v>Base FCR</v>
      </c>
      <c r="D52" s="458">
        <f t="shared" si="1"/>
        <v>2016</v>
      </c>
      <c r="E52" s="459">
        <f>+G51</f>
        <v>11961125.100000001</v>
      </c>
      <c r="F52" s="459">
        <f>+E$32</f>
        <v>419688.6</v>
      </c>
      <c r="G52" s="459">
        <f t="shared" ref="G52:G75" si="3">+E52-F52</f>
        <v>11541436.500000002</v>
      </c>
      <c r="H52" s="885">
        <f>+E$29*G52+F52</f>
        <v>1662952.5082520144</v>
      </c>
      <c r="I52" s="459">
        <f>+K51</f>
        <v>2523556.1142857145</v>
      </c>
      <c r="J52" s="459">
        <f>+I$32</f>
        <v>88545.828571428574</v>
      </c>
      <c r="K52" s="459">
        <f t="shared" ref="K52:K75" si="4">+I52-J52</f>
        <v>2435010.2857142859</v>
      </c>
      <c r="L52" s="787">
        <f>+I$29*K52+J52</f>
        <v>350849.43388529017</v>
      </c>
      <c r="M52" s="462">
        <f>+O51</f>
        <v>1969526.6999999997</v>
      </c>
      <c r="N52" s="459">
        <f>+M$32</f>
        <v>69106.2</v>
      </c>
      <c r="O52" s="459">
        <f t="shared" ref="O52:O75" si="5">+M52-N52</f>
        <v>1900420.4999999998</v>
      </c>
      <c r="P52" s="787">
        <f>+M$29*O52+N52</f>
        <v>273822.85014595423</v>
      </c>
      <c r="Q52" s="462">
        <f>+S51</f>
        <v>5406695.1000000006</v>
      </c>
      <c r="R52" s="459">
        <f>+Q$32</f>
        <v>183277.8</v>
      </c>
      <c r="S52" s="459">
        <f t="shared" ref="S52:S75" si="6">+Q52-R52</f>
        <v>5223417.3000000007</v>
      </c>
      <c r="T52" s="787">
        <f>+Q$29*S52+R52</f>
        <v>745953.52990842029</v>
      </c>
      <c r="U52" s="462">
        <f>+W51</f>
        <v>7182478.2857142873</v>
      </c>
      <c r="V52" s="459">
        <f>+U$32</f>
        <v>239415.94285714286</v>
      </c>
      <c r="W52" s="459">
        <f t="shared" ref="W52:W75" si="7">+U52-V52</f>
        <v>6943062.3428571448</v>
      </c>
      <c r="X52" s="787">
        <f>+U$29*W52+V52</f>
        <v>987334.87163329299</v>
      </c>
      <c r="Y52" s="462">
        <f>+AA51</f>
        <v>12328850.499999996</v>
      </c>
      <c r="Z52" s="459">
        <f>+Y$32</f>
        <v>414415.14285714284</v>
      </c>
      <c r="AA52" s="459">
        <f t="shared" ref="AA52:AA75" si="8">+Y52-Z52</f>
        <v>11914435.357142853</v>
      </c>
      <c r="AB52" s="787">
        <f>+Y$29*AA52+Z52</f>
        <v>1697859.1462736502</v>
      </c>
      <c r="AC52" s="462">
        <f>+AE51</f>
        <v>5854130.8571428554</v>
      </c>
      <c r="AD52" s="459">
        <f>+AC$32</f>
        <v>190895.57142857142</v>
      </c>
      <c r="AE52" s="459">
        <f t="shared" ref="AE52:AE75" si="9">+AC52-AD52</f>
        <v>5663235.2857142836</v>
      </c>
      <c r="AF52" s="787">
        <f>+AC$29*AE52+AD52</f>
        <v>800949.27095443662</v>
      </c>
      <c r="AG52" s="462">
        <f>+AI51</f>
        <v>195895.80000000005</v>
      </c>
      <c r="AH52" s="459">
        <f>+AG$32</f>
        <v>6218.9142857142861</v>
      </c>
      <c r="AI52" s="459">
        <f t="shared" ref="AI52:AI75" si="10">+AG52-AH52</f>
        <v>189676.88571428577</v>
      </c>
      <c r="AJ52" s="787">
        <f>+AG$29*AI52+AH52</f>
        <v>26651.243159006062</v>
      </c>
      <c r="AK52" s="462">
        <f>+AM51</f>
        <v>4549536.8999999985</v>
      </c>
      <c r="AL52" s="459">
        <f>+AK$32</f>
        <v>144429.74285714285</v>
      </c>
      <c r="AM52" s="459">
        <f t="shared" ref="AM52:AM75" si="11">+AK52-AL52</f>
        <v>4405107.1571428552</v>
      </c>
      <c r="AN52" s="787">
        <f>+AK$29*AM52+AL52</f>
        <v>618955.66001297918</v>
      </c>
      <c r="AO52" s="462">
        <f>+AQ51</f>
        <v>14969081.599999998</v>
      </c>
      <c r="AP52" s="459">
        <f>+AO$32</f>
        <v>467783.8</v>
      </c>
      <c r="AQ52" s="459">
        <f t="shared" ref="AQ52:AQ75" si="12">+AO52-AP52</f>
        <v>14501297.799999997</v>
      </c>
      <c r="AR52" s="787">
        <f>+AO$29*AQ52+AP52</f>
        <v>2029889.191088391</v>
      </c>
      <c r="AS52" s="462">
        <f>+AU51</f>
        <v>9762217.6476190481</v>
      </c>
      <c r="AT52" s="459">
        <f>+AS$32</f>
        <v>301924.25714285712</v>
      </c>
      <c r="AU52" s="459">
        <f t="shared" ref="AU52:AU75" si="13">+AS52-AT52</f>
        <v>9460293.3904761914</v>
      </c>
      <c r="AV52" s="787">
        <f>+AS$29*AU52+AT52</f>
        <v>1321003.7568094824</v>
      </c>
      <c r="AW52" s="462">
        <f>+AY51</f>
        <v>6582988.3463333333</v>
      </c>
      <c r="AX52" s="459">
        <f>+AW$32</f>
        <v>207049.8</v>
      </c>
      <c r="AY52" s="459">
        <f t="shared" ref="AY52:AY75" si="14">+AW52-AX52</f>
        <v>6375938.5463333335</v>
      </c>
      <c r="AZ52" s="787">
        <f>+AW$29*AY52+AX52</f>
        <v>893877.15254740999</v>
      </c>
      <c r="BA52" s="811">
        <f t="shared" ref="BA52:BA75" si="15">H52+L52+P52+T52+X52+AB52+AF52+AJ52+AN52+AR52+AV52</f>
        <v>10516221.462122917</v>
      </c>
      <c r="BB52" s="295"/>
      <c r="BC52" s="460">
        <f>+BA52</f>
        <v>10516221.462122917</v>
      </c>
      <c r="BQ52" s="667"/>
      <c r="BR52" s="667"/>
      <c r="BS52" s="667"/>
      <c r="BT52" s="667"/>
      <c r="BU52" s="667"/>
    </row>
    <row r="53" spans="1:73">
      <c r="A53">
        <f t="shared" si="0"/>
        <v>38</v>
      </c>
      <c r="C53" s="419" t="str">
        <f t="shared" si="2"/>
        <v>W Increased ROE</v>
      </c>
      <c r="D53" s="458">
        <f t="shared" si="1"/>
        <v>2016</v>
      </c>
      <c r="E53" s="459">
        <f>+E52</f>
        <v>11961125.100000001</v>
      </c>
      <c r="F53" s="459">
        <f>+F52</f>
        <v>419688.6</v>
      </c>
      <c r="G53" s="459">
        <f t="shared" si="3"/>
        <v>11541436.500000002</v>
      </c>
      <c r="H53" s="885">
        <f>+E$30*G53+F53</f>
        <v>1770336.1687158947</v>
      </c>
      <c r="I53" s="459">
        <f>+I52</f>
        <v>2523556.1142857145</v>
      </c>
      <c r="J53" s="459">
        <f>+J52</f>
        <v>88545.828571428574</v>
      </c>
      <c r="K53" s="459">
        <f t="shared" si="4"/>
        <v>2435010.2857142859</v>
      </c>
      <c r="L53" s="787">
        <f>+I$30*K53+J53</f>
        <v>373505.22008202574</v>
      </c>
      <c r="M53" s="462">
        <f>+M52</f>
        <v>1969526.6999999997</v>
      </c>
      <c r="N53" s="459">
        <f>+N52</f>
        <v>69106.2</v>
      </c>
      <c r="O53" s="459">
        <f t="shared" si="5"/>
        <v>1900420.4999999998</v>
      </c>
      <c r="P53" s="787">
        <f>+M$30*O53+N53</f>
        <v>291504.71407256322</v>
      </c>
      <c r="Q53" s="462">
        <f>+Q52</f>
        <v>5406695.1000000006</v>
      </c>
      <c r="R53" s="459">
        <f>+R52</f>
        <v>183277.8</v>
      </c>
      <c r="S53" s="459">
        <f t="shared" si="6"/>
        <v>5223417.3000000007</v>
      </c>
      <c r="T53" s="787">
        <f>+Q$30*S53+R53</f>
        <v>794553.17084604199</v>
      </c>
      <c r="U53" s="462">
        <f>+U52</f>
        <v>7182478.2857142873</v>
      </c>
      <c r="V53" s="459">
        <f>+V52</f>
        <v>239415.94285714286</v>
      </c>
      <c r="W53" s="459">
        <f t="shared" si="7"/>
        <v>6943062.3428571448</v>
      </c>
      <c r="X53" s="787">
        <f>+U$30*W53+V53</f>
        <v>1051934.4081992072</v>
      </c>
      <c r="Y53" s="462">
        <f>+Y52</f>
        <v>12328850.499999996</v>
      </c>
      <c r="Z53" s="459">
        <f>+Z52</f>
        <v>414415.14285714284</v>
      </c>
      <c r="AA53" s="459">
        <f t="shared" si="8"/>
        <v>11914435.357142853</v>
      </c>
      <c r="AB53" s="787">
        <f>+Y$30*AA53+Z53</f>
        <v>1808713.2571124774</v>
      </c>
      <c r="AC53" s="462">
        <f>+AC52</f>
        <v>5854130.8571428554</v>
      </c>
      <c r="AD53" s="459">
        <f>+AD52</f>
        <v>190895.57142857142</v>
      </c>
      <c r="AE53" s="459">
        <f t="shared" si="9"/>
        <v>5663235.2857142836</v>
      </c>
      <c r="AF53" s="787">
        <f>+AC$30*AE53+AD53</f>
        <v>853641.05980136292</v>
      </c>
      <c r="AG53" s="462">
        <f>+AG52</f>
        <v>195895.80000000005</v>
      </c>
      <c r="AH53" s="459">
        <f>+AH52</f>
        <v>6218.9142857142861</v>
      </c>
      <c r="AI53" s="459">
        <f t="shared" si="10"/>
        <v>189676.88571428577</v>
      </c>
      <c r="AJ53" s="787">
        <f>+AG$30*AI53+AH53</f>
        <v>26651.243159006062</v>
      </c>
      <c r="AK53" s="462">
        <f>+AK52</f>
        <v>4549536.8999999985</v>
      </c>
      <c r="AL53" s="459">
        <f>+AL52</f>
        <v>144429.74285714285</v>
      </c>
      <c r="AM53" s="459">
        <f t="shared" si="11"/>
        <v>4405107.1571428552</v>
      </c>
      <c r="AN53" s="787">
        <f>+AK$30*AM53+AL53</f>
        <v>618955.66001297918</v>
      </c>
      <c r="AO53" s="462">
        <f>+AO52</f>
        <v>14969081.599999998</v>
      </c>
      <c r="AP53" s="459">
        <f>+AP52</f>
        <v>467783.8</v>
      </c>
      <c r="AQ53" s="459">
        <f t="shared" si="12"/>
        <v>14501297.799999997</v>
      </c>
      <c r="AR53" s="787">
        <f>+AO$30*AQ53+AP53</f>
        <v>2164811.9486880032</v>
      </c>
      <c r="AS53" s="462">
        <f>+AS52</f>
        <v>9762217.6476190481</v>
      </c>
      <c r="AT53" s="459">
        <f>+AT52</f>
        <v>301924.25714285712</v>
      </c>
      <c r="AU53" s="459">
        <f t="shared" si="13"/>
        <v>9460293.3904761914</v>
      </c>
      <c r="AV53" s="787">
        <f>+AS$30*AU53+AT53</f>
        <v>1321003.7568094824</v>
      </c>
      <c r="AW53" s="462">
        <f>+AW52</f>
        <v>6582988.3463333333</v>
      </c>
      <c r="AX53" s="459">
        <f>+AX52</f>
        <v>207049.8</v>
      </c>
      <c r="AY53" s="459">
        <f t="shared" si="14"/>
        <v>6375938.5463333335</v>
      </c>
      <c r="AZ53" s="787">
        <f>+AW$30*AY53+AX53</f>
        <v>893877.15254740999</v>
      </c>
      <c r="BA53" s="811">
        <f t="shared" si="15"/>
        <v>11075610.607499043</v>
      </c>
      <c r="BB53" s="461">
        <f>+BA53</f>
        <v>11075610.607499043</v>
      </c>
      <c r="BC53" s="417"/>
      <c r="BD53" s="852"/>
      <c r="BQ53" s="667"/>
      <c r="BR53" s="667"/>
      <c r="BS53" s="667"/>
      <c r="BT53" s="667"/>
      <c r="BU53" s="667"/>
    </row>
    <row r="54" spans="1:73">
      <c r="A54">
        <f t="shared" si="0"/>
        <v>39</v>
      </c>
      <c r="C54" s="419" t="str">
        <f t="shared" si="2"/>
        <v>Base FCR</v>
      </c>
      <c r="D54" s="458">
        <f t="shared" si="1"/>
        <v>2017</v>
      </c>
      <c r="E54" s="459">
        <f>+G53</f>
        <v>11541436.500000002</v>
      </c>
      <c r="F54" s="459">
        <f>+E$32</f>
        <v>419688.6</v>
      </c>
      <c r="G54" s="459">
        <f t="shared" si="3"/>
        <v>11121747.900000002</v>
      </c>
      <c r="H54" s="885">
        <f>+E$29*G54+F54</f>
        <v>1617742.9115883047</v>
      </c>
      <c r="I54" s="459">
        <f>+K53</f>
        <v>2435010.2857142859</v>
      </c>
      <c r="J54" s="459">
        <f>+I$32</f>
        <v>88545.828571428574</v>
      </c>
      <c r="K54" s="459">
        <f t="shared" si="4"/>
        <v>2346464.4571428574</v>
      </c>
      <c r="L54" s="787">
        <f>+I$29*K54+J54</f>
        <v>341311.12096478615</v>
      </c>
      <c r="M54" s="462">
        <f>+O53</f>
        <v>1900420.4999999998</v>
      </c>
      <c r="N54" s="459">
        <f>+M$32</f>
        <v>69106.2</v>
      </c>
      <c r="O54" s="459">
        <f t="shared" si="5"/>
        <v>1831314.2999999998</v>
      </c>
      <c r="P54" s="787">
        <f>+M$29*O54+N54</f>
        <v>266378.60832246498</v>
      </c>
      <c r="Q54" s="462">
        <f>+S53</f>
        <v>5223417.3000000007</v>
      </c>
      <c r="R54" s="459">
        <f>+Q$32</f>
        <v>183277.8</v>
      </c>
      <c r="S54" s="459">
        <f t="shared" si="6"/>
        <v>5040139.5000000009</v>
      </c>
      <c r="T54" s="787">
        <f>+Q$29*S54+R54</f>
        <v>726210.52184145828</v>
      </c>
      <c r="U54" s="462">
        <f>+W53</f>
        <v>6943062.3428571448</v>
      </c>
      <c r="V54" s="459">
        <f>+U$32</f>
        <v>239415.94285714286</v>
      </c>
      <c r="W54" s="459">
        <f t="shared" si="7"/>
        <v>6703646.4000000022</v>
      </c>
      <c r="X54" s="787">
        <f>+U$29*W54+V54</f>
        <v>961544.56374446035</v>
      </c>
      <c r="Y54" s="462">
        <f>+AA53</f>
        <v>11914435.357142853</v>
      </c>
      <c r="Z54" s="459">
        <f>+Y$32</f>
        <v>414415.14285714284</v>
      </c>
      <c r="AA54" s="459">
        <f t="shared" si="8"/>
        <v>11500020.214285709</v>
      </c>
      <c r="AB54" s="787">
        <f>+Y$29*AA54+Z54</f>
        <v>1653217.6157200327</v>
      </c>
      <c r="AC54" s="462">
        <f>+AE53</f>
        <v>5663235.2857142836</v>
      </c>
      <c r="AD54" s="459">
        <f>+AC$32</f>
        <v>190895.57142857142</v>
      </c>
      <c r="AE54" s="459">
        <f t="shared" si="9"/>
        <v>5472339.7142857118</v>
      </c>
      <c r="AF54" s="787">
        <f>+AC$29*AE54+AD54</f>
        <v>780385.6631052501</v>
      </c>
      <c r="AG54" s="462">
        <f>+AI53</f>
        <v>189676.88571428577</v>
      </c>
      <c r="AH54" s="459">
        <f>+AG$32</f>
        <v>6218.9142857142861</v>
      </c>
      <c r="AI54" s="459">
        <f t="shared" si="10"/>
        <v>183457.9714285715</v>
      </c>
      <c r="AJ54" s="787">
        <f>+AG$29*AI54+AH54</f>
        <v>25981.330736930922</v>
      </c>
      <c r="AK54" s="462">
        <f>+AM53</f>
        <v>4405107.1571428552</v>
      </c>
      <c r="AL54" s="459">
        <f>+AK$32</f>
        <v>144429.74285714285</v>
      </c>
      <c r="AM54" s="459">
        <f t="shared" si="11"/>
        <v>4260677.4142857119</v>
      </c>
      <c r="AN54" s="787">
        <f>+AK$29*AM54+AL54</f>
        <v>603397.43322098453</v>
      </c>
      <c r="AO54" s="462">
        <f>+AQ53</f>
        <v>14501297.799999997</v>
      </c>
      <c r="AP54" s="459">
        <f>+AO$32</f>
        <v>467783.8</v>
      </c>
      <c r="AQ54" s="459">
        <f t="shared" si="12"/>
        <v>14033513.999999996</v>
      </c>
      <c r="AR54" s="787">
        <f>+AO$29*AQ54+AP54</f>
        <v>1979498.6946016687</v>
      </c>
      <c r="AS54" s="462">
        <f>+AU53</f>
        <v>9460293.3904761914</v>
      </c>
      <c r="AT54" s="459">
        <f>+AS$32</f>
        <v>301924.25714285712</v>
      </c>
      <c r="AU54" s="459">
        <f t="shared" si="13"/>
        <v>9158369.1333333347</v>
      </c>
      <c r="AV54" s="787">
        <f>+AS$29*AU54+AT54</f>
        <v>1288479.9429903349</v>
      </c>
      <c r="AW54" s="462">
        <f>+AY53</f>
        <v>6375938.5463333335</v>
      </c>
      <c r="AX54" s="459">
        <f>+AW$32</f>
        <v>207049.8</v>
      </c>
      <c r="AY54" s="459">
        <f t="shared" si="14"/>
        <v>6168888.7463333337</v>
      </c>
      <c r="AZ54" s="787">
        <f>+AW$29*AY54+AX54</f>
        <v>871573.38268732396</v>
      </c>
      <c r="BA54" s="811">
        <f t="shared" si="15"/>
        <v>10244148.406836675</v>
      </c>
      <c r="BB54" s="295"/>
      <c r="BC54" s="460">
        <f>+BA54</f>
        <v>10244148.406836675</v>
      </c>
      <c r="BQ54" s="667"/>
      <c r="BR54" s="667"/>
      <c r="BS54" s="667"/>
      <c r="BT54" s="667"/>
      <c r="BU54" s="667"/>
    </row>
    <row r="55" spans="1:73">
      <c r="A55">
        <f t="shared" si="0"/>
        <v>40</v>
      </c>
      <c r="C55" s="419" t="str">
        <f t="shared" si="2"/>
        <v>W Increased ROE</v>
      </c>
      <c r="D55" s="458">
        <f t="shared" si="1"/>
        <v>2017</v>
      </c>
      <c r="E55" s="459">
        <f>+E54</f>
        <v>11541436.500000002</v>
      </c>
      <c r="F55" s="459">
        <f>+F54</f>
        <v>419688.6</v>
      </c>
      <c r="G55" s="459">
        <f t="shared" si="3"/>
        <v>11121747.900000002</v>
      </c>
      <c r="H55" s="885">
        <f>+E$30*G55+F55</f>
        <v>1721221.7116716807</v>
      </c>
      <c r="I55" s="459">
        <f>+I54</f>
        <v>2435010.2857142859</v>
      </c>
      <c r="J55" s="459">
        <f>+J54</f>
        <v>88545.828571428574</v>
      </c>
      <c r="K55" s="459">
        <f t="shared" si="4"/>
        <v>2346464.4571428574</v>
      </c>
      <c r="L55" s="787">
        <f>+I$30*K55+J55</f>
        <v>363143.06039073132</v>
      </c>
      <c r="M55" s="462">
        <f>+M54</f>
        <v>1900420.4999999998</v>
      </c>
      <c r="N55" s="459">
        <f>+N54</f>
        <v>69106.2</v>
      </c>
      <c r="O55" s="459">
        <f t="shared" si="5"/>
        <v>1831314.2999999998</v>
      </c>
      <c r="P55" s="787">
        <f>+M$30*O55+N55</f>
        <v>283417.49537901545</v>
      </c>
      <c r="Q55" s="462">
        <f>+Q54</f>
        <v>5223417.3000000007</v>
      </c>
      <c r="R55" s="459">
        <f>+R54</f>
        <v>183277.8</v>
      </c>
      <c r="S55" s="459">
        <f t="shared" si="6"/>
        <v>5040139.5000000009</v>
      </c>
      <c r="T55" s="787">
        <f>+Q$30*S55+R55</f>
        <v>773104.91221986501</v>
      </c>
      <c r="U55" s="462">
        <f>+U54</f>
        <v>6943062.3428571448</v>
      </c>
      <c r="V55" s="459">
        <f>+V54</f>
        <v>239415.94285714286</v>
      </c>
      <c r="W55" s="459">
        <f t="shared" si="7"/>
        <v>6703646.4000000022</v>
      </c>
      <c r="X55" s="787">
        <f>+U$30*W55+V55</f>
        <v>1023916.5300839636</v>
      </c>
      <c r="Y55" s="462">
        <f>+Y54</f>
        <v>11914435.357142853</v>
      </c>
      <c r="Z55" s="459">
        <f>+Z54</f>
        <v>414415.14285714284</v>
      </c>
      <c r="AA55" s="459">
        <f t="shared" si="8"/>
        <v>11500020.214285709</v>
      </c>
      <c r="AB55" s="787">
        <f>+Y$30*AA55+Z55</f>
        <v>1760215.9313992481</v>
      </c>
      <c r="AC55" s="462">
        <f>+AC54</f>
        <v>5663235.2857142836</v>
      </c>
      <c r="AD55" s="459">
        <f>+AD54</f>
        <v>190895.57142857142</v>
      </c>
      <c r="AE55" s="459">
        <f t="shared" si="9"/>
        <v>5472339.7142857118</v>
      </c>
      <c r="AF55" s="787">
        <f>+AC$30*AE55+AD55</f>
        <v>831301.32423823513</v>
      </c>
      <c r="AG55" s="462">
        <f>+AG54</f>
        <v>189676.88571428577</v>
      </c>
      <c r="AH55" s="459">
        <f>+AH54</f>
        <v>6218.9142857142861</v>
      </c>
      <c r="AI55" s="459">
        <f t="shared" si="10"/>
        <v>183457.9714285715</v>
      </c>
      <c r="AJ55" s="787">
        <f>+AG$30*AI55+AH55</f>
        <v>25981.330736930922</v>
      </c>
      <c r="AK55" s="462">
        <f>+AK54</f>
        <v>4405107.1571428552</v>
      </c>
      <c r="AL55" s="459">
        <f>+AL54</f>
        <v>144429.74285714285</v>
      </c>
      <c r="AM55" s="459">
        <f t="shared" si="11"/>
        <v>4260677.4142857119</v>
      </c>
      <c r="AN55" s="787">
        <f>+AK$30*AM55+AL55</f>
        <v>603397.43322098453</v>
      </c>
      <c r="AO55" s="462">
        <f>+AO54</f>
        <v>14501297.799999997</v>
      </c>
      <c r="AP55" s="459">
        <f>+AP54</f>
        <v>467783.8</v>
      </c>
      <c r="AQ55" s="459">
        <f t="shared" si="12"/>
        <v>14033513.999999996</v>
      </c>
      <c r="AR55" s="787">
        <f>+AO$30*AQ55+AP55</f>
        <v>2110069.1051819385</v>
      </c>
      <c r="AS55" s="462">
        <f>+AS54</f>
        <v>9460293.3904761914</v>
      </c>
      <c r="AT55" s="459">
        <f>+AT54</f>
        <v>301924.25714285712</v>
      </c>
      <c r="AU55" s="459">
        <f t="shared" si="13"/>
        <v>9158369.1333333347</v>
      </c>
      <c r="AV55" s="787">
        <f>+AS$30*AU55+AT55</f>
        <v>1288479.9429903349</v>
      </c>
      <c r="AW55" s="462">
        <f>+AW54</f>
        <v>6375938.5463333335</v>
      </c>
      <c r="AX55" s="459">
        <f>+AX54</f>
        <v>207049.8</v>
      </c>
      <c r="AY55" s="459">
        <f t="shared" si="14"/>
        <v>6168888.7463333337</v>
      </c>
      <c r="AZ55" s="787">
        <f>+AW$30*AY55+AX55</f>
        <v>871573.38268732396</v>
      </c>
      <c r="BA55" s="811">
        <f t="shared" si="15"/>
        <v>10784248.777512928</v>
      </c>
      <c r="BB55" s="461">
        <f>+BA55</f>
        <v>10784248.777512928</v>
      </c>
      <c r="BC55" s="417"/>
      <c r="BQ55" s="667"/>
      <c r="BR55" s="667"/>
      <c r="BS55" s="667"/>
      <c r="BT55" s="667"/>
      <c r="BU55" s="667"/>
    </row>
    <row r="56" spans="1:73">
      <c r="A56">
        <f t="shared" si="0"/>
        <v>41</v>
      </c>
      <c r="C56" s="419" t="str">
        <f t="shared" si="2"/>
        <v>Base FCR</v>
      </c>
      <c r="D56" s="458">
        <f t="shared" si="1"/>
        <v>2018</v>
      </c>
      <c r="E56" s="459">
        <f>+G55</f>
        <v>11121747.900000002</v>
      </c>
      <c r="F56" s="459">
        <f>+E$32</f>
        <v>419688.6</v>
      </c>
      <c r="G56" s="459">
        <f t="shared" si="3"/>
        <v>10702059.300000003</v>
      </c>
      <c r="H56" s="885">
        <f>+E$29*G56+F56</f>
        <v>1572533.3149245954</v>
      </c>
      <c r="I56" s="459">
        <f>+K55</f>
        <v>2346464.4571428574</v>
      </c>
      <c r="J56" s="459">
        <f>+I$32</f>
        <v>88545.828571428574</v>
      </c>
      <c r="K56" s="459">
        <f t="shared" si="4"/>
        <v>2257918.6285714288</v>
      </c>
      <c r="L56" s="787">
        <f>+I$29*K56+J56</f>
        <v>331772.80804428214</v>
      </c>
      <c r="M56" s="462">
        <f>+O55</f>
        <v>1831314.2999999998</v>
      </c>
      <c r="N56" s="459">
        <f>+M$32</f>
        <v>69106.2</v>
      </c>
      <c r="O56" s="459">
        <f t="shared" si="5"/>
        <v>1762208.0999999999</v>
      </c>
      <c r="P56" s="787">
        <f>+M$29*O56+N56</f>
        <v>258934.36649897578</v>
      </c>
      <c r="Q56" s="462">
        <f>+S55</f>
        <v>5040139.5000000009</v>
      </c>
      <c r="R56" s="459">
        <f>+Q$32</f>
        <v>183277.8</v>
      </c>
      <c r="S56" s="459">
        <f t="shared" si="6"/>
        <v>4856861.7000000011</v>
      </c>
      <c r="T56" s="787">
        <f>+Q$29*S56+R56</f>
        <v>706467.51377449615</v>
      </c>
      <c r="U56" s="462">
        <f>+W55</f>
        <v>6703646.4000000022</v>
      </c>
      <c r="V56" s="459">
        <f>+U$32</f>
        <v>239415.94285714286</v>
      </c>
      <c r="W56" s="459">
        <f t="shared" si="7"/>
        <v>6464230.4571428597</v>
      </c>
      <c r="X56" s="787">
        <f>+U$29*W56+V56</f>
        <v>935754.25585562759</v>
      </c>
      <c r="Y56" s="462">
        <f>+AA55</f>
        <v>11500020.214285709</v>
      </c>
      <c r="Z56" s="459">
        <f>+Y$32</f>
        <v>414415.14285714284</v>
      </c>
      <c r="AA56" s="459">
        <f t="shared" si="8"/>
        <v>11085605.071428565</v>
      </c>
      <c r="AB56" s="787">
        <f>+Y$29*AA56+Z56</f>
        <v>1608576.0851664147</v>
      </c>
      <c r="AC56" s="462">
        <f>+AE55</f>
        <v>5472339.7142857118</v>
      </c>
      <c r="AD56" s="459">
        <f>+AC$32</f>
        <v>190895.57142857142</v>
      </c>
      <c r="AE56" s="459">
        <f t="shared" si="9"/>
        <v>5281444.1428571399</v>
      </c>
      <c r="AF56" s="787">
        <f>+AC$29*AE56+AD56</f>
        <v>759822.05525606358</v>
      </c>
      <c r="AG56" s="462">
        <f>+AI55</f>
        <v>183457.9714285715</v>
      </c>
      <c r="AH56" s="459">
        <f>+AG$32</f>
        <v>6218.9142857142861</v>
      </c>
      <c r="AI56" s="459">
        <f t="shared" si="10"/>
        <v>177239.05714285723</v>
      </c>
      <c r="AJ56" s="787">
        <f>+AG$29*AI56+AH56</f>
        <v>25311.418314855786</v>
      </c>
      <c r="AK56" s="462">
        <f>+AM55</f>
        <v>4260677.4142857119</v>
      </c>
      <c r="AL56" s="459">
        <f>+AK$32</f>
        <v>144429.74285714285</v>
      </c>
      <c r="AM56" s="459">
        <f t="shared" si="11"/>
        <v>4116247.6714285691</v>
      </c>
      <c r="AN56" s="787">
        <f>+AK$29*AM56+AL56</f>
        <v>587839.20642898988</v>
      </c>
      <c r="AO56" s="462">
        <f>+AQ55</f>
        <v>14033513.999999996</v>
      </c>
      <c r="AP56" s="459">
        <f>+AO$32</f>
        <v>467783.8</v>
      </c>
      <c r="AQ56" s="459">
        <f t="shared" si="12"/>
        <v>13565730.199999996</v>
      </c>
      <c r="AR56" s="787">
        <f>+AO$29*AQ56+AP56</f>
        <v>1929108.1981149463</v>
      </c>
      <c r="AS56" s="462">
        <f>+AU55</f>
        <v>9158369.1333333347</v>
      </c>
      <c r="AT56" s="459">
        <f>+AS$32</f>
        <v>301924.25714285712</v>
      </c>
      <c r="AU56" s="459">
        <f t="shared" si="13"/>
        <v>8856444.876190478</v>
      </c>
      <c r="AV56" s="787">
        <f>+AS$29*AU56+AT56</f>
        <v>1255956.1291711873</v>
      </c>
      <c r="AW56" s="462">
        <f>+AY55</f>
        <v>6168888.7463333337</v>
      </c>
      <c r="AX56" s="459">
        <f>+AW$32</f>
        <v>207049.8</v>
      </c>
      <c r="AY56" s="459">
        <f t="shared" si="14"/>
        <v>5961838.9463333338</v>
      </c>
      <c r="AZ56" s="787">
        <f>+AW$29*AY56+AX56</f>
        <v>849269.6128272377</v>
      </c>
      <c r="BA56" s="811">
        <f t="shared" si="15"/>
        <v>9972075.3515504338</v>
      </c>
      <c r="BB56" s="295"/>
      <c r="BC56" s="460">
        <f>+BA56</f>
        <v>9972075.3515504338</v>
      </c>
      <c r="BQ56" s="667"/>
      <c r="BR56" s="667"/>
      <c r="BS56" s="667"/>
      <c r="BT56" s="667"/>
      <c r="BU56" s="667"/>
    </row>
    <row r="57" spans="1:73">
      <c r="A57">
        <f t="shared" si="0"/>
        <v>42</v>
      </c>
      <c r="C57" s="419" t="str">
        <f t="shared" si="2"/>
        <v>W Increased ROE</v>
      </c>
      <c r="D57" s="458">
        <f t="shared" si="1"/>
        <v>2018</v>
      </c>
      <c r="E57" s="459">
        <f>+E56</f>
        <v>11121747.900000002</v>
      </c>
      <c r="F57" s="459">
        <f>+F56</f>
        <v>419688.6</v>
      </c>
      <c r="G57" s="459">
        <f t="shared" si="3"/>
        <v>10702059.300000003</v>
      </c>
      <c r="H57" s="885">
        <f>+E$30*G57+F57</f>
        <v>1672107.2546274662</v>
      </c>
      <c r="I57" s="459">
        <f>+I56</f>
        <v>2346464.4571428574</v>
      </c>
      <c r="J57" s="459">
        <f>+J56</f>
        <v>88545.828571428574</v>
      </c>
      <c r="K57" s="459">
        <f t="shared" si="4"/>
        <v>2257918.6285714288</v>
      </c>
      <c r="L57" s="787">
        <f>+I$30*K57+J57</f>
        <v>352780.9006994369</v>
      </c>
      <c r="M57" s="462">
        <f>+M56</f>
        <v>1831314.2999999998</v>
      </c>
      <c r="N57" s="459">
        <f>+N56</f>
        <v>69106.2</v>
      </c>
      <c r="O57" s="459">
        <f t="shared" si="5"/>
        <v>1762208.0999999999</v>
      </c>
      <c r="P57" s="787">
        <f>+M$30*O57+N57</f>
        <v>275330.27668546769</v>
      </c>
      <c r="Q57" s="462">
        <f>+Q56</f>
        <v>5040139.5000000009</v>
      </c>
      <c r="R57" s="459">
        <f>+R56</f>
        <v>183277.8</v>
      </c>
      <c r="S57" s="459">
        <f t="shared" si="6"/>
        <v>4856861.7000000011</v>
      </c>
      <c r="T57" s="787">
        <f>+Q$30*S57+R57</f>
        <v>751656.65359368804</v>
      </c>
      <c r="U57" s="462">
        <f>+U56</f>
        <v>6703646.4000000022</v>
      </c>
      <c r="V57" s="459">
        <f>+V56</f>
        <v>239415.94285714286</v>
      </c>
      <c r="W57" s="459">
        <f t="shared" si="7"/>
        <v>6464230.4571428597</v>
      </c>
      <c r="X57" s="787">
        <f>+U$30*W57+V57</f>
        <v>995898.65196872014</v>
      </c>
      <c r="Y57" s="462">
        <f>+Y56</f>
        <v>11500020.214285709</v>
      </c>
      <c r="Z57" s="459">
        <f>+Z56</f>
        <v>414415.14285714284</v>
      </c>
      <c r="AA57" s="459">
        <f t="shared" si="8"/>
        <v>11085605.071428565</v>
      </c>
      <c r="AB57" s="787">
        <f>+Y$30*AA57+Z57</f>
        <v>1711718.6056860192</v>
      </c>
      <c r="AC57" s="462">
        <f>+AC56</f>
        <v>5472339.7142857118</v>
      </c>
      <c r="AD57" s="459">
        <f>+AD56</f>
        <v>190895.57142857142</v>
      </c>
      <c r="AE57" s="459">
        <f t="shared" si="9"/>
        <v>5281444.1428571399</v>
      </c>
      <c r="AF57" s="787">
        <f>+AC$30*AE57+AD57</f>
        <v>808961.58867510734</v>
      </c>
      <c r="AG57" s="462">
        <f>+AG56</f>
        <v>183457.9714285715</v>
      </c>
      <c r="AH57" s="459">
        <f>+AH56</f>
        <v>6218.9142857142861</v>
      </c>
      <c r="AI57" s="459">
        <f t="shared" si="10"/>
        <v>177239.05714285723</v>
      </c>
      <c r="AJ57" s="787">
        <f>+AG$30*AI57+AH57</f>
        <v>25311.418314855786</v>
      </c>
      <c r="AK57" s="462">
        <f>+AK56</f>
        <v>4260677.4142857119</v>
      </c>
      <c r="AL57" s="459">
        <f>+AL56</f>
        <v>144429.74285714285</v>
      </c>
      <c r="AM57" s="459">
        <f t="shared" si="11"/>
        <v>4116247.6714285691</v>
      </c>
      <c r="AN57" s="787">
        <f>+AK$30*AM57+AL57</f>
        <v>587839.20642898988</v>
      </c>
      <c r="AO57" s="462">
        <f>+AO56</f>
        <v>14033513.999999996</v>
      </c>
      <c r="AP57" s="459">
        <f>+AP56</f>
        <v>467783.8</v>
      </c>
      <c r="AQ57" s="459">
        <f t="shared" si="12"/>
        <v>13565730.199999996</v>
      </c>
      <c r="AR57" s="787">
        <f>+AO$30*AQ57+AP57</f>
        <v>2055326.261675874</v>
      </c>
      <c r="AS57" s="462">
        <f>+AS56</f>
        <v>9158369.1333333347</v>
      </c>
      <c r="AT57" s="459">
        <f>+AT56</f>
        <v>301924.25714285712</v>
      </c>
      <c r="AU57" s="459">
        <f t="shared" si="13"/>
        <v>8856444.876190478</v>
      </c>
      <c r="AV57" s="787">
        <f>+AS$30*AU57+AT57</f>
        <v>1255956.1291711873</v>
      </c>
      <c r="AW57" s="462">
        <f>+AW56</f>
        <v>6168888.7463333337</v>
      </c>
      <c r="AX57" s="459">
        <f>+AX56</f>
        <v>207049.8</v>
      </c>
      <c r="AY57" s="459">
        <f t="shared" si="14"/>
        <v>5961838.9463333338</v>
      </c>
      <c r="AZ57" s="787">
        <f>+AW$30*AY57+AX57</f>
        <v>849269.6128272377</v>
      </c>
      <c r="BA57" s="811">
        <f t="shared" si="15"/>
        <v>10492886.947526813</v>
      </c>
      <c r="BB57" s="461">
        <f>+BA57</f>
        <v>10492886.947526813</v>
      </c>
      <c r="BC57" s="417"/>
      <c r="BQ57" s="667"/>
      <c r="BR57" s="667"/>
      <c r="BS57" s="667"/>
      <c r="BT57" s="667"/>
      <c r="BU57" s="667"/>
    </row>
    <row r="58" spans="1:73">
      <c r="A58">
        <f t="shared" si="0"/>
        <v>43</v>
      </c>
      <c r="C58" s="419" t="str">
        <f t="shared" si="2"/>
        <v>Base FCR</v>
      </c>
      <c r="D58" s="458">
        <f t="shared" si="1"/>
        <v>2019</v>
      </c>
      <c r="E58" s="459">
        <f>+G57</f>
        <v>10702059.300000003</v>
      </c>
      <c r="F58" s="459">
        <f>+E$32</f>
        <v>419688.6</v>
      </c>
      <c r="G58" s="459">
        <f t="shared" si="3"/>
        <v>10282370.700000003</v>
      </c>
      <c r="H58" s="885">
        <f>+E$29*G58+F58</f>
        <v>1527323.7182608857</v>
      </c>
      <c r="I58" s="459">
        <f>+K57</f>
        <v>2257918.6285714288</v>
      </c>
      <c r="J58" s="459">
        <f>+I$32</f>
        <v>88545.828571428574</v>
      </c>
      <c r="K58" s="459">
        <f t="shared" si="4"/>
        <v>2169372.8000000003</v>
      </c>
      <c r="L58" s="787">
        <f>+I$29*K58+J58</f>
        <v>322234.49512377806</v>
      </c>
      <c r="M58" s="462">
        <f>+O57</f>
        <v>1762208.0999999999</v>
      </c>
      <c r="N58" s="459">
        <f>+M$32</f>
        <v>69106.2</v>
      </c>
      <c r="O58" s="459">
        <f t="shared" si="5"/>
        <v>1693101.9</v>
      </c>
      <c r="P58" s="787">
        <f>+M$29*O58+N58</f>
        <v>251490.12467548653</v>
      </c>
      <c r="Q58" s="462">
        <f>+S57</f>
        <v>4856861.7000000011</v>
      </c>
      <c r="R58" s="459">
        <f>+Q$32</f>
        <v>183277.8</v>
      </c>
      <c r="S58" s="459">
        <f t="shared" si="6"/>
        <v>4673583.9000000013</v>
      </c>
      <c r="T58" s="787">
        <f>+Q$29*S58+R58</f>
        <v>686724.50570753403</v>
      </c>
      <c r="U58" s="462">
        <f>+W57</f>
        <v>6464230.4571428597</v>
      </c>
      <c r="V58" s="459">
        <f>+U$32</f>
        <v>239415.94285714286</v>
      </c>
      <c r="W58" s="459">
        <f t="shared" si="7"/>
        <v>6224814.5142857172</v>
      </c>
      <c r="X58" s="787">
        <f>+U$29*W58+V58</f>
        <v>909963.94796679483</v>
      </c>
      <c r="Y58" s="462">
        <f>+AA57</f>
        <v>11085605.071428565</v>
      </c>
      <c r="Z58" s="459">
        <f>+Y$32</f>
        <v>414415.14285714284</v>
      </c>
      <c r="AA58" s="459">
        <f t="shared" si="8"/>
        <v>10671189.928571422</v>
      </c>
      <c r="AB58" s="787">
        <f>+Y$29*AA58+Z58</f>
        <v>1563934.5546127972</v>
      </c>
      <c r="AC58" s="462">
        <f>+AE57</f>
        <v>5281444.1428571399</v>
      </c>
      <c r="AD58" s="459">
        <f>+AC$32</f>
        <v>190895.57142857142</v>
      </c>
      <c r="AE58" s="459">
        <f t="shared" si="9"/>
        <v>5090548.5714285681</v>
      </c>
      <c r="AF58" s="787">
        <f>+AC$29*AE58+AD58</f>
        <v>739258.44740687707</v>
      </c>
      <c r="AG58" s="462">
        <f>+AI57</f>
        <v>177239.05714285723</v>
      </c>
      <c r="AH58" s="459">
        <f>+AG$32</f>
        <v>6218.9142857142861</v>
      </c>
      <c r="AI58" s="459">
        <f t="shared" si="10"/>
        <v>171020.14285714296</v>
      </c>
      <c r="AJ58" s="787">
        <f>+AG$29*AI58+AH58</f>
        <v>24641.505892780646</v>
      </c>
      <c r="AK58" s="462">
        <f>+AM57</f>
        <v>4116247.6714285691</v>
      </c>
      <c r="AL58" s="459">
        <f>+AK$32</f>
        <v>144429.74285714285</v>
      </c>
      <c r="AM58" s="459">
        <f t="shared" si="11"/>
        <v>3971817.9285714263</v>
      </c>
      <c r="AN58" s="787">
        <f>+AK$29*AM58+AL58</f>
        <v>572280.97963699524</v>
      </c>
      <c r="AO58" s="462">
        <f>+AQ57</f>
        <v>13565730.199999996</v>
      </c>
      <c r="AP58" s="459">
        <f>+AO$32</f>
        <v>467783.8</v>
      </c>
      <c r="AQ58" s="459">
        <f t="shared" si="12"/>
        <v>13097946.399999995</v>
      </c>
      <c r="AR58" s="787">
        <f>+AO$29*AQ58+AP58</f>
        <v>1878717.701628224</v>
      </c>
      <c r="AS58" s="462">
        <f>+AU57</f>
        <v>8856444.876190478</v>
      </c>
      <c r="AT58" s="459">
        <f>+AS$32</f>
        <v>301924.25714285712</v>
      </c>
      <c r="AU58" s="459">
        <f t="shared" si="13"/>
        <v>8554520.6190476213</v>
      </c>
      <c r="AV58" s="787">
        <f>+AS$29*AU58+AT58</f>
        <v>1223432.3153520396</v>
      </c>
      <c r="AW58" s="462">
        <f>+AY57</f>
        <v>5961838.9463333338</v>
      </c>
      <c r="AX58" s="459">
        <f>+AW$32</f>
        <v>207049.8</v>
      </c>
      <c r="AY58" s="459">
        <f t="shared" si="14"/>
        <v>5754789.146333334</v>
      </c>
      <c r="AZ58" s="787">
        <f>+AW$29*AY58+AX58</f>
        <v>826965.84296715166</v>
      </c>
      <c r="BA58" s="811">
        <f t="shared" si="15"/>
        <v>9700002.2962641921</v>
      </c>
      <c r="BB58" s="295"/>
      <c r="BC58" s="460">
        <f>+BA58</f>
        <v>9700002.2962641921</v>
      </c>
      <c r="BQ58" s="667"/>
      <c r="BR58" s="667"/>
      <c r="BS58" s="667"/>
      <c r="BT58" s="667"/>
      <c r="BU58" s="667"/>
    </row>
    <row r="59" spans="1:73">
      <c r="A59">
        <f t="shared" si="0"/>
        <v>44</v>
      </c>
      <c r="C59" s="419" t="str">
        <f t="shared" si="2"/>
        <v>W Increased ROE</v>
      </c>
      <c r="D59" s="458">
        <f t="shared" si="1"/>
        <v>2019</v>
      </c>
      <c r="E59" s="459">
        <f>+E58</f>
        <v>10702059.300000003</v>
      </c>
      <c r="F59" s="459">
        <f>+F58</f>
        <v>419688.6</v>
      </c>
      <c r="G59" s="459">
        <f t="shared" si="3"/>
        <v>10282370.700000003</v>
      </c>
      <c r="H59" s="885">
        <f>+E$30*G59+F59</f>
        <v>1622992.7975832522</v>
      </c>
      <c r="I59" s="459">
        <f>+I58</f>
        <v>2257918.6285714288</v>
      </c>
      <c r="J59" s="459">
        <f>+J58</f>
        <v>88545.828571428574</v>
      </c>
      <c r="K59" s="459">
        <f t="shared" si="4"/>
        <v>2169372.8000000003</v>
      </c>
      <c r="L59" s="787">
        <f>+I$30*K59+J59</f>
        <v>342418.74100814248</v>
      </c>
      <c r="M59" s="462">
        <f>+M58</f>
        <v>1762208.0999999999</v>
      </c>
      <c r="N59" s="459">
        <f>+N58</f>
        <v>69106.2</v>
      </c>
      <c r="O59" s="459">
        <f t="shared" si="5"/>
        <v>1693101.9</v>
      </c>
      <c r="P59" s="787">
        <f>+M$30*O59+N59</f>
        <v>267243.05799191998</v>
      </c>
      <c r="Q59" s="462">
        <f>+Q58</f>
        <v>4856861.7000000011</v>
      </c>
      <c r="R59" s="459">
        <f>+R58</f>
        <v>183277.8</v>
      </c>
      <c r="S59" s="459">
        <f t="shared" si="6"/>
        <v>4673583.9000000013</v>
      </c>
      <c r="T59" s="787">
        <f>+Q$30*S59+R59</f>
        <v>730208.3949675113</v>
      </c>
      <c r="U59" s="462">
        <f>+U58</f>
        <v>6464230.4571428597</v>
      </c>
      <c r="V59" s="459">
        <f>+V58</f>
        <v>239415.94285714286</v>
      </c>
      <c r="W59" s="459">
        <f t="shared" si="7"/>
        <v>6224814.5142857172</v>
      </c>
      <c r="X59" s="787">
        <f>+U$30*W59+V59</f>
        <v>967880.77385347662</v>
      </c>
      <c r="Y59" s="462">
        <f>+Y58</f>
        <v>11085605.071428565</v>
      </c>
      <c r="Z59" s="459">
        <f>+Z58</f>
        <v>414415.14285714284</v>
      </c>
      <c r="AA59" s="459">
        <f t="shared" si="8"/>
        <v>10671189.928571422</v>
      </c>
      <c r="AB59" s="787">
        <f>+Y$30*AA59+Z59</f>
        <v>1663221.2799727898</v>
      </c>
      <c r="AC59" s="462">
        <f>+AC58</f>
        <v>5281444.1428571399</v>
      </c>
      <c r="AD59" s="459">
        <f>+AD58</f>
        <v>190895.57142857142</v>
      </c>
      <c r="AE59" s="459">
        <f t="shared" si="9"/>
        <v>5090548.5714285681</v>
      </c>
      <c r="AF59" s="787">
        <f>+AC$30*AE59+AD59</f>
        <v>786621.85311197932</v>
      </c>
      <c r="AG59" s="462">
        <f>+AG58</f>
        <v>177239.05714285723</v>
      </c>
      <c r="AH59" s="459">
        <f>+AH58</f>
        <v>6218.9142857142861</v>
      </c>
      <c r="AI59" s="459">
        <f t="shared" si="10"/>
        <v>171020.14285714296</v>
      </c>
      <c r="AJ59" s="787">
        <f>+AG$30*AI59+AH59</f>
        <v>24641.505892780646</v>
      </c>
      <c r="AK59" s="462">
        <f>+AK58</f>
        <v>4116247.6714285691</v>
      </c>
      <c r="AL59" s="459">
        <f>+AL58</f>
        <v>144429.74285714285</v>
      </c>
      <c r="AM59" s="459">
        <f t="shared" si="11"/>
        <v>3971817.9285714263</v>
      </c>
      <c r="AN59" s="787">
        <f>+AK$30*AM59+AL59</f>
        <v>572280.97963699524</v>
      </c>
      <c r="AO59" s="462">
        <f>+AO58</f>
        <v>13565730.199999996</v>
      </c>
      <c r="AP59" s="459">
        <f>+AP58</f>
        <v>467783.8</v>
      </c>
      <c r="AQ59" s="459">
        <f t="shared" si="12"/>
        <v>13097946.399999995</v>
      </c>
      <c r="AR59" s="787">
        <f>+AO$30*AQ59+AP59</f>
        <v>2000583.4181698093</v>
      </c>
      <c r="AS59" s="462">
        <f>+AS58</f>
        <v>8856444.876190478</v>
      </c>
      <c r="AT59" s="459">
        <f>+AT58</f>
        <v>301924.25714285712</v>
      </c>
      <c r="AU59" s="459">
        <f t="shared" si="13"/>
        <v>8554520.6190476213</v>
      </c>
      <c r="AV59" s="787">
        <f>+AS$30*AU59+AT59</f>
        <v>1223432.3153520396</v>
      </c>
      <c r="AW59" s="462">
        <f>+AW58</f>
        <v>5961838.9463333338</v>
      </c>
      <c r="AX59" s="459">
        <f>+AX58</f>
        <v>207049.8</v>
      </c>
      <c r="AY59" s="459">
        <f t="shared" si="14"/>
        <v>5754789.146333334</v>
      </c>
      <c r="AZ59" s="787">
        <f>+AW$30*AY59+AX59</f>
        <v>826965.84296715166</v>
      </c>
      <c r="BA59" s="811">
        <f t="shared" si="15"/>
        <v>10201525.117540697</v>
      </c>
      <c r="BB59" s="461">
        <f>+BA59</f>
        <v>10201525.117540697</v>
      </c>
      <c r="BC59" s="417"/>
      <c r="BQ59" s="667"/>
      <c r="BR59" s="667"/>
      <c r="BS59" s="667"/>
      <c r="BT59" s="667"/>
      <c r="BU59" s="667"/>
    </row>
    <row r="60" spans="1:73">
      <c r="A60">
        <f t="shared" si="0"/>
        <v>45</v>
      </c>
      <c r="C60" s="419" t="str">
        <f t="shared" si="2"/>
        <v>Base FCR</v>
      </c>
      <c r="D60" s="458">
        <f t="shared" si="1"/>
        <v>2020</v>
      </c>
      <c r="E60" s="459">
        <f>+G59</f>
        <v>10282370.700000003</v>
      </c>
      <c r="F60" s="459">
        <f>+E$32</f>
        <v>419688.6</v>
      </c>
      <c r="G60" s="459">
        <f t="shared" si="3"/>
        <v>9862682.1000000034</v>
      </c>
      <c r="H60" s="885">
        <f>+E$29*G60+F60</f>
        <v>1482114.121597176</v>
      </c>
      <c r="I60" s="459">
        <f>+K59</f>
        <v>2169372.8000000003</v>
      </c>
      <c r="J60" s="459">
        <f>+I$32</f>
        <v>88545.828571428574</v>
      </c>
      <c r="K60" s="459">
        <f t="shared" si="4"/>
        <v>2080826.9714285717</v>
      </c>
      <c r="L60" s="787">
        <f>+I$29*K60+J60</f>
        <v>312696.18220327399</v>
      </c>
      <c r="M60" s="462">
        <f>+O59</f>
        <v>1693101.9</v>
      </c>
      <c r="N60" s="459">
        <f>+M$32</f>
        <v>69106.2</v>
      </c>
      <c r="O60" s="459">
        <f t="shared" si="5"/>
        <v>1623995.7</v>
      </c>
      <c r="P60" s="787">
        <f>+M$29*O60+N60</f>
        <v>244045.88285199727</v>
      </c>
      <c r="Q60" s="462">
        <f>+S59</f>
        <v>4673583.9000000013</v>
      </c>
      <c r="R60" s="459">
        <f>+Q$32</f>
        <v>183277.8</v>
      </c>
      <c r="S60" s="459">
        <f t="shared" si="6"/>
        <v>4490306.1000000015</v>
      </c>
      <c r="T60" s="787">
        <f>+Q$29*S60+R60</f>
        <v>666981.49764057202</v>
      </c>
      <c r="U60" s="462">
        <f>+W59</f>
        <v>6224814.5142857172</v>
      </c>
      <c r="V60" s="459">
        <f>+U$32</f>
        <v>239415.94285714286</v>
      </c>
      <c r="W60" s="459">
        <f t="shared" si="7"/>
        <v>5985398.5714285746</v>
      </c>
      <c r="X60" s="787">
        <f>+U$29*W60+V60</f>
        <v>884173.64007796219</v>
      </c>
      <c r="Y60" s="462">
        <f>+AA59</f>
        <v>10671189.928571422</v>
      </c>
      <c r="Z60" s="459">
        <f>+Y$32</f>
        <v>414415.14285714284</v>
      </c>
      <c r="AA60" s="459">
        <f t="shared" si="8"/>
        <v>10256774.785714278</v>
      </c>
      <c r="AB60" s="787">
        <f>+Y$29*AA60+Z60</f>
        <v>1519293.0240591792</v>
      </c>
      <c r="AC60" s="462">
        <f>+AE59</f>
        <v>5090548.5714285681</v>
      </c>
      <c r="AD60" s="459">
        <f>+AC$32</f>
        <v>190895.57142857142</v>
      </c>
      <c r="AE60" s="459">
        <f t="shared" si="9"/>
        <v>4899652.9999999963</v>
      </c>
      <c r="AF60" s="787">
        <f>+AC$29*AE60+AD60</f>
        <v>718694.83955769055</v>
      </c>
      <c r="AG60" s="462">
        <f>+AI59</f>
        <v>171020.14285714296</v>
      </c>
      <c r="AH60" s="459">
        <f>+AG$32</f>
        <v>6218.9142857142861</v>
      </c>
      <c r="AI60" s="459">
        <f t="shared" si="10"/>
        <v>164801.22857142868</v>
      </c>
      <c r="AJ60" s="787">
        <f>+AG$29*AI60+AH60</f>
        <v>23971.593470705506</v>
      </c>
      <c r="AK60" s="462">
        <f>+AM59</f>
        <v>3971817.9285714263</v>
      </c>
      <c r="AL60" s="459">
        <f>+AK$32</f>
        <v>144429.74285714285</v>
      </c>
      <c r="AM60" s="459">
        <f t="shared" si="11"/>
        <v>3827388.1857142835</v>
      </c>
      <c r="AN60" s="787">
        <f>+AK$29*AM60+AL60</f>
        <v>556722.75284500059</v>
      </c>
      <c r="AO60" s="462">
        <f>+AQ59</f>
        <v>13097946.399999995</v>
      </c>
      <c r="AP60" s="459">
        <f>+AO$32</f>
        <v>467783.8</v>
      </c>
      <c r="AQ60" s="459">
        <f t="shared" si="12"/>
        <v>12630162.599999994</v>
      </c>
      <c r="AR60" s="787">
        <f>+AO$29*AQ60+AP60</f>
        <v>1828327.2051415015</v>
      </c>
      <c r="AS60" s="462">
        <f>+AU59</f>
        <v>8554520.6190476213</v>
      </c>
      <c r="AT60" s="459">
        <f>+AS$32</f>
        <v>301924.25714285712</v>
      </c>
      <c r="AU60" s="459">
        <f t="shared" si="13"/>
        <v>8252596.3619047645</v>
      </c>
      <c r="AV60" s="787">
        <f>+AS$29*AU60+AT60</f>
        <v>1190908.5015328922</v>
      </c>
      <c r="AW60" s="462">
        <f>+AY59</f>
        <v>5754789.146333334</v>
      </c>
      <c r="AX60" s="459">
        <f>+AW$32</f>
        <v>207049.8</v>
      </c>
      <c r="AY60" s="459">
        <f t="shared" si="14"/>
        <v>5547739.3463333342</v>
      </c>
      <c r="AZ60" s="787">
        <f>+AW$29*AY60+AX60</f>
        <v>804662.07310706563</v>
      </c>
      <c r="BA60" s="811">
        <f t="shared" si="15"/>
        <v>9427929.2409779504</v>
      </c>
      <c r="BB60" s="295"/>
      <c r="BC60" s="460">
        <f>+BA60</f>
        <v>9427929.2409779504</v>
      </c>
      <c r="BQ60" s="667"/>
      <c r="BR60" s="667"/>
      <c r="BS60" s="667"/>
      <c r="BT60" s="667"/>
      <c r="BU60" s="667"/>
    </row>
    <row r="61" spans="1:73">
      <c r="A61">
        <f t="shared" si="0"/>
        <v>46</v>
      </c>
      <c r="C61" s="419" t="str">
        <f t="shared" si="2"/>
        <v>W Increased ROE</v>
      </c>
      <c r="D61" s="458">
        <f t="shared" si="1"/>
        <v>2020</v>
      </c>
      <c r="E61" s="459">
        <f>+E60</f>
        <v>10282370.700000003</v>
      </c>
      <c r="F61" s="459">
        <f>+F60</f>
        <v>419688.6</v>
      </c>
      <c r="G61" s="459">
        <f t="shared" si="3"/>
        <v>9862682.1000000034</v>
      </c>
      <c r="H61" s="885">
        <f>+E$30*G61+F61</f>
        <v>1573878.3405390377</v>
      </c>
      <c r="I61" s="459">
        <f>+I60</f>
        <v>2169372.8000000003</v>
      </c>
      <c r="J61" s="459">
        <f>+J60</f>
        <v>88545.828571428574</v>
      </c>
      <c r="K61" s="459">
        <f t="shared" si="4"/>
        <v>2080826.9714285717</v>
      </c>
      <c r="L61" s="787">
        <f>+I$30*K61+J61</f>
        <v>332056.58131684799</v>
      </c>
      <c r="M61" s="462">
        <f>+M60</f>
        <v>1693101.9</v>
      </c>
      <c r="N61" s="459">
        <f>+N60</f>
        <v>69106.2</v>
      </c>
      <c r="O61" s="459">
        <f t="shared" si="5"/>
        <v>1623995.7</v>
      </c>
      <c r="P61" s="787">
        <f>+M$30*O61+N61</f>
        <v>259155.83929837222</v>
      </c>
      <c r="Q61" s="462">
        <f>+Q60</f>
        <v>4673583.9000000013</v>
      </c>
      <c r="R61" s="459">
        <f>+R60</f>
        <v>183277.8</v>
      </c>
      <c r="S61" s="459">
        <f t="shared" si="6"/>
        <v>4490306.1000000015</v>
      </c>
      <c r="T61" s="787">
        <f>+Q$30*S61+R61</f>
        <v>708760.13634133432</v>
      </c>
      <c r="U61" s="462">
        <f>+U60</f>
        <v>6224814.5142857172</v>
      </c>
      <c r="V61" s="459">
        <f>+V60</f>
        <v>239415.94285714286</v>
      </c>
      <c r="W61" s="459">
        <f t="shared" si="7"/>
        <v>5985398.5714285746</v>
      </c>
      <c r="X61" s="787">
        <f>+U$30*W61+V61</f>
        <v>939862.895738233</v>
      </c>
      <c r="Y61" s="462">
        <f>+Y60</f>
        <v>10671189.928571422</v>
      </c>
      <c r="Z61" s="459">
        <f>+Z60</f>
        <v>414415.14285714284</v>
      </c>
      <c r="AA61" s="459">
        <f t="shared" si="8"/>
        <v>10256774.785714278</v>
      </c>
      <c r="AB61" s="787">
        <f>+Y$30*AA61+Z61</f>
        <v>1614723.9542595609</v>
      </c>
      <c r="AC61" s="462">
        <f>+AC60</f>
        <v>5090548.5714285681</v>
      </c>
      <c r="AD61" s="459">
        <f>+AD60</f>
        <v>190895.57142857142</v>
      </c>
      <c r="AE61" s="459">
        <f t="shared" si="9"/>
        <v>4899652.9999999963</v>
      </c>
      <c r="AF61" s="787">
        <f>+AC$30*AE61+AD61</f>
        <v>764282.11754885153</v>
      </c>
      <c r="AG61" s="462">
        <f>+AG60</f>
        <v>171020.14285714296</v>
      </c>
      <c r="AH61" s="459">
        <f>+AH60</f>
        <v>6218.9142857142861</v>
      </c>
      <c r="AI61" s="459">
        <f t="shared" si="10"/>
        <v>164801.22857142868</v>
      </c>
      <c r="AJ61" s="787">
        <f>+AG$30*AI61+AH61</f>
        <v>23971.593470705506</v>
      </c>
      <c r="AK61" s="462">
        <f>+AK60</f>
        <v>3971817.9285714263</v>
      </c>
      <c r="AL61" s="459">
        <f>+AL60</f>
        <v>144429.74285714285</v>
      </c>
      <c r="AM61" s="459">
        <f t="shared" si="11"/>
        <v>3827388.1857142835</v>
      </c>
      <c r="AN61" s="787">
        <f>+AK$30*AM61+AL61</f>
        <v>556722.75284500059</v>
      </c>
      <c r="AO61" s="462">
        <f>+AO60</f>
        <v>13097946.399999995</v>
      </c>
      <c r="AP61" s="459">
        <f>+AP60</f>
        <v>467783.8</v>
      </c>
      <c r="AQ61" s="459">
        <f t="shared" si="12"/>
        <v>12630162.599999994</v>
      </c>
      <c r="AR61" s="787">
        <f>+AO$30*AQ61+AP61</f>
        <v>1945840.5746637445</v>
      </c>
      <c r="AS61" s="462">
        <f>+AS60</f>
        <v>8554520.6190476213</v>
      </c>
      <c r="AT61" s="459">
        <f>+AT60</f>
        <v>301924.25714285712</v>
      </c>
      <c r="AU61" s="459">
        <f t="shared" si="13"/>
        <v>8252596.3619047645</v>
      </c>
      <c r="AV61" s="787">
        <f>+AS$30*AU61+AT61</f>
        <v>1190908.5015328922</v>
      </c>
      <c r="AW61" s="462">
        <f>+AW60</f>
        <v>5754789.146333334</v>
      </c>
      <c r="AX61" s="459">
        <f>+AX60</f>
        <v>207049.8</v>
      </c>
      <c r="AY61" s="459">
        <f t="shared" si="14"/>
        <v>5547739.3463333342</v>
      </c>
      <c r="AZ61" s="787">
        <f>+AW$30*AY61+AX61</f>
        <v>804662.07310706563</v>
      </c>
      <c r="BA61" s="811">
        <f t="shared" si="15"/>
        <v>9910163.2875545807</v>
      </c>
      <c r="BB61" s="461">
        <f>+BA61</f>
        <v>9910163.2875545807</v>
      </c>
      <c r="BC61" s="417"/>
      <c r="BQ61" s="667"/>
      <c r="BR61" s="667"/>
      <c r="BS61" s="667"/>
      <c r="BT61" s="667"/>
      <c r="BU61" s="667"/>
    </row>
    <row r="62" spans="1:73">
      <c r="A62">
        <f t="shared" si="0"/>
        <v>47</v>
      </c>
      <c r="C62" s="419" t="str">
        <f t="shared" si="2"/>
        <v>Base FCR</v>
      </c>
      <c r="D62" s="458">
        <f t="shared" si="1"/>
        <v>2021</v>
      </c>
      <c r="E62" s="459">
        <f>+G61</f>
        <v>9862682.1000000034</v>
      </c>
      <c r="F62" s="459">
        <f>+E$32</f>
        <v>419688.6</v>
      </c>
      <c r="G62" s="459">
        <f t="shared" si="3"/>
        <v>9442993.5000000037</v>
      </c>
      <c r="H62" s="885">
        <f>+E$29*G62+F62</f>
        <v>1436904.5249334665</v>
      </c>
      <c r="I62" s="459">
        <f>+K61</f>
        <v>2080826.9714285717</v>
      </c>
      <c r="J62" s="459">
        <f>+I$32</f>
        <v>88545.828571428574</v>
      </c>
      <c r="K62" s="459">
        <f t="shared" si="4"/>
        <v>1992281.1428571432</v>
      </c>
      <c r="L62" s="787">
        <f>+I$29*K62+J62</f>
        <v>303157.86928276997</v>
      </c>
      <c r="M62" s="462">
        <f>+O61</f>
        <v>1623995.7</v>
      </c>
      <c r="N62" s="459">
        <f>+M$32</f>
        <v>69106.2</v>
      </c>
      <c r="O62" s="459">
        <f t="shared" si="5"/>
        <v>1554889.5</v>
      </c>
      <c r="P62" s="787">
        <f>+M$29*O62+N62</f>
        <v>236601.64102850802</v>
      </c>
      <c r="Q62" s="462">
        <f>+S61</f>
        <v>4490306.1000000015</v>
      </c>
      <c r="R62" s="459">
        <f>+Q$32</f>
        <v>183277.8</v>
      </c>
      <c r="S62" s="459">
        <f t="shared" si="6"/>
        <v>4307028.3000000017</v>
      </c>
      <c r="T62" s="787">
        <f>+Q$29*S62+R62</f>
        <v>647238.4895736099</v>
      </c>
      <c r="U62" s="462">
        <f>+W61</f>
        <v>5985398.5714285746</v>
      </c>
      <c r="V62" s="459">
        <f>+U$32</f>
        <v>239415.94285714286</v>
      </c>
      <c r="W62" s="459">
        <f t="shared" si="7"/>
        <v>5745982.6285714321</v>
      </c>
      <c r="X62" s="787">
        <f>+U$29*W62+V62</f>
        <v>858383.33218912943</v>
      </c>
      <c r="Y62" s="462">
        <f>+AA61</f>
        <v>10256774.785714278</v>
      </c>
      <c r="Z62" s="459">
        <f>+Y$32</f>
        <v>414415.14285714284</v>
      </c>
      <c r="AA62" s="459">
        <f t="shared" si="8"/>
        <v>9842359.6428571343</v>
      </c>
      <c r="AB62" s="787">
        <f>+Y$29*AA62+Z62</f>
        <v>1474651.4935055617</v>
      </c>
      <c r="AC62" s="462">
        <f>+AE61</f>
        <v>4899652.9999999963</v>
      </c>
      <c r="AD62" s="459">
        <f>+AC$32</f>
        <v>190895.57142857142</v>
      </c>
      <c r="AE62" s="459">
        <f t="shared" si="9"/>
        <v>4708757.4285714244</v>
      </c>
      <c r="AF62" s="787">
        <f>+AC$29*AE62+AD62</f>
        <v>698131.23170850403</v>
      </c>
      <c r="AG62" s="462">
        <f>+AI61</f>
        <v>164801.22857142868</v>
      </c>
      <c r="AH62" s="459">
        <f>+AG$32</f>
        <v>6218.9142857142861</v>
      </c>
      <c r="AI62" s="459">
        <f t="shared" si="10"/>
        <v>158582.31428571441</v>
      </c>
      <c r="AJ62" s="787">
        <f>+AG$29*AI62+AH62</f>
        <v>23301.681048630369</v>
      </c>
      <c r="AK62" s="462">
        <f>+AM61</f>
        <v>3827388.1857142835</v>
      </c>
      <c r="AL62" s="459">
        <f>+AK$32</f>
        <v>144429.74285714285</v>
      </c>
      <c r="AM62" s="459">
        <f t="shared" si="11"/>
        <v>3682958.4428571407</v>
      </c>
      <c r="AN62" s="787">
        <f>+AK$29*AM62+AL62</f>
        <v>541164.52605300595</v>
      </c>
      <c r="AO62" s="462">
        <f>+AQ61</f>
        <v>12630162.599999994</v>
      </c>
      <c r="AP62" s="459">
        <f>+AO$32</f>
        <v>467783.8</v>
      </c>
      <c r="AQ62" s="459">
        <f t="shared" si="12"/>
        <v>12162378.799999993</v>
      </c>
      <c r="AR62" s="787">
        <f>+AO$29*AQ62+AP62</f>
        <v>1777936.7086547792</v>
      </c>
      <c r="AS62" s="462">
        <f>+AU61</f>
        <v>8252596.3619047645</v>
      </c>
      <c r="AT62" s="459">
        <f>+AS$32</f>
        <v>301924.25714285712</v>
      </c>
      <c r="AU62" s="459">
        <f t="shared" si="13"/>
        <v>7950672.1047619078</v>
      </c>
      <c r="AV62" s="787">
        <f>+AS$29*AU62+AT62</f>
        <v>1158384.6877137446</v>
      </c>
      <c r="AW62" s="462">
        <f>+AY61</f>
        <v>5547739.3463333342</v>
      </c>
      <c r="AX62" s="459">
        <f>+AW$32</f>
        <v>207049.8</v>
      </c>
      <c r="AY62" s="459">
        <f t="shared" si="14"/>
        <v>5340689.5463333344</v>
      </c>
      <c r="AZ62" s="787">
        <f>+AW$29*AY62+AX62</f>
        <v>782358.3032469796</v>
      </c>
      <c r="BA62" s="811">
        <f t="shared" si="15"/>
        <v>9155856.1856917106</v>
      </c>
      <c r="BB62" s="295"/>
      <c r="BC62" s="460">
        <f>+BA62</f>
        <v>9155856.1856917106</v>
      </c>
      <c r="BQ62" s="667"/>
      <c r="BR62" s="667"/>
      <c r="BS62" s="667"/>
      <c r="BT62" s="667"/>
      <c r="BU62" s="667"/>
    </row>
    <row r="63" spans="1:73">
      <c r="A63">
        <f t="shared" si="0"/>
        <v>48</v>
      </c>
      <c r="C63" s="419" t="str">
        <f t="shared" si="2"/>
        <v>W Increased ROE</v>
      </c>
      <c r="D63" s="458">
        <f t="shared" si="1"/>
        <v>2021</v>
      </c>
      <c r="E63" s="459">
        <f>+E62</f>
        <v>9862682.1000000034</v>
      </c>
      <c r="F63" s="459">
        <f>+F62</f>
        <v>419688.6</v>
      </c>
      <c r="G63" s="459">
        <f t="shared" si="3"/>
        <v>9442993.5000000037</v>
      </c>
      <c r="H63" s="885">
        <f>+E$30*G63+F63</f>
        <v>1524763.8834948232</v>
      </c>
      <c r="I63" s="459">
        <f>+I62</f>
        <v>2080826.9714285717</v>
      </c>
      <c r="J63" s="459">
        <f>+J62</f>
        <v>88545.828571428574</v>
      </c>
      <c r="K63" s="459">
        <f t="shared" si="4"/>
        <v>1992281.1428571432</v>
      </c>
      <c r="L63" s="787">
        <f>+I$30*K63+J63</f>
        <v>321694.42162555351</v>
      </c>
      <c r="M63" s="462">
        <f>+M62</f>
        <v>1623995.7</v>
      </c>
      <c r="N63" s="459">
        <f>+N62</f>
        <v>69106.2</v>
      </c>
      <c r="O63" s="459">
        <f t="shared" si="5"/>
        <v>1554889.5</v>
      </c>
      <c r="P63" s="787">
        <f>+M$30*O63+N63</f>
        <v>251068.62060482445</v>
      </c>
      <c r="Q63" s="462">
        <f>+Q62</f>
        <v>4490306.1000000015</v>
      </c>
      <c r="R63" s="459">
        <f>+R62</f>
        <v>183277.8</v>
      </c>
      <c r="S63" s="459">
        <f t="shared" si="6"/>
        <v>4307028.3000000017</v>
      </c>
      <c r="T63" s="787">
        <f>+Q$30*S63+R63</f>
        <v>687311.87771515758</v>
      </c>
      <c r="U63" s="462">
        <f>+U62</f>
        <v>5985398.5714285746</v>
      </c>
      <c r="V63" s="459">
        <f>+V62</f>
        <v>239415.94285714286</v>
      </c>
      <c r="W63" s="459">
        <f t="shared" si="7"/>
        <v>5745982.6285714321</v>
      </c>
      <c r="X63" s="787">
        <f>+U$30*W63+V63</f>
        <v>911845.01762298949</v>
      </c>
      <c r="Y63" s="462">
        <f>+Y62</f>
        <v>10256774.785714278</v>
      </c>
      <c r="Z63" s="459">
        <f>+Z62</f>
        <v>414415.14285714284</v>
      </c>
      <c r="AA63" s="459">
        <f t="shared" si="8"/>
        <v>9842359.6428571343</v>
      </c>
      <c r="AB63" s="787">
        <f>+Y$30*AA63+Z63</f>
        <v>1566226.6285463315</v>
      </c>
      <c r="AC63" s="462">
        <f>+AC62</f>
        <v>4899652.9999999963</v>
      </c>
      <c r="AD63" s="459">
        <f>+AD62</f>
        <v>190895.57142857142</v>
      </c>
      <c r="AE63" s="459">
        <f t="shared" si="9"/>
        <v>4708757.4285714244</v>
      </c>
      <c r="AF63" s="787">
        <f>+AC$30*AE63+AD63</f>
        <v>741942.38198572374</v>
      </c>
      <c r="AG63" s="462">
        <f>+AG62</f>
        <v>164801.22857142868</v>
      </c>
      <c r="AH63" s="459">
        <f>+AH62</f>
        <v>6218.9142857142861</v>
      </c>
      <c r="AI63" s="459">
        <f t="shared" si="10"/>
        <v>158582.31428571441</v>
      </c>
      <c r="AJ63" s="787">
        <f>+AG$30*AI63+AH63</f>
        <v>23301.681048630369</v>
      </c>
      <c r="AK63" s="462">
        <f>+AK62</f>
        <v>3827388.1857142835</v>
      </c>
      <c r="AL63" s="459">
        <f>+AL62</f>
        <v>144429.74285714285</v>
      </c>
      <c r="AM63" s="459">
        <f t="shared" si="11"/>
        <v>3682958.4428571407</v>
      </c>
      <c r="AN63" s="787">
        <f>+AK$30*AM63+AL63</f>
        <v>541164.52605300595</v>
      </c>
      <c r="AO63" s="462">
        <f>+AO62</f>
        <v>12630162.599999994</v>
      </c>
      <c r="AP63" s="459">
        <f>+AP62</f>
        <v>467783.8</v>
      </c>
      <c r="AQ63" s="459">
        <f t="shared" si="12"/>
        <v>12162378.799999993</v>
      </c>
      <c r="AR63" s="787">
        <f>+AO$30*AQ63+AP63</f>
        <v>1891097.7311576798</v>
      </c>
      <c r="AS63" s="462">
        <f>+AS62</f>
        <v>8252596.3619047645</v>
      </c>
      <c r="AT63" s="459">
        <f>+AT62</f>
        <v>301924.25714285712</v>
      </c>
      <c r="AU63" s="459">
        <f t="shared" si="13"/>
        <v>7950672.1047619078</v>
      </c>
      <c r="AV63" s="787">
        <f>+AS$30*AU63+AT63</f>
        <v>1158384.6877137446</v>
      </c>
      <c r="AW63" s="462">
        <f>+AW62</f>
        <v>5547739.3463333342</v>
      </c>
      <c r="AX63" s="459">
        <f>+AX62</f>
        <v>207049.8</v>
      </c>
      <c r="AY63" s="459">
        <f t="shared" si="14"/>
        <v>5340689.5463333344</v>
      </c>
      <c r="AZ63" s="787">
        <f>+AW$30*AY63+AX63</f>
        <v>782358.3032469796</v>
      </c>
      <c r="BA63" s="811">
        <f t="shared" si="15"/>
        <v>9618801.4575684648</v>
      </c>
      <c r="BB63" s="461">
        <f>+BA63</f>
        <v>9618801.4575684648</v>
      </c>
      <c r="BC63" s="417"/>
      <c r="BQ63" s="667"/>
      <c r="BR63" s="667"/>
      <c r="BS63" s="667"/>
      <c r="BT63" s="667"/>
      <c r="BU63" s="667"/>
    </row>
    <row r="64" spans="1:73">
      <c r="A64">
        <f t="shared" si="0"/>
        <v>49</v>
      </c>
      <c r="C64" s="419" t="str">
        <f t="shared" si="2"/>
        <v>Base FCR</v>
      </c>
      <c r="D64" s="458">
        <f t="shared" si="1"/>
        <v>2022</v>
      </c>
      <c r="E64" s="459">
        <f>+G63</f>
        <v>9442993.5000000037</v>
      </c>
      <c r="F64" s="459">
        <f>+E$32</f>
        <v>419688.6</v>
      </c>
      <c r="G64" s="459">
        <f t="shared" si="3"/>
        <v>9023304.9000000041</v>
      </c>
      <c r="H64" s="885">
        <f>+E$29*G64+F64</f>
        <v>1391694.928269757</v>
      </c>
      <c r="I64" s="459">
        <f>+K63</f>
        <v>1992281.1428571432</v>
      </c>
      <c r="J64" s="459">
        <f>+I$32</f>
        <v>88545.828571428574</v>
      </c>
      <c r="K64" s="459">
        <f t="shared" si="4"/>
        <v>1903735.3142857146</v>
      </c>
      <c r="L64" s="787">
        <f>+I$29*K64+J64</f>
        <v>293619.55636226584</v>
      </c>
      <c r="M64" s="462">
        <f>+O63</f>
        <v>1554889.5</v>
      </c>
      <c r="N64" s="459">
        <f>+M$32</f>
        <v>69106.2</v>
      </c>
      <c r="O64" s="459">
        <f t="shared" si="5"/>
        <v>1485783.3</v>
      </c>
      <c r="P64" s="787">
        <f>+M$29*O64+N64</f>
        <v>229157.39920501877</v>
      </c>
      <c r="Q64" s="462">
        <f>+S63</f>
        <v>4307028.3000000017</v>
      </c>
      <c r="R64" s="459">
        <f>+Q$32</f>
        <v>183277.8</v>
      </c>
      <c r="S64" s="459">
        <f t="shared" si="6"/>
        <v>4123750.5000000019</v>
      </c>
      <c r="T64" s="787">
        <f>+Q$29*S64+R64</f>
        <v>627495.48150664777</v>
      </c>
      <c r="U64" s="462">
        <f>+W63</f>
        <v>5745982.6285714321</v>
      </c>
      <c r="V64" s="459">
        <f>+U$32</f>
        <v>239415.94285714286</v>
      </c>
      <c r="W64" s="459">
        <f t="shared" si="7"/>
        <v>5506566.6857142895</v>
      </c>
      <c r="X64" s="787">
        <f>+U$29*W64+V64</f>
        <v>832593.02430029667</v>
      </c>
      <c r="Y64" s="462">
        <f>+AA63</f>
        <v>9842359.6428571343</v>
      </c>
      <c r="Z64" s="459">
        <f>+Y$32</f>
        <v>414415.14285714284</v>
      </c>
      <c r="AA64" s="459">
        <f t="shared" si="8"/>
        <v>9427944.4999999907</v>
      </c>
      <c r="AB64" s="787">
        <f>+Y$29*AA64+Z64</f>
        <v>1430009.9629519437</v>
      </c>
      <c r="AC64" s="462">
        <f>+AE63</f>
        <v>4708757.4285714244</v>
      </c>
      <c r="AD64" s="459">
        <f>+AC$32</f>
        <v>190895.57142857142</v>
      </c>
      <c r="AE64" s="459">
        <f t="shared" si="9"/>
        <v>4517861.8571428526</v>
      </c>
      <c r="AF64" s="787">
        <f>+AC$29*AE64+AD64</f>
        <v>677567.62385931751</v>
      </c>
      <c r="AG64" s="462">
        <f>+AI63</f>
        <v>158582.31428571441</v>
      </c>
      <c r="AH64" s="459">
        <f>+AG$32</f>
        <v>6218.9142857142861</v>
      </c>
      <c r="AI64" s="459">
        <f t="shared" si="10"/>
        <v>152363.40000000014</v>
      </c>
      <c r="AJ64" s="787">
        <f>+AG$29*AI64+AH64</f>
        <v>22631.768626555229</v>
      </c>
      <c r="AK64" s="462">
        <f>+AM63</f>
        <v>3682958.4428571407</v>
      </c>
      <c r="AL64" s="459">
        <f>+AK$32</f>
        <v>144429.74285714285</v>
      </c>
      <c r="AM64" s="459">
        <f t="shared" si="11"/>
        <v>3538528.6999999979</v>
      </c>
      <c r="AN64" s="787">
        <f>+AK$29*AM64+AL64</f>
        <v>525606.2992610113</v>
      </c>
      <c r="AO64" s="462">
        <f>+AQ63</f>
        <v>12162378.799999993</v>
      </c>
      <c r="AP64" s="459">
        <f>+AO$32</f>
        <v>467783.8</v>
      </c>
      <c r="AQ64" s="459">
        <f t="shared" si="12"/>
        <v>11694594.999999993</v>
      </c>
      <c r="AR64" s="787">
        <f>+AO$29*AQ64+AP64</f>
        <v>1727546.2121680568</v>
      </c>
      <c r="AS64" s="462">
        <f>+AU63</f>
        <v>7950672.1047619078</v>
      </c>
      <c r="AT64" s="459">
        <f>+AS$32</f>
        <v>301924.25714285712</v>
      </c>
      <c r="AU64" s="459">
        <f t="shared" si="13"/>
        <v>7648747.8476190511</v>
      </c>
      <c r="AV64" s="787">
        <f>+AS$29*AU64+AT64</f>
        <v>1125860.8738945972</v>
      </c>
      <c r="AW64" s="462">
        <f>+AY63</f>
        <v>5340689.5463333344</v>
      </c>
      <c r="AX64" s="459">
        <f>+AW$32</f>
        <v>207049.8</v>
      </c>
      <c r="AY64" s="459">
        <f t="shared" si="14"/>
        <v>5133639.7463333346</v>
      </c>
      <c r="AZ64" s="787">
        <f>+AW$29*AY64+AX64</f>
        <v>760054.53338689334</v>
      </c>
      <c r="BA64" s="811">
        <f t="shared" si="15"/>
        <v>8883783.130405467</v>
      </c>
      <c r="BB64" s="295"/>
      <c r="BC64" s="460">
        <f>+BA64</f>
        <v>8883783.130405467</v>
      </c>
      <c r="BQ64" s="667"/>
      <c r="BR64" s="667"/>
      <c r="BS64" s="667"/>
      <c r="BT64" s="667"/>
      <c r="BU64" s="667"/>
    </row>
    <row r="65" spans="1:73">
      <c r="A65">
        <f t="shared" si="0"/>
        <v>50</v>
      </c>
      <c r="C65" s="419" t="str">
        <f t="shared" si="2"/>
        <v>W Increased ROE</v>
      </c>
      <c r="D65" s="458">
        <f t="shared" si="1"/>
        <v>2022</v>
      </c>
      <c r="E65" s="459">
        <f>+E64</f>
        <v>9442993.5000000037</v>
      </c>
      <c r="F65" s="459">
        <f>+F64</f>
        <v>419688.6</v>
      </c>
      <c r="G65" s="459">
        <f t="shared" si="3"/>
        <v>9023304.9000000041</v>
      </c>
      <c r="H65" s="885">
        <f>+E$30*G65+F65</f>
        <v>1475649.4264506092</v>
      </c>
      <c r="I65" s="459">
        <f>+I64</f>
        <v>1992281.1428571432</v>
      </c>
      <c r="J65" s="459">
        <f>+J64</f>
        <v>88545.828571428574</v>
      </c>
      <c r="K65" s="459">
        <f t="shared" si="4"/>
        <v>1903735.3142857146</v>
      </c>
      <c r="L65" s="787">
        <f>+I$30*K65+J65</f>
        <v>311332.26193425909</v>
      </c>
      <c r="M65" s="462">
        <f>+M64</f>
        <v>1554889.5</v>
      </c>
      <c r="N65" s="459">
        <f>+N64</f>
        <v>69106.2</v>
      </c>
      <c r="O65" s="459">
        <f t="shared" si="5"/>
        <v>1485783.3</v>
      </c>
      <c r="P65" s="787">
        <f>+M$30*O65+N65</f>
        <v>242981.40191127674</v>
      </c>
      <c r="Q65" s="462">
        <f>+Q64</f>
        <v>4307028.3000000017</v>
      </c>
      <c r="R65" s="459">
        <f>+R64</f>
        <v>183277.8</v>
      </c>
      <c r="S65" s="459">
        <f t="shared" si="6"/>
        <v>4123750.5000000019</v>
      </c>
      <c r="T65" s="787">
        <f>+Q$30*S65+R65</f>
        <v>665863.6190889806</v>
      </c>
      <c r="U65" s="462">
        <f>+U64</f>
        <v>5745982.6285714321</v>
      </c>
      <c r="V65" s="459">
        <f>+V64</f>
        <v>239415.94285714286</v>
      </c>
      <c r="W65" s="459">
        <f t="shared" si="7"/>
        <v>5506566.6857142895</v>
      </c>
      <c r="X65" s="787">
        <f>+U$30*W65+V65</f>
        <v>883827.13950774586</v>
      </c>
      <c r="Y65" s="462">
        <f>+Y64</f>
        <v>9842359.6428571343</v>
      </c>
      <c r="Z65" s="459">
        <f>+Z64</f>
        <v>414415.14285714284</v>
      </c>
      <c r="AA65" s="459">
        <f t="shared" si="8"/>
        <v>9427944.4999999907</v>
      </c>
      <c r="AB65" s="787">
        <f>+Y$30*AA65+Z65</f>
        <v>1517729.3028331026</v>
      </c>
      <c r="AC65" s="462">
        <f>+AC64</f>
        <v>4708757.4285714244</v>
      </c>
      <c r="AD65" s="459">
        <f>+AD64</f>
        <v>190895.57142857142</v>
      </c>
      <c r="AE65" s="459">
        <f t="shared" si="9"/>
        <v>4517861.8571428526</v>
      </c>
      <c r="AF65" s="787">
        <f>+AC$30*AE65+AD65</f>
        <v>719602.64642259595</v>
      </c>
      <c r="AG65" s="462">
        <f>+AG64</f>
        <v>158582.31428571441</v>
      </c>
      <c r="AH65" s="459">
        <f>+AH64</f>
        <v>6218.9142857142861</v>
      </c>
      <c r="AI65" s="459">
        <f t="shared" si="10"/>
        <v>152363.40000000014</v>
      </c>
      <c r="AJ65" s="787">
        <f>+AG$30*AI65+AH65</f>
        <v>22631.768626555229</v>
      </c>
      <c r="AK65" s="462">
        <f>+AK64</f>
        <v>3682958.4428571407</v>
      </c>
      <c r="AL65" s="459">
        <f>+AL64</f>
        <v>144429.74285714285</v>
      </c>
      <c r="AM65" s="459">
        <f t="shared" si="11"/>
        <v>3538528.6999999979</v>
      </c>
      <c r="AN65" s="787">
        <f>+AK$30*AM65+AL65</f>
        <v>525606.2992610113</v>
      </c>
      <c r="AO65" s="462">
        <f>+AO64</f>
        <v>12162378.799999993</v>
      </c>
      <c r="AP65" s="459">
        <f>+AP64</f>
        <v>467783.8</v>
      </c>
      <c r="AQ65" s="459">
        <f t="shared" si="12"/>
        <v>11694594.999999993</v>
      </c>
      <c r="AR65" s="787">
        <f>+AO$30*AQ65+AP65</f>
        <v>1836354.8876516151</v>
      </c>
      <c r="AS65" s="462">
        <f>+AS64</f>
        <v>7950672.1047619078</v>
      </c>
      <c r="AT65" s="459">
        <f>+AT64</f>
        <v>301924.25714285712</v>
      </c>
      <c r="AU65" s="459">
        <f t="shared" si="13"/>
        <v>7648747.8476190511</v>
      </c>
      <c r="AV65" s="787">
        <f>+AS$30*AU65+AT65</f>
        <v>1125860.8738945972</v>
      </c>
      <c r="AW65" s="462">
        <f>+AW64</f>
        <v>5340689.5463333344</v>
      </c>
      <c r="AX65" s="459">
        <f>+AX64</f>
        <v>207049.8</v>
      </c>
      <c r="AY65" s="459">
        <f t="shared" si="14"/>
        <v>5133639.7463333346</v>
      </c>
      <c r="AZ65" s="787">
        <f>+AW$30*AY65+AX65</f>
        <v>760054.53338689334</v>
      </c>
      <c r="BA65" s="811">
        <f t="shared" si="15"/>
        <v>9327439.627582347</v>
      </c>
      <c r="BB65" s="461">
        <f>+BA65</f>
        <v>9327439.627582347</v>
      </c>
      <c r="BC65" s="417"/>
      <c r="BQ65" s="667"/>
      <c r="BR65" s="667"/>
      <c r="BS65" s="667"/>
      <c r="BT65" s="667"/>
      <c r="BU65" s="667"/>
    </row>
    <row r="66" spans="1:73">
      <c r="A66">
        <f t="shared" si="0"/>
        <v>51</v>
      </c>
      <c r="C66" s="419" t="str">
        <f t="shared" si="2"/>
        <v>Base FCR</v>
      </c>
      <c r="D66" s="458">
        <f t="shared" si="1"/>
        <v>2023</v>
      </c>
      <c r="E66" s="459">
        <f>+G65</f>
        <v>9023304.9000000041</v>
      </c>
      <c r="F66" s="459">
        <f>+E$32</f>
        <v>419688.6</v>
      </c>
      <c r="G66" s="459">
        <f t="shared" si="3"/>
        <v>8603616.3000000045</v>
      </c>
      <c r="H66" s="885">
        <f>+E$29*G66+F66</f>
        <v>1346485.3316060472</v>
      </c>
      <c r="I66" s="459">
        <f>+K65</f>
        <v>1903735.3142857146</v>
      </c>
      <c r="J66" s="459">
        <f>+I$32</f>
        <v>88545.828571428574</v>
      </c>
      <c r="K66" s="459">
        <f t="shared" si="4"/>
        <v>1815189.4857142861</v>
      </c>
      <c r="L66" s="787">
        <f>+I$29*K66+J66</f>
        <v>284081.24344176182</v>
      </c>
      <c r="M66" s="462">
        <f>+O65</f>
        <v>1485783.3</v>
      </c>
      <c r="N66" s="459">
        <f>+M$32</f>
        <v>69106.2</v>
      </c>
      <c r="O66" s="459">
        <f t="shared" si="5"/>
        <v>1416677.1</v>
      </c>
      <c r="P66" s="787">
        <f>+M$29*O66+N66</f>
        <v>221713.15738152957</v>
      </c>
      <c r="Q66" s="462">
        <f>+S65</f>
        <v>4123750.5000000019</v>
      </c>
      <c r="R66" s="459">
        <f>+Q$32</f>
        <v>183277.8</v>
      </c>
      <c r="S66" s="459">
        <f t="shared" si="6"/>
        <v>3940472.700000002</v>
      </c>
      <c r="T66" s="787">
        <f>+Q$29*S66+R66</f>
        <v>607752.47343968577</v>
      </c>
      <c r="U66" s="462">
        <f>+W65</f>
        <v>5506566.6857142895</v>
      </c>
      <c r="V66" s="459">
        <f>+U$32</f>
        <v>239415.94285714286</v>
      </c>
      <c r="W66" s="459">
        <f t="shared" si="7"/>
        <v>5267150.742857147</v>
      </c>
      <c r="X66" s="787">
        <f>+U$29*W66+V66</f>
        <v>806802.71641146403</v>
      </c>
      <c r="Y66" s="462">
        <f>+AA65</f>
        <v>9427944.4999999907</v>
      </c>
      <c r="Z66" s="459">
        <f>+Y$32</f>
        <v>414415.14285714284</v>
      </c>
      <c r="AA66" s="459">
        <f t="shared" si="8"/>
        <v>9013529.357142847</v>
      </c>
      <c r="AB66" s="787">
        <f>+Y$29*AA66+Z66</f>
        <v>1385368.4323983262</v>
      </c>
      <c r="AC66" s="462">
        <f>+AE65</f>
        <v>4517861.8571428526</v>
      </c>
      <c r="AD66" s="459">
        <f>+AC$32</f>
        <v>190895.57142857142</v>
      </c>
      <c r="AE66" s="459">
        <f t="shared" si="9"/>
        <v>4326966.2857142808</v>
      </c>
      <c r="AF66" s="787">
        <f>+AC$29*AE66+AD66</f>
        <v>657004.01601013099</v>
      </c>
      <c r="AG66" s="462">
        <f>+AI65</f>
        <v>152363.40000000014</v>
      </c>
      <c r="AH66" s="459">
        <f>+AG$32</f>
        <v>6218.9142857142861</v>
      </c>
      <c r="AI66" s="459">
        <f t="shared" si="10"/>
        <v>146144.48571428587</v>
      </c>
      <c r="AJ66" s="787">
        <f>+AG$29*AI66+AH66</f>
        <v>21961.856204480093</v>
      </c>
      <c r="AK66" s="462">
        <f>+AM65</f>
        <v>3538528.6999999979</v>
      </c>
      <c r="AL66" s="459">
        <f>+AK$32</f>
        <v>144429.74285714285</v>
      </c>
      <c r="AM66" s="459">
        <f t="shared" si="11"/>
        <v>3394098.957142855</v>
      </c>
      <c r="AN66" s="787">
        <f>+AK$29*AM66+AL66</f>
        <v>510048.07246901665</v>
      </c>
      <c r="AO66" s="462">
        <f>+AQ65</f>
        <v>11694594.999999993</v>
      </c>
      <c r="AP66" s="459">
        <f>+AO$32</f>
        <v>467783.8</v>
      </c>
      <c r="AQ66" s="459">
        <f t="shared" si="12"/>
        <v>11226811.199999992</v>
      </c>
      <c r="AR66" s="787">
        <f>+AO$29*AQ66+AP66</f>
        <v>1677155.7156813345</v>
      </c>
      <c r="AS66" s="462">
        <f>+AU65</f>
        <v>7648747.8476190511</v>
      </c>
      <c r="AT66" s="459">
        <f>+AS$32</f>
        <v>301924.25714285712</v>
      </c>
      <c r="AU66" s="459">
        <f t="shared" si="13"/>
        <v>7346823.5904761944</v>
      </c>
      <c r="AV66" s="787">
        <f>+AS$29*AU66+AT66</f>
        <v>1093337.0600754495</v>
      </c>
      <c r="AW66" s="462">
        <f>+AY65</f>
        <v>5133639.7463333346</v>
      </c>
      <c r="AX66" s="459">
        <f>+AW$32</f>
        <v>207049.8</v>
      </c>
      <c r="AY66" s="459">
        <f t="shared" si="14"/>
        <v>4926589.9463333348</v>
      </c>
      <c r="AZ66" s="787">
        <f>+AW$29*AY66+AX66</f>
        <v>737750.76352680731</v>
      </c>
      <c r="BA66" s="811">
        <f t="shared" si="15"/>
        <v>8611710.0751192253</v>
      </c>
      <c r="BB66" s="295"/>
      <c r="BC66" s="460">
        <f>+BA66</f>
        <v>8611710.0751192253</v>
      </c>
      <c r="BQ66" s="667"/>
      <c r="BR66" s="667"/>
      <c r="BS66" s="667"/>
      <c r="BT66" s="667"/>
      <c r="BU66" s="667"/>
    </row>
    <row r="67" spans="1:73">
      <c r="A67">
        <f t="shared" si="0"/>
        <v>52</v>
      </c>
      <c r="C67" s="419" t="str">
        <f t="shared" si="2"/>
        <v>W Increased ROE</v>
      </c>
      <c r="D67" s="458">
        <f t="shared" si="1"/>
        <v>2023</v>
      </c>
      <c r="E67" s="459">
        <f>+E66</f>
        <v>9023304.9000000041</v>
      </c>
      <c r="F67" s="459">
        <f>+F66</f>
        <v>419688.6</v>
      </c>
      <c r="G67" s="459">
        <f t="shared" si="3"/>
        <v>8603616.3000000045</v>
      </c>
      <c r="H67" s="885">
        <f>+E$30*G67+F67</f>
        <v>1426534.9694063948</v>
      </c>
      <c r="I67" s="459">
        <f>+I66</f>
        <v>1903735.3142857146</v>
      </c>
      <c r="J67" s="459">
        <f>+J66</f>
        <v>88545.828571428574</v>
      </c>
      <c r="K67" s="459">
        <f t="shared" si="4"/>
        <v>1815189.4857142861</v>
      </c>
      <c r="L67" s="787">
        <f>+I$30*K67+J67</f>
        <v>300970.10224296467</v>
      </c>
      <c r="M67" s="462">
        <f>+M66</f>
        <v>1485783.3</v>
      </c>
      <c r="N67" s="459">
        <f>+N66</f>
        <v>69106.2</v>
      </c>
      <c r="O67" s="459">
        <f t="shared" si="5"/>
        <v>1416677.1</v>
      </c>
      <c r="P67" s="787">
        <f>+M$30*O67+N67</f>
        <v>234894.18321772898</v>
      </c>
      <c r="Q67" s="462">
        <f>+Q66</f>
        <v>4123750.5000000019</v>
      </c>
      <c r="R67" s="459">
        <f>+R66</f>
        <v>183277.8</v>
      </c>
      <c r="S67" s="459">
        <f t="shared" si="6"/>
        <v>3940472.700000002</v>
      </c>
      <c r="T67" s="787">
        <f>+Q$30*S67+R67</f>
        <v>644415.36046280374</v>
      </c>
      <c r="U67" s="462">
        <f>+U66</f>
        <v>5506566.6857142895</v>
      </c>
      <c r="V67" s="459">
        <f>+V66</f>
        <v>239415.94285714286</v>
      </c>
      <c r="W67" s="459">
        <f t="shared" si="7"/>
        <v>5267150.742857147</v>
      </c>
      <c r="X67" s="787">
        <f>+U$30*W67+V67</f>
        <v>855809.26139250235</v>
      </c>
      <c r="Y67" s="462">
        <f>+Y66</f>
        <v>9427944.4999999907</v>
      </c>
      <c r="Z67" s="459">
        <f>+Z66</f>
        <v>414415.14285714284</v>
      </c>
      <c r="AA67" s="459">
        <f t="shared" si="8"/>
        <v>9013529.357142847</v>
      </c>
      <c r="AB67" s="787">
        <f>+Y$30*AA67+Z67</f>
        <v>1469231.9771198733</v>
      </c>
      <c r="AC67" s="462">
        <f>+AC66</f>
        <v>4517861.8571428526</v>
      </c>
      <c r="AD67" s="459">
        <f>+AD66</f>
        <v>190895.57142857142</v>
      </c>
      <c r="AE67" s="459">
        <f t="shared" si="9"/>
        <v>4326966.2857142808</v>
      </c>
      <c r="AF67" s="787">
        <f>+AC$30*AE67+AD67</f>
        <v>697262.91085946793</v>
      </c>
      <c r="AG67" s="462">
        <f>+AG66</f>
        <v>152363.40000000014</v>
      </c>
      <c r="AH67" s="459">
        <f>+AH66</f>
        <v>6218.9142857142861</v>
      </c>
      <c r="AI67" s="459">
        <f t="shared" si="10"/>
        <v>146144.48571428587</v>
      </c>
      <c r="AJ67" s="787">
        <f>+AG$30*AI67+AH67</f>
        <v>21961.856204480093</v>
      </c>
      <c r="AK67" s="462">
        <f>+AK66</f>
        <v>3538528.6999999979</v>
      </c>
      <c r="AL67" s="459">
        <f>+AL66</f>
        <v>144429.74285714285</v>
      </c>
      <c r="AM67" s="459">
        <f t="shared" si="11"/>
        <v>3394098.957142855</v>
      </c>
      <c r="AN67" s="787">
        <f>+AK$30*AM67+AL67</f>
        <v>510048.07246901665</v>
      </c>
      <c r="AO67" s="462">
        <f>+AO66</f>
        <v>11694594.999999993</v>
      </c>
      <c r="AP67" s="459">
        <f>+AP66</f>
        <v>467783.8</v>
      </c>
      <c r="AQ67" s="459">
        <f t="shared" si="12"/>
        <v>11226811.199999992</v>
      </c>
      <c r="AR67" s="787">
        <f>+AO$30*AQ67+AP67</f>
        <v>1781612.0441455503</v>
      </c>
      <c r="AS67" s="462">
        <f>+AS66</f>
        <v>7648747.8476190511</v>
      </c>
      <c r="AT67" s="459">
        <f>+AT66</f>
        <v>301924.25714285712</v>
      </c>
      <c r="AU67" s="459">
        <f t="shared" si="13"/>
        <v>7346823.5904761944</v>
      </c>
      <c r="AV67" s="787">
        <f>+AS$30*AU67+AT67</f>
        <v>1093337.0600754495</v>
      </c>
      <c r="AW67" s="462">
        <f>+AW66</f>
        <v>5133639.7463333346</v>
      </c>
      <c r="AX67" s="459">
        <f>+AX66</f>
        <v>207049.8</v>
      </c>
      <c r="AY67" s="459">
        <f t="shared" si="14"/>
        <v>4926589.9463333348</v>
      </c>
      <c r="AZ67" s="787">
        <f>+AW$30*AY67+AX67</f>
        <v>737750.76352680731</v>
      </c>
      <c r="BA67" s="811">
        <f t="shared" si="15"/>
        <v>9036077.7975962311</v>
      </c>
      <c r="BB67" s="461">
        <f>+BA67</f>
        <v>9036077.7975962311</v>
      </c>
      <c r="BC67" s="417"/>
      <c r="BQ67" s="667"/>
      <c r="BR67" s="667"/>
      <c r="BS67" s="667"/>
      <c r="BT67" s="667"/>
      <c r="BU67" s="667"/>
    </row>
    <row r="68" spans="1:73">
      <c r="A68">
        <f t="shared" si="0"/>
        <v>53</v>
      </c>
      <c r="C68" s="419" t="str">
        <f t="shared" si="2"/>
        <v>Base FCR</v>
      </c>
      <c r="D68" s="458">
        <f t="shared" si="1"/>
        <v>2024</v>
      </c>
      <c r="E68" s="459">
        <f>+G67</f>
        <v>8603616.3000000045</v>
      </c>
      <c r="F68" s="459">
        <f>+E$32</f>
        <v>419688.6</v>
      </c>
      <c r="G68" s="459">
        <f t="shared" si="3"/>
        <v>8183927.7000000048</v>
      </c>
      <c r="H68" s="885">
        <f>+E$29*G68+F68</f>
        <v>1301275.734942338</v>
      </c>
      <c r="I68" s="459">
        <f>+K67</f>
        <v>1815189.4857142861</v>
      </c>
      <c r="J68" s="459">
        <f>+I$32</f>
        <v>88545.828571428574</v>
      </c>
      <c r="K68" s="459">
        <f t="shared" si="4"/>
        <v>1726643.6571428576</v>
      </c>
      <c r="L68" s="787">
        <f>+I$29*K68+J68</f>
        <v>274542.9305212578</v>
      </c>
      <c r="M68" s="462">
        <f>+O67</f>
        <v>1416677.1</v>
      </c>
      <c r="N68" s="459">
        <f>+M$32</f>
        <v>69106.2</v>
      </c>
      <c r="O68" s="459">
        <f t="shared" si="5"/>
        <v>1347570.9000000001</v>
      </c>
      <c r="P68" s="787">
        <f>+M$29*O68+N68</f>
        <v>214268.91555804032</v>
      </c>
      <c r="Q68" s="462">
        <f>+S67</f>
        <v>3940472.700000002</v>
      </c>
      <c r="R68" s="459">
        <f>+Q$32</f>
        <v>183277.8</v>
      </c>
      <c r="S68" s="459">
        <f t="shared" si="6"/>
        <v>3757194.9000000022</v>
      </c>
      <c r="T68" s="787">
        <f>+Q$29*S68+R68</f>
        <v>588009.46537272353</v>
      </c>
      <c r="U68" s="462">
        <f>+W67</f>
        <v>5267150.742857147</v>
      </c>
      <c r="V68" s="459">
        <f>+U$32</f>
        <v>239415.94285714286</v>
      </c>
      <c r="W68" s="459">
        <f t="shared" si="7"/>
        <v>5027734.8000000045</v>
      </c>
      <c r="X68" s="787">
        <f>+U$29*W68+V68</f>
        <v>781012.40852263127</v>
      </c>
      <c r="Y68" s="462">
        <f>+AA67</f>
        <v>9013529.357142847</v>
      </c>
      <c r="Z68" s="459">
        <f>+Y$32</f>
        <v>414415.14285714284</v>
      </c>
      <c r="AA68" s="459">
        <f t="shared" si="8"/>
        <v>8599114.2142857034</v>
      </c>
      <c r="AB68" s="787">
        <f>+Y$29*AA68+Z68</f>
        <v>1340726.9018447082</v>
      </c>
      <c r="AC68" s="462">
        <f>+AE67</f>
        <v>4326966.2857142808</v>
      </c>
      <c r="AD68" s="459">
        <f>+AC$32</f>
        <v>190895.57142857142</v>
      </c>
      <c r="AE68" s="459">
        <f t="shared" si="9"/>
        <v>4136070.7142857094</v>
      </c>
      <c r="AF68" s="787">
        <f>+AC$29*AE68+AD68</f>
        <v>636440.40816094447</v>
      </c>
      <c r="AG68" s="462">
        <f>+AI67</f>
        <v>146144.48571428587</v>
      </c>
      <c r="AH68" s="459">
        <f>+AG$32</f>
        <v>6218.9142857142861</v>
      </c>
      <c r="AI68" s="459">
        <f t="shared" si="10"/>
        <v>139925.57142857159</v>
      </c>
      <c r="AJ68" s="787">
        <f>+AG$29*AI68+AH68</f>
        <v>21291.943782404953</v>
      </c>
      <c r="AK68" s="462">
        <f>+AM67</f>
        <v>3394098.957142855</v>
      </c>
      <c r="AL68" s="459">
        <f>+AK$32</f>
        <v>144429.74285714285</v>
      </c>
      <c r="AM68" s="459">
        <f t="shared" si="11"/>
        <v>3249669.2142857122</v>
      </c>
      <c r="AN68" s="787">
        <f>+AK$29*AM68+AL68</f>
        <v>494489.84567702201</v>
      </c>
      <c r="AO68" s="462">
        <f>+AQ67</f>
        <v>11226811.199999992</v>
      </c>
      <c r="AP68" s="459">
        <f>+AO$32</f>
        <v>467783.8</v>
      </c>
      <c r="AQ68" s="459">
        <f t="shared" si="12"/>
        <v>10759027.399999991</v>
      </c>
      <c r="AR68" s="787">
        <f>+AO$29*AQ68+AP68</f>
        <v>1626765.219194612</v>
      </c>
      <c r="AS68" s="462">
        <f>+AU67</f>
        <v>7346823.5904761944</v>
      </c>
      <c r="AT68" s="459">
        <f>+AS$32</f>
        <v>301924.25714285712</v>
      </c>
      <c r="AU68" s="459">
        <f t="shared" si="13"/>
        <v>7044899.3333333377</v>
      </c>
      <c r="AV68" s="787">
        <f>+AS$29*AU68+AT68</f>
        <v>1060813.2462563019</v>
      </c>
      <c r="AW68" s="462">
        <f>+AY67</f>
        <v>4926589.9463333348</v>
      </c>
      <c r="AX68" s="459">
        <f>+AW$32</f>
        <v>207049.8</v>
      </c>
      <c r="AY68" s="459">
        <f t="shared" si="14"/>
        <v>4719540.146333335</v>
      </c>
      <c r="AZ68" s="787">
        <f>+AW$29*AY68+AX68</f>
        <v>715446.99366672116</v>
      </c>
      <c r="BA68" s="811">
        <f t="shared" si="15"/>
        <v>8339637.0198329845</v>
      </c>
      <c r="BB68" s="295"/>
      <c r="BC68" s="460">
        <f>+BA68</f>
        <v>8339637.0198329845</v>
      </c>
      <c r="BQ68" s="667"/>
      <c r="BR68" s="667"/>
      <c r="BS68" s="667"/>
      <c r="BT68" s="667"/>
      <c r="BU68" s="667"/>
    </row>
    <row r="69" spans="1:73">
      <c r="A69">
        <f t="shared" si="0"/>
        <v>54</v>
      </c>
      <c r="C69" s="419" t="str">
        <f t="shared" si="2"/>
        <v>W Increased ROE</v>
      </c>
      <c r="D69" s="458">
        <f t="shared" si="1"/>
        <v>2024</v>
      </c>
      <c r="E69" s="459">
        <f>+E68</f>
        <v>8603616.3000000045</v>
      </c>
      <c r="F69" s="459">
        <f>+F68</f>
        <v>419688.6</v>
      </c>
      <c r="G69" s="459">
        <f t="shared" si="3"/>
        <v>8183927.7000000048</v>
      </c>
      <c r="H69" s="885">
        <f>+E$30*G69+F69</f>
        <v>1377420.5123621803</v>
      </c>
      <c r="I69" s="459">
        <f>+I68</f>
        <v>1815189.4857142861</v>
      </c>
      <c r="J69" s="459">
        <f>+J68</f>
        <v>88545.828571428574</v>
      </c>
      <c r="K69" s="459">
        <f t="shared" si="4"/>
        <v>1726643.6571428576</v>
      </c>
      <c r="L69" s="787">
        <f>+I$30*K69+J69</f>
        <v>290607.94255167025</v>
      </c>
      <c r="M69" s="462">
        <f>+M68</f>
        <v>1416677.1</v>
      </c>
      <c r="N69" s="459">
        <f>+N68</f>
        <v>69106.2</v>
      </c>
      <c r="O69" s="459">
        <f t="shared" si="5"/>
        <v>1347570.9000000001</v>
      </c>
      <c r="P69" s="787">
        <f>+M$30*O69+N69</f>
        <v>226806.96452418121</v>
      </c>
      <c r="Q69" s="462">
        <f>+Q68</f>
        <v>3940472.700000002</v>
      </c>
      <c r="R69" s="459">
        <f>+R68</f>
        <v>183277.8</v>
      </c>
      <c r="S69" s="459">
        <f t="shared" si="6"/>
        <v>3757194.9000000022</v>
      </c>
      <c r="T69" s="787">
        <f>+Q$30*S69+R69</f>
        <v>622967.10183662688</v>
      </c>
      <c r="U69" s="462">
        <f>+U68</f>
        <v>5267150.742857147</v>
      </c>
      <c r="V69" s="459">
        <f>+V68</f>
        <v>239415.94285714286</v>
      </c>
      <c r="W69" s="459">
        <f t="shared" si="7"/>
        <v>5027734.8000000045</v>
      </c>
      <c r="X69" s="787">
        <f>+U$30*W69+V69</f>
        <v>827791.38327725884</v>
      </c>
      <c r="Y69" s="462">
        <f>+Y68</f>
        <v>9013529.357142847</v>
      </c>
      <c r="Z69" s="459">
        <f>+Z68</f>
        <v>414415.14285714284</v>
      </c>
      <c r="AA69" s="459">
        <f t="shared" si="8"/>
        <v>8599114.2142857034</v>
      </c>
      <c r="AB69" s="787">
        <f>+Y$30*AA69+Z69</f>
        <v>1420734.6514066441</v>
      </c>
      <c r="AC69" s="462">
        <f>+AC68</f>
        <v>4326966.2857142808</v>
      </c>
      <c r="AD69" s="459">
        <f>+AD68</f>
        <v>190895.57142857142</v>
      </c>
      <c r="AE69" s="459">
        <f t="shared" si="9"/>
        <v>4136070.7142857094</v>
      </c>
      <c r="AF69" s="787">
        <f>+AC$30*AE69+AD69</f>
        <v>674923.17529634014</v>
      </c>
      <c r="AG69" s="462">
        <f>+AG68</f>
        <v>146144.48571428587</v>
      </c>
      <c r="AH69" s="459">
        <f>+AH68</f>
        <v>6218.9142857142861</v>
      </c>
      <c r="AI69" s="459">
        <f t="shared" si="10"/>
        <v>139925.57142857159</v>
      </c>
      <c r="AJ69" s="787">
        <f>+AG$30*AI69+AH69</f>
        <v>21291.943782404953</v>
      </c>
      <c r="AK69" s="462">
        <f>+AK68</f>
        <v>3394098.957142855</v>
      </c>
      <c r="AL69" s="459">
        <f>+AL68</f>
        <v>144429.74285714285</v>
      </c>
      <c r="AM69" s="459">
        <f t="shared" si="11"/>
        <v>3249669.2142857122</v>
      </c>
      <c r="AN69" s="787">
        <f>+AK$30*AM69+AL69</f>
        <v>494489.84567702201</v>
      </c>
      <c r="AO69" s="462">
        <f>+AO68</f>
        <v>11226811.199999992</v>
      </c>
      <c r="AP69" s="459">
        <f>+AP68</f>
        <v>467783.8</v>
      </c>
      <c r="AQ69" s="459">
        <f t="shared" si="12"/>
        <v>10759027.399999991</v>
      </c>
      <c r="AR69" s="787">
        <f>+AO$30*AQ69+AP69</f>
        <v>1726869.2006394856</v>
      </c>
      <c r="AS69" s="462">
        <f>+AS68</f>
        <v>7346823.5904761944</v>
      </c>
      <c r="AT69" s="459">
        <f>+AT68</f>
        <v>301924.25714285712</v>
      </c>
      <c r="AU69" s="459">
        <f t="shared" si="13"/>
        <v>7044899.3333333377</v>
      </c>
      <c r="AV69" s="787">
        <f>+AS$30*AU69+AT69</f>
        <v>1060813.2462563019</v>
      </c>
      <c r="AW69" s="462">
        <f>+AW68</f>
        <v>4926589.9463333348</v>
      </c>
      <c r="AX69" s="459">
        <f>+AX68</f>
        <v>207049.8</v>
      </c>
      <c r="AY69" s="459">
        <f t="shared" si="14"/>
        <v>4719540.146333335</v>
      </c>
      <c r="AZ69" s="787">
        <f>+AW$30*AY69+AX69</f>
        <v>715446.99366672116</v>
      </c>
      <c r="BA69" s="811">
        <f t="shared" si="15"/>
        <v>8744715.9676101152</v>
      </c>
      <c r="BB69" s="461">
        <f>+BA69</f>
        <v>8744715.9676101152</v>
      </c>
      <c r="BC69" s="417"/>
      <c r="BQ69" s="667"/>
      <c r="BR69" s="667"/>
      <c r="BS69" s="667"/>
      <c r="BT69" s="667"/>
      <c r="BU69" s="667"/>
    </row>
    <row r="70" spans="1:73">
      <c r="A70">
        <f t="shared" si="0"/>
        <v>55</v>
      </c>
      <c r="C70" s="419" t="str">
        <f t="shared" si="2"/>
        <v>Base FCR</v>
      </c>
      <c r="D70" s="458">
        <f t="shared" si="1"/>
        <v>2025</v>
      </c>
      <c r="E70" s="459">
        <f>+G69</f>
        <v>8183927.7000000048</v>
      </c>
      <c r="F70" s="459">
        <f>+E$32</f>
        <v>419688.6</v>
      </c>
      <c r="G70" s="459">
        <f t="shared" si="3"/>
        <v>7764239.1000000052</v>
      </c>
      <c r="H70" s="885">
        <f>+E$29*G70+F70</f>
        <v>1256066.1382786282</v>
      </c>
      <c r="I70" s="459">
        <f>+K69</f>
        <v>1726643.6571428576</v>
      </c>
      <c r="J70" s="459">
        <f>+I$32</f>
        <v>88545.828571428574</v>
      </c>
      <c r="K70" s="459">
        <f t="shared" si="4"/>
        <v>1638097.828571429</v>
      </c>
      <c r="L70" s="787">
        <f>+I$29*K70+J70</f>
        <v>265004.61760075367</v>
      </c>
      <c r="M70" s="462">
        <f>+O69</f>
        <v>1347570.9000000001</v>
      </c>
      <c r="N70" s="459">
        <f>+M$32</f>
        <v>69106.2</v>
      </c>
      <c r="O70" s="459">
        <f t="shared" si="5"/>
        <v>1278464.7000000002</v>
      </c>
      <c r="P70" s="787">
        <f>+M$29*O70+N70</f>
        <v>206824.67373455106</v>
      </c>
      <c r="Q70" s="462">
        <f>+S69</f>
        <v>3757194.9000000022</v>
      </c>
      <c r="R70" s="459">
        <f>+Q$32</f>
        <v>183277.8</v>
      </c>
      <c r="S70" s="459">
        <f t="shared" si="6"/>
        <v>3573917.1000000024</v>
      </c>
      <c r="T70" s="787">
        <f>+Q$29*S70+R70</f>
        <v>568266.45730576152</v>
      </c>
      <c r="U70" s="462">
        <f>+W69</f>
        <v>5027734.8000000045</v>
      </c>
      <c r="V70" s="459">
        <f>+U$32</f>
        <v>239415.94285714286</v>
      </c>
      <c r="W70" s="459">
        <f t="shared" si="7"/>
        <v>4788318.8571428619</v>
      </c>
      <c r="X70" s="787">
        <f>+U$29*W70+V70</f>
        <v>755222.10063379852</v>
      </c>
      <c r="Y70" s="462">
        <f>+AA69</f>
        <v>8599114.2142857034</v>
      </c>
      <c r="Z70" s="459">
        <f>+Y$32</f>
        <v>414415.14285714284</v>
      </c>
      <c r="AA70" s="459">
        <f t="shared" si="8"/>
        <v>8184699.0714285607</v>
      </c>
      <c r="AB70" s="787">
        <f>+Y$29*AA70+Z70</f>
        <v>1296085.3712910907</v>
      </c>
      <c r="AC70" s="462">
        <f>+AE69</f>
        <v>4136070.7142857094</v>
      </c>
      <c r="AD70" s="459">
        <f>+AC$32</f>
        <v>190895.57142857142</v>
      </c>
      <c r="AE70" s="459">
        <f t="shared" si="9"/>
        <v>3945175.1428571381</v>
      </c>
      <c r="AF70" s="787">
        <f>+AC$29*AE70+AD70</f>
        <v>615876.80031175795</v>
      </c>
      <c r="AG70" s="462">
        <f>+AI69</f>
        <v>139925.57142857159</v>
      </c>
      <c r="AH70" s="459">
        <f>+AG$32</f>
        <v>6218.9142857142861</v>
      </c>
      <c r="AI70" s="459">
        <f t="shared" si="10"/>
        <v>133706.65714285732</v>
      </c>
      <c r="AJ70" s="787">
        <f>+AG$29*AI70+AH70</f>
        <v>20622.031360329813</v>
      </c>
      <c r="AK70" s="462">
        <f>+AM69</f>
        <v>3249669.2142857122</v>
      </c>
      <c r="AL70" s="459">
        <f>+AK$32</f>
        <v>144429.74285714285</v>
      </c>
      <c r="AM70" s="459">
        <f t="shared" si="11"/>
        <v>3105239.4714285694</v>
      </c>
      <c r="AN70" s="787">
        <f>+AK$29*AM70+AL70</f>
        <v>478931.61888502736</v>
      </c>
      <c r="AO70" s="462">
        <f>+AQ69</f>
        <v>10759027.399999991</v>
      </c>
      <c r="AP70" s="459">
        <f>+AO$32</f>
        <v>467783.8</v>
      </c>
      <c r="AQ70" s="459">
        <f t="shared" si="12"/>
        <v>10291243.59999999</v>
      </c>
      <c r="AR70" s="787">
        <f>+AO$29*AQ70+AP70</f>
        <v>1576374.7227078897</v>
      </c>
      <c r="AS70" s="462">
        <f>+AU69</f>
        <v>7044899.3333333377</v>
      </c>
      <c r="AT70" s="459">
        <f>+AS$32</f>
        <v>301924.25714285712</v>
      </c>
      <c r="AU70" s="459">
        <f t="shared" si="13"/>
        <v>6742975.076190481</v>
      </c>
      <c r="AV70" s="787">
        <f>+AS$29*AU70+AT70</f>
        <v>1028289.4324371545</v>
      </c>
      <c r="AW70" s="462">
        <f>+AY69</f>
        <v>4719540.146333335</v>
      </c>
      <c r="AX70" s="459">
        <f>+AW$32</f>
        <v>207049.8</v>
      </c>
      <c r="AY70" s="459">
        <f t="shared" si="14"/>
        <v>4512490.3463333352</v>
      </c>
      <c r="AZ70" s="787">
        <f>+AW$29*AY70+AX70</f>
        <v>693143.22380663501</v>
      </c>
      <c r="BA70" s="811">
        <f t="shared" si="15"/>
        <v>8067563.9645467438</v>
      </c>
      <c r="BB70" s="295"/>
      <c r="BC70" s="460">
        <f>+BA70</f>
        <v>8067563.9645467438</v>
      </c>
      <c r="BQ70" s="667"/>
      <c r="BR70" s="667"/>
      <c r="BS70" s="667"/>
      <c r="BT70" s="667"/>
      <c r="BU70" s="667"/>
    </row>
    <row r="71" spans="1:73">
      <c r="A71">
        <f t="shared" si="0"/>
        <v>56</v>
      </c>
      <c r="C71" s="419" t="str">
        <f t="shared" si="2"/>
        <v>W Increased ROE</v>
      </c>
      <c r="D71" s="458">
        <f t="shared" si="1"/>
        <v>2025</v>
      </c>
      <c r="E71" s="459">
        <f>+E70</f>
        <v>8183927.7000000048</v>
      </c>
      <c r="F71" s="459">
        <f>+F70</f>
        <v>419688.6</v>
      </c>
      <c r="G71" s="459">
        <f t="shared" si="3"/>
        <v>7764239.1000000052</v>
      </c>
      <c r="H71" s="885">
        <f>+E$30*G71+F71</f>
        <v>1328306.0553179663</v>
      </c>
      <c r="I71" s="459">
        <f>+I70</f>
        <v>1726643.6571428576</v>
      </c>
      <c r="J71" s="459">
        <f>+J70</f>
        <v>88545.828571428574</v>
      </c>
      <c r="K71" s="459">
        <f t="shared" si="4"/>
        <v>1638097.828571429</v>
      </c>
      <c r="L71" s="787">
        <f>+I$30*K71+J71</f>
        <v>280245.78286037582</v>
      </c>
      <c r="M71" s="462">
        <f>+M70</f>
        <v>1347570.9000000001</v>
      </c>
      <c r="N71" s="459">
        <f>+N70</f>
        <v>69106.2</v>
      </c>
      <c r="O71" s="459">
        <f t="shared" si="5"/>
        <v>1278464.7000000002</v>
      </c>
      <c r="P71" s="787">
        <f>+M$30*O71+N71</f>
        <v>218719.74583063344</v>
      </c>
      <c r="Q71" s="462">
        <f>+Q70</f>
        <v>3757194.9000000022</v>
      </c>
      <c r="R71" s="459">
        <f>+R70</f>
        <v>183277.8</v>
      </c>
      <c r="S71" s="459">
        <f t="shared" si="6"/>
        <v>3573917.1000000024</v>
      </c>
      <c r="T71" s="787">
        <f>+Q$30*S71+R71</f>
        <v>601518.84321044991</v>
      </c>
      <c r="U71" s="462">
        <f>+U70</f>
        <v>5027734.8000000045</v>
      </c>
      <c r="V71" s="459">
        <f>+V70</f>
        <v>239415.94285714286</v>
      </c>
      <c r="W71" s="459">
        <f t="shared" si="7"/>
        <v>4788318.8571428619</v>
      </c>
      <c r="X71" s="787">
        <f>+U$30*W71+V71</f>
        <v>799773.50516201521</v>
      </c>
      <c r="Y71" s="462">
        <f>+Y70</f>
        <v>8599114.2142857034</v>
      </c>
      <c r="Z71" s="459">
        <f>+Z70</f>
        <v>414415.14285714284</v>
      </c>
      <c r="AA71" s="459">
        <f t="shared" si="8"/>
        <v>8184699.0714285607</v>
      </c>
      <c r="AB71" s="787">
        <f>+Y$30*AA71+Z71</f>
        <v>1372237.325693415</v>
      </c>
      <c r="AC71" s="462">
        <f>+AC70</f>
        <v>4136070.7142857094</v>
      </c>
      <c r="AD71" s="459">
        <f>+AD70</f>
        <v>190895.57142857142</v>
      </c>
      <c r="AE71" s="459">
        <f t="shared" si="9"/>
        <v>3945175.1428571381</v>
      </c>
      <c r="AF71" s="787">
        <f>+AC$30*AE71+AD71</f>
        <v>652583.43973321235</v>
      </c>
      <c r="AG71" s="462">
        <f>+AG70</f>
        <v>139925.57142857159</v>
      </c>
      <c r="AH71" s="459">
        <f>+AH70</f>
        <v>6218.9142857142861</v>
      </c>
      <c r="AI71" s="459">
        <f t="shared" si="10"/>
        <v>133706.65714285732</v>
      </c>
      <c r="AJ71" s="787">
        <f>+AG$30*AI71+AH71</f>
        <v>20622.031360329813</v>
      </c>
      <c r="AK71" s="462">
        <f>+AK70</f>
        <v>3249669.2142857122</v>
      </c>
      <c r="AL71" s="459">
        <f>+AL70</f>
        <v>144429.74285714285</v>
      </c>
      <c r="AM71" s="459">
        <f t="shared" si="11"/>
        <v>3105239.4714285694</v>
      </c>
      <c r="AN71" s="787">
        <f>+AK$30*AM71+AL71</f>
        <v>478931.61888502736</v>
      </c>
      <c r="AO71" s="462">
        <f>+AO70</f>
        <v>10759027.399999991</v>
      </c>
      <c r="AP71" s="459">
        <f>+AP70</f>
        <v>467783.8</v>
      </c>
      <c r="AQ71" s="459">
        <f t="shared" si="12"/>
        <v>10291243.59999999</v>
      </c>
      <c r="AR71" s="787">
        <f>+AO$30*AQ71+AP71</f>
        <v>1672126.3571334209</v>
      </c>
      <c r="AS71" s="462">
        <f>+AS70</f>
        <v>7044899.3333333377</v>
      </c>
      <c r="AT71" s="459">
        <f>+AT70</f>
        <v>301924.25714285712</v>
      </c>
      <c r="AU71" s="459">
        <f t="shared" si="13"/>
        <v>6742975.076190481</v>
      </c>
      <c r="AV71" s="787">
        <f>+AS$30*AU71+AT71</f>
        <v>1028289.4324371545</v>
      </c>
      <c r="AW71" s="462">
        <f>+AW70</f>
        <v>4719540.146333335</v>
      </c>
      <c r="AX71" s="459">
        <f>+AX70</f>
        <v>207049.8</v>
      </c>
      <c r="AY71" s="459">
        <f t="shared" si="14"/>
        <v>4512490.3463333352</v>
      </c>
      <c r="AZ71" s="787">
        <f>+AW$30*AY71+AX71</f>
        <v>693143.22380663501</v>
      </c>
      <c r="BA71" s="811">
        <f t="shared" si="15"/>
        <v>8453354.1376240011</v>
      </c>
      <c r="BB71" s="461">
        <f>+BA71</f>
        <v>8453354.1376240011</v>
      </c>
      <c r="BC71" s="417"/>
      <c r="BQ71" s="667"/>
      <c r="BR71" s="667"/>
      <c r="BS71" s="667"/>
      <c r="BT71" s="667"/>
      <c r="BU71" s="667"/>
    </row>
    <row r="72" spans="1:73">
      <c r="A72">
        <f t="shared" si="0"/>
        <v>57</v>
      </c>
      <c r="C72" s="419" t="str">
        <f t="shared" si="2"/>
        <v>Base FCR</v>
      </c>
      <c r="D72" s="458">
        <f t="shared" si="1"/>
        <v>2026</v>
      </c>
      <c r="E72" s="459">
        <f>+G71</f>
        <v>7764239.1000000052</v>
      </c>
      <c r="F72" s="459">
        <f>+E$32</f>
        <v>419688.6</v>
      </c>
      <c r="G72" s="459">
        <f t="shared" si="3"/>
        <v>7344550.5000000056</v>
      </c>
      <c r="H72" s="885">
        <f>+E$29*G72+F72</f>
        <v>1210856.5416149185</v>
      </c>
      <c r="I72" s="459">
        <f>+K71</f>
        <v>1638097.828571429</v>
      </c>
      <c r="J72" s="459">
        <f>+I$32</f>
        <v>88545.828571428574</v>
      </c>
      <c r="K72" s="459">
        <f t="shared" si="4"/>
        <v>1549552.0000000005</v>
      </c>
      <c r="L72" s="787">
        <f>+I$29*K72+J72</f>
        <v>255466.30468024965</v>
      </c>
      <c r="M72" s="462">
        <f>+O71</f>
        <v>1278464.7000000002</v>
      </c>
      <c r="N72" s="459">
        <f>+M$32</f>
        <v>69106.2</v>
      </c>
      <c r="O72" s="459">
        <f t="shared" si="5"/>
        <v>1209358.5000000002</v>
      </c>
      <c r="P72" s="787">
        <f>+M$29*O72+N72</f>
        <v>199380.43191106181</v>
      </c>
      <c r="Q72" s="462">
        <f>+S71</f>
        <v>3573917.1000000024</v>
      </c>
      <c r="R72" s="459">
        <f>+Q$32</f>
        <v>183277.8</v>
      </c>
      <c r="S72" s="459">
        <f t="shared" si="6"/>
        <v>3390639.3000000026</v>
      </c>
      <c r="T72" s="787">
        <f>+Q$29*S72+R72</f>
        <v>548523.4492387994</v>
      </c>
      <c r="U72" s="462">
        <f>+W71</f>
        <v>4788318.8571428619</v>
      </c>
      <c r="V72" s="459">
        <f>+U$32</f>
        <v>239415.94285714286</v>
      </c>
      <c r="W72" s="459">
        <f t="shared" si="7"/>
        <v>4548902.9142857194</v>
      </c>
      <c r="X72" s="787">
        <f>+U$29*W72+V72</f>
        <v>729431.79274496576</v>
      </c>
      <c r="Y72" s="462">
        <f>+AA71</f>
        <v>8184699.0714285607</v>
      </c>
      <c r="Z72" s="459">
        <f>+Y$32</f>
        <v>414415.14285714284</v>
      </c>
      <c r="AA72" s="459">
        <f t="shared" si="8"/>
        <v>7770283.9285714179</v>
      </c>
      <c r="AB72" s="787">
        <f>+Y$29*AA72+Z72</f>
        <v>1251443.840737473</v>
      </c>
      <c r="AC72" s="462">
        <f>+AE71</f>
        <v>3945175.1428571381</v>
      </c>
      <c r="AD72" s="459">
        <f>+AC$32</f>
        <v>190895.57142857142</v>
      </c>
      <c r="AE72" s="459">
        <f t="shared" si="9"/>
        <v>3754279.5714285667</v>
      </c>
      <c r="AF72" s="787">
        <f>+AC$29*AE72+AD72</f>
        <v>595313.19246257155</v>
      </c>
      <c r="AG72" s="462">
        <f>+AI71</f>
        <v>133706.65714285732</v>
      </c>
      <c r="AH72" s="459">
        <f>+AG$32</f>
        <v>6218.9142857142861</v>
      </c>
      <c r="AI72" s="459">
        <f t="shared" si="10"/>
        <v>127487.74285714304</v>
      </c>
      <c r="AJ72" s="787">
        <f>+AG$29*AI72+AH72</f>
        <v>19952.118938254673</v>
      </c>
      <c r="AK72" s="462">
        <f>+AM71</f>
        <v>3105239.4714285694</v>
      </c>
      <c r="AL72" s="459">
        <f>+AK$32</f>
        <v>144429.74285714285</v>
      </c>
      <c r="AM72" s="459">
        <f t="shared" si="11"/>
        <v>2960809.7285714266</v>
      </c>
      <c r="AN72" s="787">
        <f>+AK$29*AM72+AL72</f>
        <v>463373.39209303271</v>
      </c>
      <c r="AO72" s="462">
        <f>+AQ71</f>
        <v>10291243.59999999</v>
      </c>
      <c r="AP72" s="459">
        <f>+AO$32</f>
        <v>467783.8</v>
      </c>
      <c r="AQ72" s="459">
        <f t="shared" si="12"/>
        <v>9823459.7999999896</v>
      </c>
      <c r="AR72" s="787">
        <f>+AO$29*AQ72+AP72</f>
        <v>1525984.2262211672</v>
      </c>
      <c r="AS72" s="462">
        <f>+AU71</f>
        <v>6742975.076190481</v>
      </c>
      <c r="AT72" s="459">
        <f>+AS$32</f>
        <v>301924.25714285712</v>
      </c>
      <c r="AU72" s="459">
        <f t="shared" si="13"/>
        <v>6441050.8190476242</v>
      </c>
      <c r="AV72" s="787">
        <f>+AS$29*AU72+AT72</f>
        <v>995765.61861800682</v>
      </c>
      <c r="AW72" s="462">
        <f>+AY71</f>
        <v>4512490.3463333352</v>
      </c>
      <c r="AX72" s="459">
        <f>+AW$32</f>
        <v>207049.8</v>
      </c>
      <c r="AY72" s="459">
        <f t="shared" si="14"/>
        <v>4305440.5463333353</v>
      </c>
      <c r="AZ72" s="787">
        <f>+AW$29*AY72+AX72</f>
        <v>670839.45394654898</v>
      </c>
      <c r="BA72" s="811">
        <f t="shared" si="15"/>
        <v>7795490.9092605021</v>
      </c>
      <c r="BB72" s="295"/>
      <c r="BC72" s="460">
        <f>+BA72</f>
        <v>7795490.9092605021</v>
      </c>
      <c r="BQ72" s="667"/>
      <c r="BR72" s="667"/>
      <c r="BS72" s="667"/>
      <c r="BT72" s="667"/>
      <c r="BU72" s="667"/>
    </row>
    <row r="73" spans="1:73">
      <c r="A73">
        <f t="shared" si="0"/>
        <v>58</v>
      </c>
      <c r="C73" s="419" t="str">
        <f t="shared" si="2"/>
        <v>W Increased ROE</v>
      </c>
      <c r="D73" s="458">
        <f t="shared" si="1"/>
        <v>2026</v>
      </c>
      <c r="E73" s="459">
        <f>+E72</f>
        <v>7764239.1000000052</v>
      </c>
      <c r="F73" s="459">
        <f>+F72</f>
        <v>419688.6</v>
      </c>
      <c r="G73" s="459">
        <f t="shared" si="3"/>
        <v>7344550.5000000056</v>
      </c>
      <c r="H73" s="885">
        <f>+E$30*G73+F73</f>
        <v>1279191.5982737518</v>
      </c>
      <c r="I73" s="459">
        <f>+I72</f>
        <v>1638097.828571429</v>
      </c>
      <c r="J73" s="459">
        <f>+J72</f>
        <v>88545.828571428574</v>
      </c>
      <c r="K73" s="459">
        <f t="shared" si="4"/>
        <v>1549552.0000000005</v>
      </c>
      <c r="L73" s="787">
        <f>+I$30*K73+J73</f>
        <v>269883.6231690814</v>
      </c>
      <c r="M73" s="462">
        <f>+M72</f>
        <v>1278464.7000000002</v>
      </c>
      <c r="N73" s="459">
        <f>+N72</f>
        <v>69106.2</v>
      </c>
      <c r="O73" s="459">
        <f t="shared" si="5"/>
        <v>1209358.5000000002</v>
      </c>
      <c r="P73" s="787">
        <f>+M$30*O73+N73</f>
        <v>210632.52713708574</v>
      </c>
      <c r="Q73" s="462">
        <f>+Q72</f>
        <v>3573917.1000000024</v>
      </c>
      <c r="R73" s="459">
        <f>+R72</f>
        <v>183277.8</v>
      </c>
      <c r="S73" s="459">
        <f t="shared" si="6"/>
        <v>3390639.3000000026</v>
      </c>
      <c r="T73" s="787">
        <f>+Q$30*S73+R73</f>
        <v>580070.58458427305</v>
      </c>
      <c r="U73" s="462">
        <f>+U72</f>
        <v>4788318.8571428619</v>
      </c>
      <c r="V73" s="459">
        <f>+V72</f>
        <v>239415.94285714286</v>
      </c>
      <c r="W73" s="459">
        <f t="shared" si="7"/>
        <v>4548902.9142857194</v>
      </c>
      <c r="X73" s="787">
        <f>+U$30*W73+V73</f>
        <v>771755.6270467717</v>
      </c>
      <c r="Y73" s="462">
        <f>+Y72</f>
        <v>8184699.0714285607</v>
      </c>
      <c r="Z73" s="459">
        <f>+Z72</f>
        <v>414415.14285714284</v>
      </c>
      <c r="AA73" s="459">
        <f t="shared" si="8"/>
        <v>7770283.9285714179</v>
      </c>
      <c r="AB73" s="787">
        <f>+Y$30*AA73+Z73</f>
        <v>1323739.9999801861</v>
      </c>
      <c r="AC73" s="462">
        <f>+AC72</f>
        <v>3945175.1428571381</v>
      </c>
      <c r="AD73" s="459">
        <f>+AD72</f>
        <v>190895.57142857142</v>
      </c>
      <c r="AE73" s="459">
        <f t="shared" si="9"/>
        <v>3754279.5714285667</v>
      </c>
      <c r="AF73" s="787">
        <f>+AC$30*AE73+AD73</f>
        <v>630243.70417008456</v>
      </c>
      <c r="AG73" s="462">
        <f>+AG72</f>
        <v>133706.65714285732</v>
      </c>
      <c r="AH73" s="459">
        <f>+AH72</f>
        <v>6218.9142857142861</v>
      </c>
      <c r="AI73" s="459">
        <f t="shared" si="10"/>
        <v>127487.74285714304</v>
      </c>
      <c r="AJ73" s="787">
        <f>+AG$30*AI73+AH73</f>
        <v>19952.118938254673</v>
      </c>
      <c r="AK73" s="462">
        <f>+AK72</f>
        <v>3105239.4714285694</v>
      </c>
      <c r="AL73" s="459">
        <f>+AL72</f>
        <v>144429.74285714285</v>
      </c>
      <c r="AM73" s="459">
        <f t="shared" si="11"/>
        <v>2960809.7285714266</v>
      </c>
      <c r="AN73" s="787">
        <f>+AK$30*AM73+AL73</f>
        <v>463373.39209303271</v>
      </c>
      <c r="AO73" s="462">
        <f>+AO72</f>
        <v>10291243.59999999</v>
      </c>
      <c r="AP73" s="459">
        <f>+AP72</f>
        <v>467783.8</v>
      </c>
      <c r="AQ73" s="459">
        <f t="shared" si="12"/>
        <v>9823459.7999999896</v>
      </c>
      <c r="AR73" s="787">
        <f>+AO$30*AQ73+AP73</f>
        <v>1617383.5136273562</v>
      </c>
      <c r="AS73" s="462">
        <f>+AS72</f>
        <v>6742975.076190481</v>
      </c>
      <c r="AT73" s="459">
        <f>+AT72</f>
        <v>301924.25714285712</v>
      </c>
      <c r="AU73" s="459">
        <f t="shared" si="13"/>
        <v>6441050.8190476242</v>
      </c>
      <c r="AV73" s="787">
        <f>+AS$30*AU73+AT73</f>
        <v>995765.61861800682</v>
      </c>
      <c r="AW73" s="462">
        <f>+AW72</f>
        <v>4512490.3463333352</v>
      </c>
      <c r="AX73" s="459">
        <f>+AX72</f>
        <v>207049.8</v>
      </c>
      <c r="AY73" s="459">
        <f t="shared" si="14"/>
        <v>4305440.5463333353</v>
      </c>
      <c r="AZ73" s="787">
        <f>+AW$30*AY73+AX73</f>
        <v>670839.45394654898</v>
      </c>
      <c r="BA73" s="811">
        <f t="shared" si="15"/>
        <v>8161992.3076378843</v>
      </c>
      <c r="BB73" s="461">
        <f>+BA73</f>
        <v>8161992.3076378843</v>
      </c>
      <c r="BC73" s="417"/>
      <c r="BQ73" s="667"/>
      <c r="BR73" s="667"/>
      <c r="BS73" s="667"/>
      <c r="BT73" s="667"/>
      <c r="BU73" s="667"/>
    </row>
    <row r="74" spans="1:73">
      <c r="A74">
        <f t="shared" si="0"/>
        <v>59</v>
      </c>
      <c r="C74" s="419" t="str">
        <f t="shared" si="2"/>
        <v>Base FCR</v>
      </c>
      <c r="D74" s="458">
        <f t="shared" si="1"/>
        <v>2027</v>
      </c>
      <c r="E74" s="459">
        <f>+G73</f>
        <v>7344550.5000000056</v>
      </c>
      <c r="F74" s="459">
        <f>+E$32</f>
        <v>419688.6</v>
      </c>
      <c r="G74" s="459">
        <f t="shared" si="3"/>
        <v>6924861.900000006</v>
      </c>
      <c r="H74" s="885">
        <f>+E$29*G74+F74</f>
        <v>1165646.9449512092</v>
      </c>
      <c r="I74" s="459">
        <f>+K73</f>
        <v>1549552.0000000005</v>
      </c>
      <c r="J74" s="459">
        <f>+I$32</f>
        <v>88545.828571428574</v>
      </c>
      <c r="K74" s="459">
        <f t="shared" si="4"/>
        <v>1461006.1714285719</v>
      </c>
      <c r="L74" s="787">
        <f>+I$29*K74+J74</f>
        <v>245927.99175974561</v>
      </c>
      <c r="M74" s="462">
        <f>+O73</f>
        <v>1209358.5000000002</v>
      </c>
      <c r="N74" s="459">
        <f>+M$32</f>
        <v>69106.2</v>
      </c>
      <c r="O74" s="459">
        <f t="shared" si="5"/>
        <v>1140252.3000000003</v>
      </c>
      <c r="P74" s="787">
        <f>+M$29*O74+N74</f>
        <v>191936.19008757258</v>
      </c>
      <c r="Q74" s="462">
        <f>+S73</f>
        <v>3390639.3000000026</v>
      </c>
      <c r="R74" s="459">
        <f>+Q$32</f>
        <v>183277.8</v>
      </c>
      <c r="S74" s="459">
        <f t="shared" si="6"/>
        <v>3207361.5000000028</v>
      </c>
      <c r="T74" s="787">
        <f>+Q$29*S74+R74</f>
        <v>528780.44117183727</v>
      </c>
      <c r="U74" s="462">
        <f>+W73</f>
        <v>4548902.9142857194</v>
      </c>
      <c r="V74" s="459">
        <f>+U$32</f>
        <v>239415.94285714286</v>
      </c>
      <c r="W74" s="459">
        <f t="shared" si="7"/>
        <v>4309486.9714285769</v>
      </c>
      <c r="X74" s="787">
        <f>+U$29*W74+V74</f>
        <v>703641.48485613312</v>
      </c>
      <c r="Y74" s="462">
        <f>+AA73</f>
        <v>7770283.9285714179</v>
      </c>
      <c r="Z74" s="459">
        <f>+Y$32</f>
        <v>414415.14285714284</v>
      </c>
      <c r="AA74" s="459">
        <f t="shared" si="8"/>
        <v>7355868.7857142752</v>
      </c>
      <c r="AB74" s="787">
        <f>+Y$29*AA74+Z74</f>
        <v>1206802.3101838552</v>
      </c>
      <c r="AC74" s="462">
        <f>+AE73</f>
        <v>3754279.5714285667</v>
      </c>
      <c r="AD74" s="459">
        <f>+AC$32</f>
        <v>190895.57142857142</v>
      </c>
      <c r="AE74" s="459">
        <f t="shared" si="9"/>
        <v>3563383.9999999953</v>
      </c>
      <c r="AF74" s="787">
        <f>+AC$29*AE74+AD74</f>
        <v>574749.58461338514</v>
      </c>
      <c r="AG74" s="462">
        <f>+AI73</f>
        <v>127487.74285714304</v>
      </c>
      <c r="AH74" s="459">
        <f>+AG$32</f>
        <v>6218.9142857142861</v>
      </c>
      <c r="AI74" s="459">
        <f t="shared" si="10"/>
        <v>121268.82857142875</v>
      </c>
      <c r="AJ74" s="787">
        <f>+AG$29*AI74+AH74</f>
        <v>19282.206516179533</v>
      </c>
      <c r="AK74" s="462">
        <f>+AM73</f>
        <v>2960809.7285714266</v>
      </c>
      <c r="AL74" s="459">
        <f>+AK$32</f>
        <v>144429.74285714285</v>
      </c>
      <c r="AM74" s="459">
        <f t="shared" si="11"/>
        <v>2816379.9857142838</v>
      </c>
      <c r="AN74" s="787">
        <f>+AK$29*AM74+AL74</f>
        <v>447815.16530103819</v>
      </c>
      <c r="AO74" s="462">
        <f>+AQ73</f>
        <v>9823459.7999999896</v>
      </c>
      <c r="AP74" s="459">
        <f>+AO$32</f>
        <v>467783.8</v>
      </c>
      <c r="AQ74" s="459">
        <f t="shared" si="12"/>
        <v>9355675.9999999888</v>
      </c>
      <c r="AR74" s="787">
        <f>+AO$29*AQ74+AP74</f>
        <v>1475593.7297344448</v>
      </c>
      <c r="AS74" s="462">
        <f>+AU73</f>
        <v>6441050.8190476242</v>
      </c>
      <c r="AT74" s="459">
        <f>+AS$32</f>
        <v>301924.25714285712</v>
      </c>
      <c r="AU74" s="459">
        <f t="shared" si="13"/>
        <v>6139126.5619047675</v>
      </c>
      <c r="AV74" s="787">
        <f>+AS$29*AU74+AT74</f>
        <v>963241.80479885917</v>
      </c>
      <c r="AW74" s="462">
        <f>+AY73</f>
        <v>4305440.5463333353</v>
      </c>
      <c r="AX74" s="459">
        <f>+AW$32</f>
        <v>207049.8</v>
      </c>
      <c r="AY74" s="459">
        <f t="shared" si="14"/>
        <v>4098390.7463333355</v>
      </c>
      <c r="AZ74" s="787">
        <f>+AW$29*AY74+AX74</f>
        <v>648535.68408646295</v>
      </c>
      <c r="BA74" s="811">
        <f t="shared" si="15"/>
        <v>7523417.8539742595</v>
      </c>
      <c r="BB74" s="295"/>
      <c r="BC74" s="460">
        <f>+BA74</f>
        <v>7523417.8539742595</v>
      </c>
      <c r="BQ74" s="667"/>
      <c r="BR74" s="667"/>
      <c r="BS74" s="667"/>
      <c r="BT74" s="667"/>
      <c r="BU74" s="667"/>
    </row>
    <row r="75" spans="1:73">
      <c r="A75">
        <f t="shared" si="0"/>
        <v>60</v>
      </c>
      <c r="C75" s="419" t="str">
        <f t="shared" si="2"/>
        <v>W Increased ROE</v>
      </c>
      <c r="D75" s="458">
        <f t="shared" si="1"/>
        <v>2027</v>
      </c>
      <c r="E75" s="459">
        <f>+E74</f>
        <v>7344550.5000000056</v>
      </c>
      <c r="F75" s="459">
        <f>+F74</f>
        <v>419688.6</v>
      </c>
      <c r="G75" s="459">
        <f t="shared" si="3"/>
        <v>6924861.900000006</v>
      </c>
      <c r="H75" s="885">
        <f>+E$30*G75+F75</f>
        <v>1230077.1412295375</v>
      </c>
      <c r="I75" s="459">
        <f>+I74</f>
        <v>1549552.0000000005</v>
      </c>
      <c r="J75" s="459">
        <f>+J74</f>
        <v>88545.828571428574</v>
      </c>
      <c r="K75" s="459">
        <f t="shared" si="4"/>
        <v>1461006.1714285719</v>
      </c>
      <c r="L75" s="787">
        <f>+I$30*K75+J75</f>
        <v>259521.46347778692</v>
      </c>
      <c r="M75" s="462">
        <f>+M74</f>
        <v>1209358.5000000002</v>
      </c>
      <c r="N75" s="459">
        <f>+N74</f>
        <v>69106.2</v>
      </c>
      <c r="O75" s="459">
        <f t="shared" si="5"/>
        <v>1140252.3000000003</v>
      </c>
      <c r="P75" s="787">
        <f>+M$30*O75+N75</f>
        <v>202545.30844353797</v>
      </c>
      <c r="Q75" s="462">
        <f>+Q74</f>
        <v>3390639.3000000026</v>
      </c>
      <c r="R75" s="459">
        <f>+R74</f>
        <v>183277.8</v>
      </c>
      <c r="S75" s="459">
        <f t="shared" si="6"/>
        <v>3207361.5000000028</v>
      </c>
      <c r="T75" s="787">
        <f>+Q$30*S75+R75</f>
        <v>558622.32595809619</v>
      </c>
      <c r="U75" s="462">
        <f>+U74</f>
        <v>4548902.9142857194</v>
      </c>
      <c r="V75" s="459">
        <f>+V74</f>
        <v>239415.94285714286</v>
      </c>
      <c r="W75" s="459">
        <f t="shared" si="7"/>
        <v>4309486.9714285769</v>
      </c>
      <c r="X75" s="787">
        <f>+U$30*W75+V75</f>
        <v>743737.74893152807</v>
      </c>
      <c r="Y75" s="462">
        <f>+Y74</f>
        <v>7770283.9285714179</v>
      </c>
      <c r="Z75" s="459">
        <f>+Z74</f>
        <v>414415.14285714284</v>
      </c>
      <c r="AA75" s="459">
        <f t="shared" si="8"/>
        <v>7355868.7857142752</v>
      </c>
      <c r="AB75" s="787">
        <f>+Y$30*AA75+Z75</f>
        <v>1275242.6742669572</v>
      </c>
      <c r="AC75" s="462">
        <f>+AC74</f>
        <v>3754279.5714285667</v>
      </c>
      <c r="AD75" s="459">
        <f>+AD74</f>
        <v>190895.57142857142</v>
      </c>
      <c r="AE75" s="459">
        <f t="shared" si="9"/>
        <v>3563383.9999999953</v>
      </c>
      <c r="AF75" s="787">
        <f>+AC$30*AE75+AD75</f>
        <v>607903.96860695677</v>
      </c>
      <c r="AG75" s="462">
        <f>+AG74</f>
        <v>127487.74285714304</v>
      </c>
      <c r="AH75" s="459">
        <f>+AH74</f>
        <v>6218.9142857142861</v>
      </c>
      <c r="AI75" s="459">
        <f t="shared" si="10"/>
        <v>121268.82857142875</v>
      </c>
      <c r="AJ75" s="787">
        <f>+AG$30*AI75+AH75</f>
        <v>19282.206516179533</v>
      </c>
      <c r="AK75" s="462">
        <f>+AK74</f>
        <v>2960809.7285714266</v>
      </c>
      <c r="AL75" s="459">
        <f>+AL74</f>
        <v>144429.74285714285</v>
      </c>
      <c r="AM75" s="459">
        <f t="shared" si="11"/>
        <v>2816379.9857142838</v>
      </c>
      <c r="AN75" s="787">
        <f>+AK$30*AM75+AL75</f>
        <v>447815.16530103819</v>
      </c>
      <c r="AO75" s="462">
        <f>+AO74</f>
        <v>9823459.7999999896</v>
      </c>
      <c r="AP75" s="459">
        <f>+AP74</f>
        <v>467783.8</v>
      </c>
      <c r="AQ75" s="459">
        <f t="shared" si="12"/>
        <v>9355675.9999999888</v>
      </c>
      <c r="AR75" s="787">
        <f>+AO$30*AQ75+AP75</f>
        <v>1562640.6701212914</v>
      </c>
      <c r="AS75" s="462">
        <f>+AS74</f>
        <v>6441050.8190476242</v>
      </c>
      <c r="AT75" s="459">
        <f>+AT74</f>
        <v>301924.25714285712</v>
      </c>
      <c r="AU75" s="459">
        <f t="shared" si="13"/>
        <v>6139126.5619047675</v>
      </c>
      <c r="AV75" s="787">
        <f>+AS$30*AU75+AT75</f>
        <v>963241.80479885917</v>
      </c>
      <c r="AW75" s="462">
        <f>+AW74</f>
        <v>4305440.5463333353</v>
      </c>
      <c r="AX75" s="459">
        <f>+AX74</f>
        <v>207049.8</v>
      </c>
      <c r="AY75" s="459">
        <f t="shared" si="14"/>
        <v>4098390.7463333355</v>
      </c>
      <c r="AZ75" s="787">
        <f>+AW$30*AY75+AX75</f>
        <v>648535.68408646295</v>
      </c>
      <c r="BA75" s="811">
        <f t="shared" si="15"/>
        <v>7870630.4776517674</v>
      </c>
      <c r="BB75" s="461">
        <f>+BA75</f>
        <v>7870630.4776517674</v>
      </c>
      <c r="BC75" s="417"/>
      <c r="BQ75" s="667"/>
      <c r="BR75" s="667"/>
      <c r="BS75" s="667"/>
      <c r="BT75" s="667"/>
      <c r="BU75" s="667"/>
    </row>
    <row r="76" spans="1:73">
      <c r="A76">
        <f t="shared" si="0"/>
        <v>61</v>
      </c>
      <c r="C76" s="419"/>
      <c r="D76" s="463" t="s">
        <v>296</v>
      </c>
      <c r="E76" s="464" t="s">
        <v>296</v>
      </c>
      <c r="F76" s="464" t="s">
        <v>296</v>
      </c>
      <c r="G76" s="464" t="s">
        <v>297</v>
      </c>
      <c r="H76" s="812" t="s">
        <v>296</v>
      </c>
      <c r="I76" s="464" t="s">
        <v>296</v>
      </c>
      <c r="J76" s="464" t="s">
        <v>296</v>
      </c>
      <c r="K76" s="464" t="s">
        <v>297</v>
      </c>
      <c r="L76" s="812" t="s">
        <v>296</v>
      </c>
      <c r="M76" s="464" t="s">
        <v>296</v>
      </c>
      <c r="N76" s="464" t="s">
        <v>296</v>
      </c>
      <c r="O76" s="464" t="s">
        <v>297</v>
      </c>
      <c r="P76" s="812" t="s">
        <v>296</v>
      </c>
      <c r="Q76" s="464" t="s">
        <v>296</v>
      </c>
      <c r="R76" s="464" t="s">
        <v>296</v>
      </c>
      <c r="S76" s="464" t="s">
        <v>297</v>
      </c>
      <c r="T76" s="812" t="s">
        <v>296</v>
      </c>
      <c r="U76" s="464" t="s">
        <v>296</v>
      </c>
      <c r="V76" s="464" t="s">
        <v>296</v>
      </c>
      <c r="W76" s="464" t="s">
        <v>297</v>
      </c>
      <c r="X76" s="812" t="s">
        <v>296</v>
      </c>
      <c r="Y76" s="464" t="s">
        <v>296</v>
      </c>
      <c r="Z76" s="464" t="s">
        <v>296</v>
      </c>
      <c r="AA76" s="464" t="s">
        <v>297</v>
      </c>
      <c r="AB76" s="812" t="s">
        <v>296</v>
      </c>
      <c r="AC76" s="464" t="s">
        <v>296</v>
      </c>
      <c r="AD76" s="464" t="s">
        <v>296</v>
      </c>
      <c r="AE76" s="464" t="s">
        <v>297</v>
      </c>
      <c r="AF76" s="812" t="s">
        <v>296</v>
      </c>
      <c r="AG76" s="464" t="s">
        <v>296</v>
      </c>
      <c r="AH76" s="464" t="s">
        <v>296</v>
      </c>
      <c r="AI76" s="464" t="s">
        <v>297</v>
      </c>
      <c r="AJ76" s="812" t="s">
        <v>296</v>
      </c>
      <c r="AK76" s="464" t="s">
        <v>296</v>
      </c>
      <c r="AL76" s="464" t="s">
        <v>296</v>
      </c>
      <c r="AM76" s="464" t="s">
        <v>297</v>
      </c>
      <c r="AN76" s="812" t="s">
        <v>296</v>
      </c>
      <c r="AO76" s="464" t="s">
        <v>296</v>
      </c>
      <c r="AP76" s="464" t="s">
        <v>296</v>
      </c>
      <c r="AQ76" s="464" t="s">
        <v>297</v>
      </c>
      <c r="AR76" s="812" t="s">
        <v>296</v>
      </c>
      <c r="AS76" s="464" t="s">
        <v>296</v>
      </c>
      <c r="AT76" s="464" t="s">
        <v>296</v>
      </c>
      <c r="AU76" s="464" t="s">
        <v>297</v>
      </c>
      <c r="AV76" s="812" t="s">
        <v>296</v>
      </c>
      <c r="AW76" s="464" t="s">
        <v>296</v>
      </c>
      <c r="AX76" s="464" t="s">
        <v>296</v>
      </c>
      <c r="AY76" s="464" t="s">
        <v>297</v>
      </c>
      <c r="AZ76" s="812" t="s">
        <v>296</v>
      </c>
      <c r="BA76" s="811"/>
      <c r="BB76" s="295"/>
      <c r="BC76" s="460">
        <f>+BA76</f>
        <v>0</v>
      </c>
      <c r="BL76" t="s">
        <v>296</v>
      </c>
      <c r="BM76" t="s">
        <v>296</v>
      </c>
      <c r="BN76" t="s">
        <v>297</v>
      </c>
      <c r="BO76" t="s">
        <v>296</v>
      </c>
    </row>
    <row r="77" spans="1:73" ht="13.5" thickBot="1">
      <c r="A77">
        <f t="shared" si="0"/>
        <v>62</v>
      </c>
      <c r="C77" s="419"/>
      <c r="D77" s="465" t="s">
        <v>296</v>
      </c>
      <c r="E77" s="466" t="s">
        <v>296</v>
      </c>
      <c r="F77" s="466" t="s">
        <v>297</v>
      </c>
      <c r="G77" s="466" t="s">
        <v>297</v>
      </c>
      <c r="H77" s="813" t="s">
        <v>296</v>
      </c>
      <c r="I77" s="466" t="s">
        <v>296</v>
      </c>
      <c r="J77" s="466" t="s">
        <v>297</v>
      </c>
      <c r="K77" s="466" t="s">
        <v>297</v>
      </c>
      <c r="L77" s="813" t="s">
        <v>296</v>
      </c>
      <c r="M77" s="466" t="s">
        <v>296</v>
      </c>
      <c r="N77" s="466" t="s">
        <v>297</v>
      </c>
      <c r="O77" s="466" t="s">
        <v>297</v>
      </c>
      <c r="P77" s="813" t="s">
        <v>296</v>
      </c>
      <c r="Q77" s="466" t="s">
        <v>296</v>
      </c>
      <c r="R77" s="466" t="s">
        <v>297</v>
      </c>
      <c r="S77" s="466" t="s">
        <v>297</v>
      </c>
      <c r="T77" s="813" t="s">
        <v>296</v>
      </c>
      <c r="U77" s="466" t="s">
        <v>296</v>
      </c>
      <c r="V77" s="466" t="s">
        <v>297</v>
      </c>
      <c r="W77" s="466" t="s">
        <v>297</v>
      </c>
      <c r="X77" s="813" t="s">
        <v>296</v>
      </c>
      <c r="Y77" s="466" t="s">
        <v>296</v>
      </c>
      <c r="Z77" s="466" t="s">
        <v>297</v>
      </c>
      <c r="AA77" s="466" t="s">
        <v>297</v>
      </c>
      <c r="AB77" s="813" t="s">
        <v>296</v>
      </c>
      <c r="AC77" s="466" t="s">
        <v>296</v>
      </c>
      <c r="AD77" s="466" t="s">
        <v>297</v>
      </c>
      <c r="AE77" s="466" t="s">
        <v>297</v>
      </c>
      <c r="AF77" s="813" t="s">
        <v>296</v>
      </c>
      <c r="AG77" s="466" t="s">
        <v>296</v>
      </c>
      <c r="AH77" s="466" t="s">
        <v>297</v>
      </c>
      <c r="AI77" s="466" t="s">
        <v>297</v>
      </c>
      <c r="AJ77" s="813" t="s">
        <v>296</v>
      </c>
      <c r="AK77" s="466" t="s">
        <v>296</v>
      </c>
      <c r="AL77" s="466" t="s">
        <v>297</v>
      </c>
      <c r="AM77" s="466" t="s">
        <v>297</v>
      </c>
      <c r="AN77" s="813" t="s">
        <v>296</v>
      </c>
      <c r="AO77" s="466" t="s">
        <v>296</v>
      </c>
      <c r="AP77" s="466" t="s">
        <v>297</v>
      </c>
      <c r="AQ77" s="466" t="s">
        <v>297</v>
      </c>
      <c r="AR77" s="813" t="s">
        <v>296</v>
      </c>
      <c r="AS77" s="466" t="s">
        <v>296</v>
      </c>
      <c r="AT77" s="466" t="s">
        <v>297</v>
      </c>
      <c r="AU77" s="466" t="s">
        <v>297</v>
      </c>
      <c r="AV77" s="813" t="s">
        <v>296</v>
      </c>
      <c r="AW77" s="466" t="s">
        <v>296</v>
      </c>
      <c r="AX77" s="466" t="s">
        <v>297</v>
      </c>
      <c r="AY77" s="466" t="s">
        <v>297</v>
      </c>
      <c r="AZ77" s="813" t="s">
        <v>296</v>
      </c>
      <c r="BA77" s="814"/>
      <c r="BB77" s="467">
        <f>+BA77</f>
        <v>0</v>
      </c>
      <c r="BC77" s="423"/>
    </row>
    <row r="78" spans="1:73">
      <c r="A78">
        <f>A77+1</f>
        <v>63</v>
      </c>
      <c r="C78" s="294"/>
      <c r="D78" s="468"/>
      <c r="E78" s="294"/>
      <c r="F78" s="294"/>
      <c r="G78" s="294"/>
      <c r="H78" s="815"/>
      <c r="I78" s="815"/>
      <c r="J78" s="815"/>
      <c r="K78" s="815"/>
      <c r="L78" s="815"/>
      <c r="M78" s="294"/>
      <c r="N78" s="294"/>
      <c r="O78" s="294"/>
      <c r="P78" s="294"/>
      <c r="Q78" s="294"/>
      <c r="R78" s="294"/>
      <c r="S78" s="294"/>
      <c r="T78" s="294"/>
      <c r="U78" s="294"/>
      <c r="V78" s="294"/>
      <c r="W78" s="294"/>
      <c r="X78" s="294"/>
      <c r="Y78" s="294"/>
      <c r="Z78" s="294"/>
      <c r="AA78" s="294"/>
      <c r="AB78" s="294"/>
      <c r="AC78" s="294"/>
      <c r="AD78" s="294"/>
      <c r="AE78" s="294"/>
      <c r="AF78" s="294"/>
      <c r="AG78" s="294"/>
      <c r="AH78" s="294"/>
      <c r="AI78" s="294"/>
      <c r="AJ78" s="294"/>
      <c r="AK78" s="294"/>
      <c r="AL78" s="294"/>
      <c r="AM78" s="294"/>
      <c r="AN78" s="294"/>
      <c r="AO78" s="294"/>
      <c r="AP78" s="294"/>
      <c r="AQ78" s="294"/>
      <c r="AR78" s="294"/>
      <c r="AS78" s="294"/>
      <c r="AT78" s="294"/>
      <c r="AU78" s="294"/>
      <c r="AV78" s="294"/>
      <c r="AW78" s="294"/>
      <c r="AX78" s="294"/>
      <c r="AY78" s="294"/>
      <c r="AZ78" s="294"/>
      <c r="BA78" s="294"/>
      <c r="BB78" s="816">
        <f>SUM(BB36:BB75)</f>
        <v>226358315.71097818</v>
      </c>
      <c r="BC78" s="816">
        <f>SUM(BC36:BC75)</f>
        <v>217216014.38097903</v>
      </c>
    </row>
    <row r="80" spans="1:73">
      <c r="BB80" s="323"/>
    </row>
    <row r="310" spans="3:12" customFormat="1">
      <c r="C310" s="475"/>
      <c r="D310" s="474"/>
      <c r="E310" s="475"/>
      <c r="F310" s="475"/>
      <c r="G310" s="475"/>
      <c r="H310" s="817"/>
      <c r="I310" s="817"/>
      <c r="J310" s="817"/>
      <c r="K310" s="817"/>
      <c r="L310" s="817"/>
    </row>
    <row r="311" spans="3:12" customFormat="1">
      <c r="C311" s="475"/>
      <c r="D311" s="474"/>
      <c r="E311" s="475"/>
      <c r="F311" s="475"/>
      <c r="G311" s="475"/>
      <c r="H311" s="817"/>
      <c r="I311" s="817"/>
      <c r="J311" s="817"/>
      <c r="K311" s="817"/>
      <c r="L311" s="817"/>
    </row>
    <row r="312" spans="3:12" customFormat="1">
      <c r="C312" s="475"/>
      <c r="D312" s="474"/>
      <c r="E312" s="475"/>
      <c r="F312" s="475"/>
      <c r="G312" s="475"/>
      <c r="H312" s="817"/>
      <c r="I312" s="817"/>
      <c r="J312" s="817"/>
      <c r="K312" s="817"/>
      <c r="L312" s="817"/>
    </row>
    <row r="313" spans="3:12" customFormat="1">
      <c r="C313" s="475"/>
      <c r="D313" s="474"/>
      <c r="E313" s="475"/>
      <c r="F313" s="475"/>
      <c r="G313" s="475"/>
      <c r="H313" s="817"/>
      <c r="I313" s="817"/>
      <c r="J313" s="817"/>
      <c r="K313" s="817"/>
      <c r="L313" s="817"/>
    </row>
    <row r="314" spans="3:12" customFormat="1">
      <c r="C314" s="475"/>
      <c r="D314" s="474"/>
      <c r="E314" s="475"/>
      <c r="F314" s="475"/>
      <c r="G314" s="475"/>
      <c r="H314" s="817"/>
      <c r="I314" s="817"/>
      <c r="J314" s="817"/>
      <c r="K314" s="817"/>
      <c r="L314" s="817"/>
    </row>
    <row r="315" spans="3:12" customFormat="1">
      <c r="C315" s="475"/>
      <c r="D315" s="474"/>
      <c r="E315" s="475"/>
      <c r="F315" s="475"/>
      <c r="G315" s="475"/>
      <c r="H315" s="817"/>
      <c r="I315" s="817"/>
      <c r="J315" s="817"/>
      <c r="K315" s="817"/>
      <c r="L315" s="817"/>
    </row>
    <row r="316" spans="3:12" customFormat="1">
      <c r="C316" s="475"/>
      <c r="D316" s="474"/>
      <c r="E316" s="475"/>
      <c r="F316" s="475"/>
      <c r="G316" s="475"/>
      <c r="H316" s="817"/>
      <c r="I316" s="817"/>
      <c r="J316" s="817"/>
      <c r="K316" s="817"/>
      <c r="L316" s="817"/>
    </row>
    <row r="317" spans="3:12" customFormat="1">
      <c r="C317" s="475"/>
      <c r="D317" s="474"/>
      <c r="E317" s="475"/>
      <c r="F317" s="475"/>
      <c r="G317" s="475"/>
      <c r="H317" s="817"/>
      <c r="I317" s="817"/>
      <c r="J317" s="817"/>
      <c r="K317" s="817"/>
      <c r="L317" s="817"/>
    </row>
    <row r="318" spans="3:12" customFormat="1">
      <c r="C318" s="475"/>
      <c r="D318" s="474"/>
      <c r="E318" s="475"/>
      <c r="F318" s="475"/>
      <c r="G318" s="475"/>
      <c r="H318" s="817"/>
      <c r="I318" s="817"/>
      <c r="J318" s="817"/>
      <c r="K318" s="817"/>
      <c r="L318" s="817"/>
    </row>
  </sheetData>
  <mergeCells count="5">
    <mergeCell ref="C23:BA23"/>
    <mergeCell ref="C33:D33"/>
    <mergeCell ref="E24:H24"/>
    <mergeCell ref="M24:P24"/>
    <mergeCell ref="I24:L24"/>
  </mergeCells>
  <phoneticPr fontId="0" type="noConversion"/>
  <printOptions horizontalCentered="1"/>
  <pageMargins left="0.25" right="0.25" top="0.25" bottom="0.25" header="0.5" footer="0.5"/>
  <pageSetup scale="53" fitToWidth="4" fitToHeight="4" orientation="landscape" r:id="rId1"/>
  <headerFooter alignWithMargins="0"/>
  <colBreaks count="3" manualBreakCount="3">
    <brk id="20" max="1048575" man="1"/>
    <brk id="32" max="1048575" man="1"/>
    <brk id="55" max="1048575" man="1"/>
  </colBreaks>
  <ignoredErrors>
    <ignoredError sqref="E79:H125 BE43:BK44 M125:AF125 BA79:BX125 BE45 BG45:BK45 BB46:BC46 BB47:BC47 BF47:BK47 BG51:BK75 BG49:BK49 E78:H78 E52:H77 BV43:BX44 BV45:BX45 BV46:BX46 BV48:BX48 BV47:BX47 BV50:BX75 BV49:BX49 BG76:BK76 BP76:BX76 BE46:BK46 BE48:BK48 BG50:BK50 BG77:BX78 M79:AR124 BE50:BF50 BA76:BF76 BF49 BB52:BF52 AS52:AV78 M52:AR78 BA77:BF78 I52:L76 I77:L78 BA52:BA75 BD50 AW52:AZ78 BF51 BB54:BF75 BB53:BC53 BE53:BF5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ATT H-3D</vt:lpstr>
      <vt:lpstr>1 - ADIT</vt:lpstr>
      <vt:lpstr>2 - Other Tax</vt:lpstr>
      <vt:lpstr>3 - Revenue Credits</vt:lpstr>
      <vt:lpstr>4 - 100 Basis Pt ROE</vt:lpstr>
      <vt:lpstr>5 - Cost Support 1</vt:lpstr>
      <vt:lpstr>5a Affiliate Allocations</vt:lpstr>
      <vt:lpstr>6- Est &amp; Reconcile WS</vt:lpstr>
      <vt:lpstr>7 - Cap Add WS</vt:lpstr>
      <vt:lpstr>8 - Securitization</vt:lpstr>
      <vt:lpstr>'1 - ADIT'!Print_Area</vt:lpstr>
      <vt:lpstr>'2 - Other Tax'!Print_Area</vt:lpstr>
      <vt:lpstr>'3 - Revenue Credits'!Print_Area</vt:lpstr>
      <vt:lpstr>'4 - 100 Basis Pt ROE'!Print_Area</vt:lpstr>
      <vt:lpstr>'5 - Cost Support 1'!Print_Area</vt:lpstr>
      <vt:lpstr>'6- Est &amp; Reconcile WS'!Print_Area</vt:lpstr>
      <vt:lpstr>'7 - Cap Add WS'!Print_Area</vt:lpstr>
      <vt:lpstr>'ATT H-3D'!Print_Area</vt:lpstr>
      <vt:lpstr>'5 - Cost Support 1'!Print_Titles</vt:lpstr>
      <vt:lpstr>'ATT H-3D'!Print_Titles</vt:lpstr>
    </vt:vector>
  </TitlesOfParts>
  <Company>PSEG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Benscoter</dc:creator>
  <cp:lastModifiedBy>Ruth , Diane</cp:lastModifiedBy>
  <cp:lastPrinted>2016-05-12T18:52:13Z</cp:lastPrinted>
  <dcterms:created xsi:type="dcterms:W3CDTF">2004-01-21T20:42:01Z</dcterms:created>
  <dcterms:modified xsi:type="dcterms:W3CDTF">2016-05-12T18:52:41Z</dcterms:modified>
</cp:coreProperties>
</file>