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3"/>
  </bookViews>
  <sheets>
    <sheet name="PRD_RegNom_MV_StatusQuo" sheetId="9" r:id="rId1"/>
    <sheet name="PRD_RegNom_MV_PJMProposed" sheetId="11" r:id="rId2"/>
    <sheet name="PRD_RegNom_MV_WhiskerProposed" sheetId="12" r:id="rId3"/>
    <sheet name="PRD_penaltyrate" sheetId="6" r:id="rId4"/>
  </sheets>
  <definedNames>
    <definedName name="_xlnm.Print_Area" localSheetId="1">PRD_RegNom_MV_PJMProposed!$A$1:$W$26</definedName>
    <definedName name="_xlnm.Print_Area" localSheetId="0">PRD_RegNom_MV_StatusQuo!$A$1:$W$26</definedName>
    <definedName name="_xlnm.Print_Area" localSheetId="2">PRD_RegNom_MV_WhiskerProposed!$A$1:$W$28</definedName>
  </definedNames>
  <calcPr calcId="145621"/>
</workbook>
</file>

<file path=xl/calcChain.xml><?xml version="1.0" encoding="utf-8"?>
<calcChain xmlns="http://schemas.openxmlformats.org/spreadsheetml/2006/main">
  <c r="V12" i="12" l="1"/>
  <c r="V11" i="12"/>
  <c r="V10" i="12"/>
  <c r="V9" i="12"/>
  <c r="V8" i="12"/>
  <c r="Q8" i="9"/>
  <c r="V8" i="9"/>
  <c r="V13" i="12" l="1"/>
  <c r="V13" i="9"/>
  <c r="Q13" i="12"/>
  <c r="Q12" i="12"/>
  <c r="R12" i="12" s="1"/>
  <c r="Q11" i="12"/>
  <c r="Q10" i="12"/>
  <c r="Q9" i="12"/>
  <c r="Q8" i="12"/>
  <c r="W8" i="9"/>
  <c r="V11" i="9"/>
  <c r="V12" i="9"/>
  <c r="V10" i="9"/>
  <c r="V9" i="9"/>
  <c r="Q13" i="9"/>
  <c r="Q12" i="9"/>
  <c r="Q11" i="9"/>
  <c r="Q10" i="9"/>
  <c r="Q9" i="9"/>
  <c r="R8" i="12" l="1"/>
  <c r="F12" i="12"/>
  <c r="F11" i="12"/>
  <c r="F10" i="12"/>
  <c r="F9" i="12"/>
  <c r="F8" i="12"/>
  <c r="J9" i="12" l="1"/>
  <c r="W9" i="12" s="1"/>
  <c r="J8" i="12"/>
  <c r="L8" i="12" s="1"/>
  <c r="E13" i="12"/>
  <c r="D12" i="12"/>
  <c r="D11" i="12"/>
  <c r="R11" i="12" s="1"/>
  <c r="D10" i="12"/>
  <c r="R10" i="12" s="1"/>
  <c r="D9" i="12"/>
  <c r="R9" i="12" s="1"/>
  <c r="D8" i="12"/>
  <c r="W12" i="11"/>
  <c r="W11" i="11"/>
  <c r="W10" i="11"/>
  <c r="W9" i="11"/>
  <c r="W8" i="11"/>
  <c r="R12" i="11"/>
  <c r="R11" i="11"/>
  <c r="R10" i="11"/>
  <c r="R9" i="11"/>
  <c r="R8" i="11"/>
  <c r="C13" i="12"/>
  <c r="I12" i="12"/>
  <c r="K13" i="12" s="1"/>
  <c r="I11" i="12"/>
  <c r="J11" i="12" s="1"/>
  <c r="I10" i="12"/>
  <c r="J10" i="12" s="1"/>
  <c r="I9" i="12"/>
  <c r="I8" i="12"/>
  <c r="L12" i="11"/>
  <c r="L11" i="11"/>
  <c r="L10" i="11"/>
  <c r="L9" i="11"/>
  <c r="L8" i="11"/>
  <c r="F12" i="11"/>
  <c r="F11" i="11"/>
  <c r="F10" i="11"/>
  <c r="F9" i="11"/>
  <c r="F8" i="11"/>
  <c r="E13" i="11"/>
  <c r="C13" i="11"/>
  <c r="I12" i="11"/>
  <c r="I11" i="11"/>
  <c r="I10" i="11"/>
  <c r="I9" i="11"/>
  <c r="I8" i="11"/>
  <c r="C13" i="9"/>
  <c r="E13" i="9"/>
  <c r="D12" i="9"/>
  <c r="F12" i="9" s="1"/>
  <c r="D11" i="9"/>
  <c r="W11" i="9" s="1"/>
  <c r="D10" i="9"/>
  <c r="F10" i="9" s="1"/>
  <c r="D9" i="9"/>
  <c r="W9" i="9" s="1"/>
  <c r="D8" i="9"/>
  <c r="I12" i="9"/>
  <c r="J12" i="9" s="1"/>
  <c r="I11" i="9"/>
  <c r="L11" i="9" s="1"/>
  <c r="I10" i="9"/>
  <c r="J10" i="9" s="1"/>
  <c r="I9" i="9"/>
  <c r="J9" i="9" s="1"/>
  <c r="I8" i="9"/>
  <c r="L8" i="9" s="1"/>
  <c r="D13" i="12" l="1"/>
  <c r="F13" i="12"/>
  <c r="R13" i="12"/>
  <c r="J12" i="12"/>
  <c r="W12" i="12" s="1"/>
  <c r="W10" i="12"/>
  <c r="L10" i="12"/>
  <c r="W11" i="12"/>
  <c r="L11" i="12"/>
  <c r="I13" i="12"/>
  <c r="W8" i="12"/>
  <c r="L9" i="12"/>
  <c r="L12" i="12"/>
  <c r="R13" i="11"/>
  <c r="K13" i="11"/>
  <c r="L13" i="11" s="1"/>
  <c r="M13" i="11" s="1"/>
  <c r="W13" i="11"/>
  <c r="F13" i="11"/>
  <c r="I13" i="11"/>
  <c r="W10" i="9"/>
  <c r="R8" i="9"/>
  <c r="F8" i="9"/>
  <c r="R11" i="9"/>
  <c r="R9" i="9"/>
  <c r="R12" i="9"/>
  <c r="F11" i="9"/>
  <c r="R10" i="9"/>
  <c r="D13" i="9"/>
  <c r="F9" i="9"/>
  <c r="J11" i="9"/>
  <c r="J8" i="9"/>
  <c r="K12" i="9"/>
  <c r="K13" i="9" s="1"/>
  <c r="L9" i="9"/>
  <c r="L10" i="9"/>
  <c r="I13" i="9"/>
  <c r="L13" i="12" l="1"/>
  <c r="M13" i="12" s="1"/>
  <c r="W13" i="12"/>
  <c r="F13" i="9"/>
  <c r="M13" i="9" s="1"/>
  <c r="R13" i="9"/>
  <c r="L12" i="9"/>
  <c r="L13" i="9" s="1"/>
  <c r="W13" i="9"/>
  <c r="E18" i="6"/>
  <c r="E11" i="6"/>
  <c r="D17" i="6"/>
  <c r="D18" i="6" s="1"/>
  <c r="C18" i="6"/>
  <c r="C17" i="6"/>
  <c r="D7" i="6"/>
  <c r="D8" i="6" s="1"/>
  <c r="D10" i="6" s="1"/>
  <c r="C7" i="6"/>
  <c r="C8" i="6" s="1"/>
  <c r="C10" i="6" s="1"/>
  <c r="B17" i="6" l="1"/>
  <c r="B18" i="6" s="1"/>
  <c r="B7" i="6"/>
  <c r="B8" i="6" s="1"/>
  <c r="B10" i="6" s="1"/>
  <c r="B11" i="6" s="1"/>
</calcChain>
</file>

<file path=xl/sharedStrings.xml><?xml version="1.0" encoding="utf-8"?>
<sst xmlns="http://schemas.openxmlformats.org/spreadsheetml/2006/main" count="248" uniqueCount="99">
  <si>
    <t>Summer PLC (MW)</t>
  </si>
  <si>
    <t>Summer FSL (MW)</t>
  </si>
  <si>
    <t>Winter load lower than summer load</t>
  </si>
  <si>
    <t>Winter load higher than summer load</t>
  </si>
  <si>
    <t>1</t>
  </si>
  <si>
    <t>2</t>
  </si>
  <si>
    <t>(4)</t>
  </si>
  <si>
    <t>(3) = (1) -(2)</t>
  </si>
  <si>
    <t>Winter FSL (MW)</t>
  </si>
  <si>
    <t>Customer Load Profile</t>
  </si>
  <si>
    <t>Winter load equal to summer load</t>
  </si>
  <si>
    <t>Summer only DR (A/C Cycling)</t>
  </si>
  <si>
    <t>Winter only DR (Ski Load)</t>
  </si>
  <si>
    <t>Winter Weather Adjustment Factor</t>
  </si>
  <si>
    <t>(5)</t>
  </si>
  <si>
    <t>(6) = (4) *(5)</t>
  </si>
  <si>
    <t>Winter Peak Load (MW)</t>
  </si>
  <si>
    <t>Weather Adjusted Winter Peak Load (MW)</t>
  </si>
  <si>
    <t>Summer Event</t>
  </si>
  <si>
    <t>Load (MW</t>
  </si>
  <si>
    <t>Load Reduction (MW)</t>
  </si>
  <si>
    <t>Winter Event</t>
  </si>
  <si>
    <t>(10)</t>
  </si>
  <si>
    <t>Column</t>
  </si>
  <si>
    <t>Summer PLC based on the current process</t>
  </si>
  <si>
    <t>Winter Peak Load = customer peak on 5 winter CP days from HE7 through HE21 (Capacity Performance DR availability requirement) for Dec/Jan/Feb</t>
  </si>
  <si>
    <t>Winter Weather Adjustment Factor published and applied by PJM = Weather Normalized Winter Peak/Actual Winter Peak</t>
  </si>
  <si>
    <t>Capacity Reduction will be used for Add Back in Summer and Non-summer periods</t>
  </si>
  <si>
    <t>Winter Peak Load is adjusted up for transmission and distribution line loss factor</t>
  </si>
  <si>
    <t>Winter load reductions may not exceed Winter Peak Load.</t>
  </si>
  <si>
    <t>Load has already been grossed up for losses</t>
  </si>
  <si>
    <t>Additional Notes</t>
  </si>
  <si>
    <t>Registration</t>
  </si>
  <si>
    <t>Location #</t>
  </si>
  <si>
    <t>Winter Nominated DR Value (MW)</t>
  </si>
  <si>
    <t>8 = (4) - (7)</t>
  </si>
  <si>
    <t>9 = Min (3 &amp; 8)</t>
  </si>
  <si>
    <t>7</t>
  </si>
  <si>
    <t>Annual Nominated DR Value based on registered nominated amount</t>
  </si>
  <si>
    <t>(11) = (1) - (10)</t>
  </si>
  <si>
    <t>(12)</t>
  </si>
  <si>
    <t>(13) = (6) - (12)</t>
  </si>
  <si>
    <t>adder (&gt; 1.2 or $20)</t>
  </si>
  <si>
    <t>daily deficiency charge ($/MWDay)</t>
  </si>
  <si>
    <t>days in year</t>
  </si>
  <si>
    <t>hourly PRD shortfall (MW)</t>
  </si>
  <si>
    <t>hours in event</t>
  </si>
  <si>
    <t>event penalty amount</t>
  </si>
  <si>
    <t>1) PRD event compliance penalty charge for a subsequent event shall only be assessed on the portion of the shortfall that exceeds the maximum event compliance shortfall in any prior events.   In effect, this may act as a stop loss provision</t>
  </si>
  <si>
    <t>2) A PRD Provider's Weighted Final Zonal Capacity Price is the average of the Final Zonal Capacity Price and the price component of the Final Zonal Capacity Price due to the Third Incremental Auction, weighted by the Nominal PRD Values committed by such PRD Provider in Base Residual Auction and Third Incremental Auction.</t>
  </si>
  <si>
    <t>Existing event penalty (PRD)</t>
  </si>
  <si>
    <t>Proposed event penalty (same as DR)</t>
  </si>
  <si>
    <t>3) Proposed event penalty will have same stop loss provision applicable to DR but is not included in this example</t>
  </si>
  <si>
    <t>Proposed:</t>
  </si>
  <si>
    <t>Current:</t>
  </si>
  <si>
    <t>PRD Provider's Weighted Final Zonal Capacity Price ($/MWDay)</t>
  </si>
  <si>
    <t>Event</t>
  </si>
  <si>
    <t>Total across events</t>
  </si>
  <si>
    <t>penalty rate, $/MW-year</t>
  </si>
  <si>
    <t>Net Cone, $/MW-day</t>
  </si>
  <si>
    <t>denominator, hours</t>
  </si>
  <si>
    <t>penalty rate, $/MWh</t>
  </si>
  <si>
    <t>1A</t>
  </si>
  <si>
    <t>(3) = (1A) -(2)</t>
  </si>
  <si>
    <t>6A</t>
  </si>
  <si>
    <t>Expected Weather Adjusted Winter Peak Load (MW)</t>
  </si>
  <si>
    <t>Expected Summer Peak Load (MW)</t>
  </si>
  <si>
    <t>(4) = (3)</t>
  </si>
  <si>
    <t>Summer MESL (MW)</t>
  </si>
  <si>
    <t>MESL Adjust factor</t>
  </si>
  <si>
    <t>MESL Adjust amount (MW)</t>
  </si>
  <si>
    <t>(10A)</t>
  </si>
  <si>
    <t>(10B) = (10) * (10A)</t>
  </si>
  <si>
    <t>(11) = (1A) - (10) + (10B)</t>
  </si>
  <si>
    <t>(12A)</t>
  </si>
  <si>
    <t>(12B) = (12) * (12A)</t>
  </si>
  <si>
    <t>Expected Summer Peak Load = Summer PLC * Zonal Forecast Peak / Zonal W/N Peak, assume 1.02</t>
  </si>
  <si>
    <t>Expected Weather Adjusted Winter Peak Load  = Weather Adjusted Winter Peak Load * Zonal Forecast Peak / Zonal W/N Peak, assume 1.02</t>
  </si>
  <si>
    <t>n/a</t>
  </si>
  <si>
    <t>na</t>
  </si>
  <si>
    <t>8 = (6) - (7)</t>
  </si>
  <si>
    <t>8 = (6A) - (7)</t>
  </si>
  <si>
    <t>Winter MESL (MW)</t>
  </si>
  <si>
    <t>10B/12B</t>
  </si>
  <si>
    <t>PJM Proposal - Update PRD for CP annual requirements and make consistent with DR (customer load reduction from demand or supply side is the same nominated and load reduction volume)</t>
  </si>
  <si>
    <t>Whisker Proposal - Update PRD for annual CP requirements but extend PRD scaling factors to winter.</t>
  </si>
  <si>
    <t>Existing PRD rules</t>
  </si>
  <si>
    <t>FSL Adjust factor</t>
  </si>
  <si>
    <t>FSL Adjust amount (MW)</t>
  </si>
  <si>
    <t>Annual Nominated PRD Value (MW)</t>
  </si>
  <si>
    <t>Summer Nominated PRD Value (MW)</t>
  </si>
  <si>
    <t>Winter Nominated PRD Value (MW)</t>
  </si>
  <si>
    <t>Annual Nominated PRD Value based on registered nominated amount</t>
  </si>
  <si>
    <t>Expected Summer Peak Load = Summer PLC * Zonal Forecast Peak / Zonal W/N Peak, assume 1.02 but could be less than 1</t>
  </si>
  <si>
    <t>Represent MESL adjust as load reduction adder instead of impact on capacity shortfall, summer and winter adjustment can be different</t>
  </si>
  <si>
    <t>Represent MESL adjust as load reduction adder instead of impact on capacity shortfall</t>
  </si>
  <si>
    <t>(13) = (1A) - (12) + (12B)</t>
  </si>
  <si>
    <t>(13) = (6A) - (12) + (12B)</t>
  </si>
  <si>
    <t>MESL adjustment factor = higher of 1.0 or (actual zonal load – actual total PRD load in zone/ (Final Zonal Peak Load Forecast-final total Zonal Expected Peak Load Value of PRD in Zone)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</si>
</sst>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44" formatCode="_(&quot;$&quot;* #,##0.00_);_(&quot;$&quot;* \(#,##0.00\);_(&quot;$&quot;* &quot;-&quot;??_);_(@_)"/>
    <numFmt numFmtId="164" formatCode="0.0"/>
  </numFmts>
  <fonts count="11">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b/>
      <sz val="11"/>
      <name val="Calibri"/>
      <family val="2"/>
      <scheme val="minor"/>
    </font>
    <font>
      <sz val="11"/>
      <color theme="1"/>
      <name val="Calibri"/>
      <family val="2"/>
      <scheme val="minor"/>
    </font>
    <font>
      <sz val="11"/>
      <name val="Calibri"/>
      <scheme val="minor"/>
    </font>
    <font>
      <b/>
      <sz val="14"/>
      <color theme="1"/>
      <name val="Calibri"/>
      <family val="2"/>
      <scheme val="minor"/>
    </font>
    <font>
      <b/>
      <sz val="12"/>
      <color rgb="FFFF0000"/>
      <name val="Calibri"/>
      <family val="2"/>
      <scheme val="minor"/>
    </font>
    <font>
      <b/>
      <sz val="11"/>
      <color rgb="FFFF0000"/>
      <name val="Calibri"/>
      <family val="2"/>
      <scheme val="minor"/>
    </font>
    <font>
      <b/>
      <sz val="12"/>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2"/>
        <bgColor indexed="64"/>
      </patternFill>
    </fill>
    <fill>
      <patternFill patternType="solid">
        <fgColor theme="4" tint="0.59999389629810485"/>
        <bgColor indexed="64"/>
      </patternFill>
    </fill>
    <fill>
      <patternFill patternType="solid">
        <fgColor theme="3"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right/>
      <top/>
      <bottom style="thin">
        <color indexed="64"/>
      </bottom>
      <diagonal/>
    </border>
  </borders>
  <cellStyleXfs count="2">
    <xf numFmtId="0" fontId="0" fillId="0" borderId="0"/>
    <xf numFmtId="44" fontId="5" fillId="0" borderId="0" applyFont="0" applyFill="0" applyBorder="0" applyAlignment="0" applyProtection="0"/>
  </cellStyleXfs>
  <cellXfs count="72">
    <xf numFmtId="0" fontId="0" fillId="0" borderId="0" xfId="0"/>
    <xf numFmtId="0" fontId="2" fillId="0" borderId="0" xfId="0" applyFont="1"/>
    <xf numFmtId="0" fontId="0" fillId="0" borderId="2" xfId="0" quotePrefix="1" applyBorder="1" applyAlignment="1">
      <alignment horizontal="center"/>
    </xf>
    <xf numFmtId="0" fontId="0" fillId="0" borderId="1" xfId="0" applyFill="1" applyBorder="1"/>
    <xf numFmtId="0" fontId="0" fillId="0" borderId="1" xfId="0" applyFill="1" applyBorder="1" applyAlignment="1">
      <alignment horizontal="center"/>
    </xf>
    <xf numFmtId="0" fontId="0" fillId="0" borderId="2" xfId="0" applyFill="1" applyBorder="1" applyAlignment="1">
      <alignment horizont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2" xfId="0" applyFill="1" applyBorder="1"/>
    <xf numFmtId="0" fontId="0" fillId="0" borderId="0" xfId="0" quotePrefix="1"/>
    <xf numFmtId="0" fontId="3" fillId="0" borderId="0" xfId="0" quotePrefix="1" applyFont="1"/>
    <xf numFmtId="0" fontId="0" fillId="0" borderId="2" xfId="0" quotePrefix="1" applyBorder="1" applyAlignment="1">
      <alignment horizontal="center" wrapText="1"/>
    </xf>
    <xf numFmtId="0" fontId="0" fillId="2" borderId="1" xfId="0" applyFill="1" applyBorder="1" applyAlignment="1">
      <alignment horizontal="center"/>
    </xf>
    <xf numFmtId="0" fontId="1" fillId="0" borderId="0" xfId="0" applyFont="1"/>
    <xf numFmtId="0" fontId="0" fillId="0" borderId="0" xfId="0" applyFill="1" applyBorder="1" applyAlignment="1">
      <alignment horizontal="center"/>
    </xf>
    <xf numFmtId="0" fontId="1" fillId="0" borderId="0" xfId="0" applyFont="1" applyAlignment="1">
      <alignment horizontal="center"/>
    </xf>
    <xf numFmtId="0" fontId="1" fillId="0" borderId="0" xfId="0" applyFont="1" applyFill="1" applyBorder="1" applyAlignment="1">
      <alignment horizontal="left"/>
    </xf>
    <xf numFmtId="0" fontId="3" fillId="0" borderId="0" xfId="0" applyFont="1"/>
    <xf numFmtId="0" fontId="1" fillId="0" borderId="1" xfId="0" applyFont="1" applyFill="1" applyBorder="1" applyAlignment="1">
      <alignment horizontal="left"/>
    </xf>
    <xf numFmtId="0" fontId="0" fillId="0" borderId="3" xfId="0" applyFill="1" applyBorder="1" applyAlignment="1">
      <alignment horizontal="center"/>
    </xf>
    <xf numFmtId="0" fontId="6" fillId="0" borderId="4" xfId="0" applyFont="1" applyFill="1" applyBorder="1" applyAlignment="1">
      <alignment horizontal="center" vertical="center" wrapText="1"/>
    </xf>
    <xf numFmtId="0" fontId="0" fillId="3" borderId="0" xfId="0" applyFill="1"/>
    <xf numFmtId="0" fontId="0" fillId="3" borderId="1" xfId="0" applyFill="1" applyBorder="1" applyAlignment="1">
      <alignment horizontal="center"/>
    </xf>
    <xf numFmtId="0" fontId="0" fillId="3" borderId="1" xfId="0" applyFill="1" applyBorder="1"/>
    <xf numFmtId="0" fontId="0" fillId="0" borderId="0" xfId="0" applyAlignment="1">
      <alignment wrapText="1"/>
    </xf>
    <xf numFmtId="5" fontId="0" fillId="0" borderId="0" xfId="1" applyNumberFormat="1" applyFont="1"/>
    <xf numFmtId="5" fontId="0" fillId="0" borderId="0" xfId="0" applyNumberFormat="1"/>
    <xf numFmtId="0" fontId="7" fillId="0" borderId="0" xfId="0" applyFont="1" applyAlignment="1">
      <alignment wrapText="1"/>
    </xf>
    <xf numFmtId="0" fontId="7" fillId="0" borderId="0" xfId="0" applyFont="1"/>
    <xf numFmtId="0" fontId="8" fillId="0" borderId="0" xfId="0" applyFont="1"/>
    <xf numFmtId="0" fontId="9" fillId="0" borderId="0" xfId="0" applyFont="1"/>
    <xf numFmtId="0" fontId="10" fillId="0" borderId="0" xfId="0" applyFont="1"/>
    <xf numFmtId="0" fontId="3" fillId="0" borderId="0" xfId="0" applyFont="1" applyAlignment="1">
      <alignment wrapText="1"/>
    </xf>
    <xf numFmtId="0" fontId="3" fillId="0" borderId="0" xfId="0" applyFont="1" applyAlignment="1">
      <alignment horizontal="left" wrapText="1"/>
    </xf>
    <xf numFmtId="0" fontId="0" fillId="4" borderId="0" xfId="0" applyFill="1"/>
    <xf numFmtId="0" fontId="0" fillId="0" borderId="1" xfId="0" applyBorder="1" applyAlignment="1">
      <alignment wrapText="1"/>
    </xf>
    <xf numFmtId="5" fontId="0" fillId="4" borderId="1" xfId="1" applyNumberFormat="1" applyFont="1" applyFill="1" applyBorder="1"/>
    <xf numFmtId="5" fontId="0" fillId="0" borderId="1" xfId="1" applyNumberFormat="1" applyFont="1" applyBorder="1"/>
    <xf numFmtId="0" fontId="0" fillId="4" borderId="1" xfId="0" applyFill="1" applyBorder="1"/>
    <xf numFmtId="0" fontId="0" fillId="0" borderId="1" xfId="0" applyBorder="1"/>
    <xf numFmtId="0" fontId="3" fillId="0" borderId="1" xfId="0" applyFont="1" applyBorder="1" applyAlignment="1">
      <alignment wrapText="1"/>
    </xf>
    <xf numFmtId="2" fontId="0" fillId="0" borderId="1" xfId="0" applyNumberFormat="1" applyFill="1" applyBorder="1" applyAlignment="1">
      <alignment horizontal="center"/>
    </xf>
    <xf numFmtId="164" fontId="0" fillId="0" borderId="1" xfId="0" applyNumberFormat="1" applyFill="1" applyBorder="1" applyAlignment="1">
      <alignment horizontal="center"/>
    </xf>
    <xf numFmtId="164" fontId="0" fillId="0" borderId="2" xfId="0" applyNumberFormat="1" applyFill="1" applyBorder="1" applyAlignment="1">
      <alignment horizontal="center"/>
    </xf>
    <xf numFmtId="2" fontId="0" fillId="2" borderId="1" xfId="0" applyNumberFormat="1" applyFill="1" applyBorder="1" applyAlignment="1">
      <alignment horizontal="center"/>
    </xf>
    <xf numFmtId="164" fontId="0" fillId="2" borderId="1" xfId="0" applyNumberFormat="1" applyFill="1" applyBorder="1" applyAlignment="1">
      <alignment horizontal="center"/>
    </xf>
    <xf numFmtId="164" fontId="0" fillId="0" borderId="3" xfId="0" applyNumberFormat="1" applyFill="1" applyBorder="1" applyAlignment="1">
      <alignment horizontal="center"/>
    </xf>
    <xf numFmtId="2" fontId="1" fillId="0" borderId="1" xfId="0" applyNumberFormat="1" applyFont="1" applyFill="1" applyBorder="1" applyAlignment="1">
      <alignment horizontal="center"/>
    </xf>
    <xf numFmtId="2" fontId="0" fillId="3" borderId="1" xfId="0" applyNumberFormat="1" applyFill="1" applyBorder="1" applyAlignment="1">
      <alignment horizontal="center"/>
    </xf>
    <xf numFmtId="164" fontId="0" fillId="3" borderId="1" xfId="0" applyNumberFormat="1" applyFill="1" applyBorder="1" applyAlignment="1">
      <alignment horizontal="center"/>
    </xf>
    <xf numFmtId="0" fontId="0" fillId="3" borderId="3" xfId="0" applyFill="1" applyBorder="1" applyAlignment="1">
      <alignment horizontal="center"/>
    </xf>
    <xf numFmtId="0" fontId="0" fillId="5" borderId="1" xfId="0" applyFill="1" applyBorder="1"/>
    <xf numFmtId="0" fontId="0" fillId="5" borderId="1" xfId="0" applyFill="1" applyBorder="1" applyAlignment="1">
      <alignment horizontal="center"/>
    </xf>
    <xf numFmtId="164" fontId="0" fillId="5" borderId="1" xfId="0" applyNumberFormat="1" applyFill="1" applyBorder="1" applyAlignment="1">
      <alignment horizontal="center"/>
    </xf>
    <xf numFmtId="0" fontId="0" fillId="5" borderId="3" xfId="0" applyFill="1" applyBorder="1" applyAlignment="1">
      <alignment horizontal="center"/>
    </xf>
    <xf numFmtId="0" fontId="0" fillId="5" borderId="2" xfId="0" applyFill="1" applyBorder="1" applyAlignment="1">
      <alignment horizontal="center"/>
    </xf>
    <xf numFmtId="0" fontId="0" fillId="5" borderId="0" xfId="0" applyFill="1"/>
    <xf numFmtId="2" fontId="0" fillId="5" borderId="1" xfId="0" applyNumberFormat="1" applyFill="1" applyBorder="1" applyAlignment="1">
      <alignment horizontal="center"/>
    </xf>
    <xf numFmtId="0" fontId="0" fillId="6" borderId="1" xfId="0" applyFill="1" applyBorder="1"/>
    <xf numFmtId="0" fontId="0" fillId="6" borderId="1" xfId="0" applyFill="1" applyBorder="1" applyAlignment="1">
      <alignment horizontal="center"/>
    </xf>
    <xf numFmtId="164" fontId="0" fillId="6" borderId="1" xfId="0" applyNumberFormat="1" applyFill="1" applyBorder="1" applyAlignment="1">
      <alignment horizontal="center"/>
    </xf>
    <xf numFmtId="0" fontId="0" fillId="6" borderId="3" xfId="0" applyFill="1" applyBorder="1" applyAlignment="1">
      <alignment horizontal="center"/>
    </xf>
    <xf numFmtId="0" fontId="0" fillId="6" borderId="2" xfId="0" applyFill="1" applyBorder="1" applyAlignment="1">
      <alignment horizontal="center"/>
    </xf>
    <xf numFmtId="0" fontId="0" fillId="6" borderId="0" xfId="0" applyFill="1"/>
    <xf numFmtId="2" fontId="0" fillId="6" borderId="1" xfId="0" applyNumberFormat="1" applyFill="1" applyBorder="1" applyAlignment="1">
      <alignment horizontal="center"/>
    </xf>
    <xf numFmtId="164" fontId="0" fillId="3" borderId="3" xfId="0" applyNumberFormat="1" applyFill="1" applyBorder="1" applyAlignment="1">
      <alignment horizontal="center"/>
    </xf>
    <xf numFmtId="164" fontId="0" fillId="6" borderId="3" xfId="0" applyNumberFormat="1" applyFill="1" applyBorder="1" applyAlignment="1">
      <alignment horizontal="center"/>
    </xf>
    <xf numFmtId="2" fontId="0" fillId="0" borderId="2" xfId="0" applyNumberFormat="1" applyFill="1" applyBorder="1" applyAlignment="1">
      <alignment horizontal="center"/>
    </xf>
    <xf numFmtId="2" fontId="0" fillId="0" borderId="3" xfId="0" applyNumberFormat="1" applyFill="1" applyBorder="1" applyAlignment="1">
      <alignment horizontal="center"/>
    </xf>
    <xf numFmtId="2" fontId="0" fillId="0" borderId="0" xfId="0" applyNumberFormat="1"/>
    <xf numFmtId="0" fontId="1" fillId="0" borderId="5" xfId="0" applyFont="1" applyBorder="1" applyAlignment="1">
      <alignment horizontal="center"/>
    </xf>
    <xf numFmtId="0" fontId="3" fillId="0" borderId="0" xfId="0" applyFont="1" applyAlignment="1">
      <alignment horizontal="left" wrapText="1"/>
    </xf>
  </cellXfs>
  <cellStyles count="2">
    <cellStyle name="Currency" xfId="1" builtinId="4"/>
    <cellStyle name="Normal" xfId="0" builtinId="0"/>
  </cellStyles>
  <dxfs count="81">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rgb="FF000000"/>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rgb="FF000000"/>
          <bgColor auto="1"/>
        </patternFill>
      </fill>
    </dxf>
    <dxf>
      <border>
        <bottom style="thin">
          <color rgb="FF000000"/>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rgb="FF000000"/>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rgb="FF000000"/>
          <bgColor auto="1"/>
        </patternFill>
      </fill>
    </dxf>
    <dxf>
      <border>
        <bottom style="thin">
          <color rgb="FF000000"/>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rgb="FF000000"/>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rgb="FF000000"/>
          <bgColor auto="1"/>
        </patternFill>
      </fill>
    </dxf>
    <dxf>
      <border>
        <bottom style="thin">
          <color rgb="FF000000"/>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5" name="Table136" displayName="Table136" ref="B7:M13" totalsRowCount="1" headerRowDxfId="80" dataDxfId="78" headerRowBorderDxfId="79" headerRowCellStyle="Normal">
  <tableColumns count="12">
    <tableColumn id="1" name="Customer Load Profile" dataDxfId="77" totalsRowDxfId="76"/>
    <tableColumn id="2" name="Summer PLC (MW)" totalsRowFunction="custom" dataDxfId="75" totalsRowDxfId="74">
      <totalsRowFormula>SUM(Table136[Summer PLC (MW)])</totalsRowFormula>
    </tableColumn>
    <tableColumn id="8" name="Expected Summer Peak Load (MW)" totalsRowFunction="custom" dataDxfId="73" totalsRowDxfId="72">
      <totalsRowFormula>SUM(Table136[Expected Summer Peak Load (MW)])</totalsRowFormula>
    </tableColumn>
    <tableColumn id="3" name="Summer MESL (MW)" totalsRowFunction="custom" dataDxfId="71" totalsRowDxfId="70">
      <totalsRowFormula>SUM(Table136[Summer MESL (MW)])</totalsRowFormula>
    </tableColumn>
    <tableColumn id="4" name="Summer Nominated PRD Value (MW)" totalsRowFunction="custom" dataDxfId="69" totalsRowDxfId="68">
      <calculatedColumnFormula>+C8-E8</calculatedColumnFormula>
      <totalsRowFormula>SUM(Table136[Summer Nominated PRD Value (MW)])</totalsRowFormula>
    </tableColumn>
    <tableColumn id="5" name="Winter Peak Load (MW)" dataDxfId="67" totalsRowDxfId="66"/>
    <tableColumn id="7" name="Winter Weather Adjustment Factor" dataDxfId="65" totalsRowDxfId="64"/>
    <tableColumn id="10" name="Weather Adjusted Winter Peak Load (MW)" totalsRowFunction="custom" dataDxfId="63" totalsRowDxfId="62">
      <calculatedColumnFormula>+Table136[[#This Row],[Winter Peak Load (MW)]]*Table136[[#This Row],[Winter Weather Adjustment Factor]]</calculatedColumnFormula>
      <totalsRowFormula>SUM(Table136[Weather Adjusted Winter Peak Load (MW)])</totalsRowFormula>
    </tableColumn>
    <tableColumn id="12" name="Expected Weather Adjusted Winter Peak Load (MW)" dataDxfId="61" totalsRowDxfId="60"/>
    <tableColumn id="6" name="Winter FSL (MW)" totalsRowFunction="custom" dataDxfId="59" totalsRowDxfId="58">
      <calculatedColumnFormula>+Table136[[#This Row],[Weather Adjusted Winter Peak Load (MW)]]-Table136[[#This Row],[Summer Nominated PRD Value (MW)]]</calculatedColumnFormula>
      <totalsRowFormula>SUM(Table136[Winter FSL (MW)])</totalsRowFormula>
    </tableColumn>
    <tableColumn id="9" name="Winter Nominated DR Value (MW)" totalsRowFunction="custom" dataDxfId="57" totalsRowDxfId="56">
      <calculatedColumnFormula>+Table136[[#This Row],[Weather Adjusted Winter Peak Load (MW)]]-Table136[[#This Row],[Winter FSL (MW)]]</calculatedColumnFormula>
      <totalsRowFormula>SUM(Table136[Winter Nominated DR Value (MW)])</totalsRowFormula>
    </tableColumn>
    <tableColumn id="11" name="Annual Nominated PRD Value (MW)" totalsRowFunction="custom" dataDxfId="55" totalsRowDxfId="54">
      <totalsRowFormula>+Table136[[#Totals],[Summer Nominated PRD Value (MW)]]</totalsRowFormula>
    </tableColumn>
  </tableColumns>
  <tableStyleInfo name="TableStyleLight1" showFirstColumn="0" showLastColumn="0" showRowStripes="1" showColumnStripes="0"/>
</table>
</file>

<file path=xl/tables/table2.xml><?xml version="1.0" encoding="utf-8"?>
<table xmlns="http://schemas.openxmlformats.org/spreadsheetml/2006/main" id="7" name="Table1368" displayName="Table1368" ref="B7:M13" totalsRowCount="1" headerRowDxfId="53" dataDxfId="51" headerRowBorderDxfId="52" headerRowCellStyle="Normal">
  <tableColumns count="12">
    <tableColumn id="1" name="Customer Load Profile" dataDxfId="50" totalsRowDxfId="49"/>
    <tableColumn id="2" name="Summer PLC (MW)" totalsRowFunction="custom" dataDxfId="48" totalsRowDxfId="47">
      <totalsRowFormula>SUM(Table1368[Summer PLC (MW)])</totalsRowFormula>
    </tableColumn>
    <tableColumn id="8" name="Expected Summer Peak Load (MW)" dataDxfId="46" totalsRowDxfId="45">
      <calculatedColumnFormula>+Table1368[[#This Row],[Summer PLC (MW)]]*1.02</calculatedColumnFormula>
    </tableColumn>
    <tableColumn id="3" name="Summer FSL (MW)" totalsRowFunction="custom" dataDxfId="44" totalsRowDxfId="43">
      <totalsRowFormula>SUM(Table1368[Summer FSL (MW)])</totalsRowFormula>
    </tableColumn>
    <tableColumn id="4" name="Summer Nominated PRD Value (MW)" totalsRowFunction="custom" dataDxfId="42" totalsRowDxfId="41">
      <calculatedColumnFormula>+Table1368[[#This Row],[Expected Summer Peak Load (MW)]]-Table1368[[#This Row],[Summer FSL (MW)]]</calculatedColumnFormula>
      <totalsRowFormula>SUM(Table1368[Summer Nominated PRD Value (MW)])</totalsRowFormula>
    </tableColumn>
    <tableColumn id="5" name="Winter Peak Load (MW)" dataDxfId="40" totalsRowDxfId="39"/>
    <tableColumn id="7" name="Winter Weather Adjustment Factor" dataDxfId="38" totalsRowDxfId="37"/>
    <tableColumn id="10" name="Weather Adjusted Winter Peak Load (MW)" totalsRowFunction="custom" dataDxfId="36" totalsRowDxfId="35">
      <calculatedColumnFormula>+Table1368[[#This Row],[Winter Peak Load (MW)]]*Table1368[[#This Row],[Winter Weather Adjustment Factor]]</calculatedColumnFormula>
      <totalsRowFormula>SUM(Table1368[Weather Adjusted Winter Peak Load (MW)])</totalsRowFormula>
    </tableColumn>
    <tableColumn id="12" name="Expected Weather Adjusted Winter Peak Load (MW)" dataDxfId="34" totalsRowDxfId="33">
      <calculatedColumnFormula>+Table1368[[#This Row],[Weather Adjusted Winter Peak Load (MW)]]*1.02</calculatedColumnFormula>
    </tableColumn>
    <tableColumn id="6" name="Winter FSL (MW)" totalsRowFunction="custom" dataDxfId="32" totalsRowDxfId="31">
      <calculatedColumnFormula>+Table1368[[#This Row],[Weather Adjusted Winter Peak Load (MW)]]-Table1368[[#This Row],[Summer Nominated PRD Value (MW)]]</calculatedColumnFormula>
      <totalsRowFormula>SUM(Table1368[Winter FSL (MW)])</totalsRowFormula>
    </tableColumn>
    <tableColumn id="9" name="Winter Nominated PRD Value (MW)" totalsRowFunction="custom" dataDxfId="30" totalsRowDxfId="29">
      <calculatedColumnFormula>+Table1368[[#This Row],[Weather Adjusted Winter Peak Load (MW)]]-Table1368[[#This Row],[Winter FSL (MW)]]</calculatedColumnFormula>
      <totalsRowFormula>+Table1368[[#Totals],[Weather Adjusted Winter Peak Load (MW)]]-Table1368[[#Totals],[Winter FSL (MW)]]</totalsRowFormula>
    </tableColumn>
    <tableColumn id="11" name="Annual Nominated PRD Value (MW)" totalsRowFunction="custom" dataDxfId="28" totalsRowDxfId="27">
      <totalsRowFormula>MIN(Table1368[[#Totals],[Summer Nominated PRD Value (MW)]],Table1368[[#Totals],[Winter Nominated PRD Value (MW)]])</totalsRowFormula>
    </tableColumn>
  </tableColumns>
  <tableStyleInfo name="TableStyleLight1" showFirstColumn="0" showLastColumn="0" showRowStripes="1" showColumnStripes="0"/>
</table>
</file>

<file path=xl/tables/table3.xml><?xml version="1.0" encoding="utf-8"?>
<table xmlns="http://schemas.openxmlformats.org/spreadsheetml/2006/main" id="8" name="Table13689" displayName="Table13689" ref="B7:M13" totalsRowCount="1" headerRowDxfId="26" dataDxfId="24" headerRowBorderDxfId="25" headerRowCellStyle="Normal">
  <tableColumns count="12">
    <tableColumn id="1" name="Customer Load Profile" dataDxfId="23" totalsRowDxfId="22"/>
    <tableColumn id="2" name="Summer PLC (MW)" totalsRowFunction="custom" dataDxfId="21" totalsRowDxfId="20">
      <totalsRowFormula>SUM(Table13689[Summer PLC (MW)])</totalsRowFormula>
    </tableColumn>
    <tableColumn id="8" name="Expected Summer Peak Load (MW)" totalsRowFunction="custom" dataDxfId="19" totalsRowDxfId="18">
      <calculatedColumnFormula>+Table136[[#This Row],[Summer PLC (MW)]]*1.02</calculatedColumnFormula>
      <totalsRowFormula>SUM(Table13689[Expected Summer Peak Load (MW)])</totalsRowFormula>
    </tableColumn>
    <tableColumn id="3" name="Summer MESL (MW)" totalsRowFunction="custom" dataDxfId="17" totalsRowDxfId="16">
      <totalsRowFormula>SUM(Table13689[Summer MESL (MW)])</totalsRowFormula>
    </tableColumn>
    <tableColumn id="4" name="Summer Nominated PRD Value (MW)" totalsRowFunction="custom" dataDxfId="15" totalsRowDxfId="14">
      <calculatedColumnFormula>+Table136[[#This Row],[Expected Summer Peak Load (MW)]]-Table136[[#This Row],[Summer MESL (MW)]]</calculatedColumnFormula>
      <totalsRowFormula>SUM(Table13689[Summer Nominated PRD Value (MW)])</totalsRowFormula>
    </tableColumn>
    <tableColumn id="5" name="Winter Peak Load (MW)" dataDxfId="13" totalsRowDxfId="12"/>
    <tableColumn id="7" name="Winter Weather Adjustment Factor" dataDxfId="11" totalsRowDxfId="10"/>
    <tableColumn id="10" name="Weather Adjusted Winter Peak Load (MW)" totalsRowFunction="custom" dataDxfId="9" totalsRowDxfId="8">
      <calculatedColumnFormula>+Table13689[[#This Row],[Winter Peak Load (MW)]]*Table13689[[#This Row],[Winter Weather Adjustment Factor]]</calculatedColumnFormula>
      <totalsRowFormula>SUM(Table13689[Weather Adjusted Winter Peak Load (MW)])</totalsRowFormula>
    </tableColumn>
    <tableColumn id="12" name="Expected Weather Adjusted Winter Peak Load (MW)" dataDxfId="7" totalsRowDxfId="6">
      <calculatedColumnFormula>+Table13689[[#This Row],[Weather Adjusted Winter Peak Load (MW)]]*1.02</calculatedColumnFormula>
    </tableColumn>
    <tableColumn id="6" name="Winter MESL (MW)" totalsRowFunction="custom" dataDxfId="5" totalsRowDxfId="4">
      <calculatedColumnFormula>+Table13689[[#This Row],[Weather Adjusted Winter Peak Load (MW)]]-Table13689[[#This Row],[Summer Nominated PRD Value (MW)]]</calculatedColumnFormula>
      <totalsRowFormula>SUM(Table13689[Winter MESL (MW)])</totalsRowFormula>
    </tableColumn>
    <tableColumn id="9" name="Winter Nominated PRD Value (MW)" totalsRowFunction="custom" dataDxfId="3" totalsRowDxfId="2">
      <calculatedColumnFormula>+Table13689[[#This Row],[Weather Adjusted Winter Peak Load (MW)]]-Table13689[[#This Row],[Winter MESL (MW)]]</calculatedColumnFormula>
      <totalsRowFormula>SUM(Table13689[Winter Nominated PRD Value (MW)])</totalsRowFormula>
    </tableColumn>
    <tableColumn id="11" name="Annual Nominated PRD Value (MW)" totalsRowFunction="custom" dataDxfId="1" totalsRowDxfId="0">
      <totalsRowFormula>MIN(Table13689[[#Totals],[Summer Nominated PRD Value (MW)]],Table13689[[#Totals],[Winter Nominated PRD Value (MW)]])</totalsRow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zoomScale="110" zoomScaleNormal="110" workbookViewId="0">
      <selection activeCell="C28" sqref="C28"/>
    </sheetView>
  </sheetViews>
  <sheetFormatPr defaultRowHeight="15"/>
  <cols>
    <col min="1" max="1" width="9.7109375" customWidth="1"/>
    <col min="2" max="2" width="35.140625" customWidth="1"/>
    <col min="3" max="3" width="9.85546875" bestFit="1" customWidth="1"/>
    <col min="4" max="4" width="11.85546875" customWidth="1"/>
    <col min="5" max="5" width="11.7109375" customWidth="1"/>
    <col min="6" max="6" width="14" customWidth="1"/>
    <col min="7" max="7" width="13.85546875" hidden="1" customWidth="1"/>
    <col min="8" max="8" width="17.5703125" hidden="1" customWidth="1"/>
    <col min="9" max="10" width="18" hidden="1" customWidth="1"/>
    <col min="11" max="11" width="10.7109375" hidden="1" customWidth="1"/>
    <col min="12" max="12" width="12.42578125" hidden="1" customWidth="1"/>
    <col min="13" max="13" width="12.42578125" customWidth="1"/>
    <col min="14" max="14" width="1.5703125" customWidth="1"/>
    <col min="18" max="18" width="11.5703125" customWidth="1"/>
    <col min="19" max="19" width="2.42578125" customWidth="1"/>
    <col min="23" max="23" width="11.140625" customWidth="1"/>
  </cols>
  <sheetData>
    <row r="1" spans="1:23" ht="15.75">
      <c r="A1" s="1" t="s">
        <v>86</v>
      </c>
      <c r="B1" s="1"/>
      <c r="T1" s="13"/>
      <c r="U1" s="13"/>
      <c r="V1" s="13"/>
    </row>
    <row r="2" spans="1:23" ht="15.75">
      <c r="A2" s="1"/>
      <c r="B2" s="1"/>
      <c r="O2" s="13"/>
      <c r="P2" s="13"/>
      <c r="Q2" s="13"/>
      <c r="T2" s="13"/>
      <c r="U2" s="13"/>
      <c r="V2" s="13"/>
    </row>
    <row r="3" spans="1:23" ht="15.75">
      <c r="A3" s="31"/>
      <c r="B3" s="1"/>
      <c r="O3" s="13"/>
      <c r="P3" s="13"/>
      <c r="Q3" s="13"/>
      <c r="T3" s="13"/>
      <c r="U3" s="13"/>
      <c r="V3" s="13"/>
    </row>
    <row r="4" spans="1:23" ht="15.75">
      <c r="A4" s="1"/>
      <c r="B4" s="29"/>
      <c r="O4" s="13"/>
      <c r="P4" s="13"/>
      <c r="Q4" s="13"/>
      <c r="T4" s="13"/>
      <c r="U4" s="13"/>
      <c r="V4" s="13"/>
    </row>
    <row r="5" spans="1:23" ht="15.75">
      <c r="A5" s="1"/>
      <c r="B5" s="29"/>
      <c r="O5" s="70" t="s">
        <v>18</v>
      </c>
      <c r="P5" s="70"/>
      <c r="Q5" s="70"/>
      <c r="R5" s="70"/>
      <c r="T5" s="70" t="s">
        <v>21</v>
      </c>
      <c r="U5" s="70"/>
      <c r="V5" s="70"/>
      <c r="W5" s="70"/>
    </row>
    <row r="6" spans="1:23" ht="45">
      <c r="C6" s="2" t="s">
        <v>4</v>
      </c>
      <c r="D6" s="2" t="s">
        <v>62</v>
      </c>
      <c r="E6" s="2" t="s">
        <v>5</v>
      </c>
      <c r="F6" s="2" t="s">
        <v>63</v>
      </c>
      <c r="G6" s="2" t="s">
        <v>6</v>
      </c>
      <c r="H6" s="2" t="s">
        <v>14</v>
      </c>
      <c r="I6" s="2" t="s">
        <v>15</v>
      </c>
      <c r="J6" s="2" t="s">
        <v>64</v>
      </c>
      <c r="K6" s="2" t="s">
        <v>37</v>
      </c>
      <c r="L6" s="2" t="s">
        <v>35</v>
      </c>
      <c r="M6" s="11" t="s">
        <v>67</v>
      </c>
      <c r="O6" s="2" t="s">
        <v>22</v>
      </c>
      <c r="P6" s="2" t="s">
        <v>71</v>
      </c>
      <c r="Q6" s="11" t="s">
        <v>72</v>
      </c>
      <c r="R6" s="11" t="s">
        <v>73</v>
      </c>
      <c r="T6" s="2" t="s">
        <v>40</v>
      </c>
      <c r="U6" s="2" t="s">
        <v>74</v>
      </c>
      <c r="V6" s="11" t="s">
        <v>75</v>
      </c>
      <c r="W6" s="11" t="s">
        <v>96</v>
      </c>
    </row>
    <row r="7" spans="1:23" ht="60">
      <c r="A7" s="7" t="s">
        <v>33</v>
      </c>
      <c r="B7" s="6" t="s">
        <v>9</v>
      </c>
      <c r="C7" s="6" t="s">
        <v>0</v>
      </c>
      <c r="D7" s="6" t="s">
        <v>66</v>
      </c>
      <c r="E7" s="6" t="s">
        <v>68</v>
      </c>
      <c r="F7" s="6" t="s">
        <v>90</v>
      </c>
      <c r="G7" s="6" t="s">
        <v>16</v>
      </c>
      <c r="H7" s="6" t="s">
        <v>13</v>
      </c>
      <c r="I7" s="6" t="s">
        <v>17</v>
      </c>
      <c r="J7" s="6" t="s">
        <v>65</v>
      </c>
      <c r="K7" s="6" t="s">
        <v>8</v>
      </c>
      <c r="L7" s="20" t="s">
        <v>34</v>
      </c>
      <c r="M7" s="20" t="s">
        <v>89</v>
      </c>
      <c r="O7" s="7" t="s">
        <v>19</v>
      </c>
      <c r="P7" s="7" t="s">
        <v>69</v>
      </c>
      <c r="Q7" s="7" t="s">
        <v>70</v>
      </c>
      <c r="R7" s="7" t="s">
        <v>20</v>
      </c>
      <c r="T7" s="7" t="s">
        <v>19</v>
      </c>
      <c r="U7" s="7" t="s">
        <v>69</v>
      </c>
      <c r="V7" s="7" t="s">
        <v>70</v>
      </c>
      <c r="W7" s="7" t="s">
        <v>20</v>
      </c>
    </row>
    <row r="8" spans="1:23">
      <c r="A8" s="4">
        <v>1</v>
      </c>
      <c r="B8" s="3" t="s">
        <v>2</v>
      </c>
      <c r="C8" s="4">
        <v>10</v>
      </c>
      <c r="D8" s="4">
        <f>+Table136[[#This Row],[Summer PLC (MW)]]*1.02</f>
        <v>10.199999999999999</v>
      </c>
      <c r="E8" s="4">
        <v>5</v>
      </c>
      <c r="F8" s="4">
        <f>+Table136[[#This Row],[Expected Summer Peak Load (MW)]]-Table136[[#This Row],[Summer MESL (MW)]]</f>
        <v>5.1999999999999993</v>
      </c>
      <c r="G8" s="4">
        <v>8</v>
      </c>
      <c r="H8" s="4">
        <v>1.05</v>
      </c>
      <c r="I8" s="4">
        <f>+Table136[[#This Row],[Winter Peak Load (MW)]]*Table136[[#This Row],[Winter Weather Adjustment Factor]]</f>
        <v>8.4</v>
      </c>
      <c r="J8" s="42">
        <f>+Table136[[#This Row],[Weather Adjusted Winter Peak Load (MW)]]*1.02</f>
        <v>8.5680000000000014</v>
      </c>
      <c r="K8" s="4">
        <v>5</v>
      </c>
      <c r="L8" s="19">
        <f>+Table136[[#This Row],[Weather Adjusted Winter Peak Load (MW)]]-Table136[[#This Row],[Winter FSL (MW)]]</f>
        <v>3.4000000000000004</v>
      </c>
      <c r="M8" s="19"/>
      <c r="O8" s="12">
        <v>5</v>
      </c>
      <c r="P8" s="12">
        <v>0.05</v>
      </c>
      <c r="Q8" s="12">
        <f>+P8*Table136[[#This Row],[Summer MESL (MW)]]</f>
        <v>0.25</v>
      </c>
      <c r="R8" s="45">
        <f>+Table136[[#This Row],[Expected Summer Peak Load (MW)]]-O8+Q8</f>
        <v>5.4499999999999993</v>
      </c>
      <c r="T8" s="12">
        <v>5.5</v>
      </c>
      <c r="U8" s="12">
        <v>0.05</v>
      </c>
      <c r="V8" s="44">
        <f>+U8*E8</f>
        <v>0.25</v>
      </c>
      <c r="W8" s="44">
        <f>+Table136[[#This Row],[Expected Summer Peak Load (MW)]]-T8+V8</f>
        <v>4.9499999999999993</v>
      </c>
    </row>
    <row r="9" spans="1:23">
      <c r="A9" s="4">
        <v>2</v>
      </c>
      <c r="B9" s="3" t="s">
        <v>3</v>
      </c>
      <c r="C9" s="4">
        <v>10</v>
      </c>
      <c r="D9" s="4">
        <f>+Table136[[#This Row],[Summer PLC (MW)]]*1.02</f>
        <v>10.199999999999999</v>
      </c>
      <c r="E9" s="4">
        <v>5</v>
      </c>
      <c r="F9" s="4">
        <f>+Table136[[#This Row],[Expected Summer Peak Load (MW)]]-Table136[[#This Row],[Summer MESL (MW)]]</f>
        <v>5.1999999999999993</v>
      </c>
      <c r="G9" s="4">
        <v>12</v>
      </c>
      <c r="H9" s="4">
        <v>1.05</v>
      </c>
      <c r="I9" s="4">
        <f>+Table136[[#This Row],[Winter Peak Load (MW)]]*Table136[[#This Row],[Winter Weather Adjustment Factor]]</f>
        <v>12.600000000000001</v>
      </c>
      <c r="J9" s="42">
        <f>+Table136[[#This Row],[Weather Adjusted Winter Peak Load (MW)]]*1.02</f>
        <v>12.852000000000002</v>
      </c>
      <c r="K9" s="4">
        <v>5</v>
      </c>
      <c r="L9" s="19">
        <f>+Table136[[#This Row],[Weather Adjusted Winter Peak Load (MW)]]-Table136[[#This Row],[Winter FSL (MW)]]</f>
        <v>7.6000000000000014</v>
      </c>
      <c r="M9" s="4"/>
      <c r="O9" s="4">
        <v>5</v>
      </c>
      <c r="P9" s="4">
        <v>0.05</v>
      </c>
      <c r="Q9" s="4">
        <f>+P9*Table136[[#This Row],[Summer MESL (MW)]]</f>
        <v>0.25</v>
      </c>
      <c r="R9" s="42">
        <f>+Table136[[#This Row],[Expected Summer Peak Load (MW)]]-O9+Q9</f>
        <v>5.4499999999999993</v>
      </c>
      <c r="T9" s="4">
        <v>6</v>
      </c>
      <c r="U9" s="4">
        <v>0.05</v>
      </c>
      <c r="V9" s="44">
        <f t="shared" ref="V9:V10" si="0">+U9*E9</f>
        <v>0.25</v>
      </c>
      <c r="W9" s="41">
        <f>+Table136[[#This Row],[Expected Summer Peak Load (MW)]]-T9+V9</f>
        <v>4.4499999999999993</v>
      </c>
    </row>
    <row r="10" spans="1:23">
      <c r="A10" s="4">
        <v>3</v>
      </c>
      <c r="B10" s="3" t="s">
        <v>10</v>
      </c>
      <c r="C10" s="4">
        <v>10</v>
      </c>
      <c r="D10" s="4">
        <f>+Table136[[#This Row],[Summer PLC (MW)]]*1.02</f>
        <v>10.199999999999999</v>
      </c>
      <c r="E10" s="4">
        <v>5</v>
      </c>
      <c r="F10" s="4">
        <f>+Table136[[#This Row],[Expected Summer Peak Load (MW)]]-Table136[[#This Row],[Summer MESL (MW)]]</f>
        <v>5.1999999999999993</v>
      </c>
      <c r="G10" s="4">
        <v>10</v>
      </c>
      <c r="H10" s="4">
        <v>1.05</v>
      </c>
      <c r="I10" s="4">
        <f>+Table136[[#This Row],[Winter Peak Load (MW)]]*Table136[[#This Row],[Winter Weather Adjustment Factor]]</f>
        <v>10.5</v>
      </c>
      <c r="J10" s="42">
        <f>+Table136[[#This Row],[Weather Adjusted Winter Peak Load (MW)]]*1.02</f>
        <v>10.71</v>
      </c>
      <c r="K10" s="4">
        <v>5.5</v>
      </c>
      <c r="L10" s="19">
        <f>+Table136[[#This Row],[Weather Adjusted Winter Peak Load (MW)]]-Table136[[#This Row],[Winter FSL (MW)]]</f>
        <v>5</v>
      </c>
      <c r="M10" s="4"/>
      <c r="O10" s="12">
        <v>5</v>
      </c>
      <c r="P10" s="12">
        <v>0.05</v>
      </c>
      <c r="Q10" s="12">
        <f>+P10*Table136[[#This Row],[Summer MESL (MW)]]</f>
        <v>0.25</v>
      </c>
      <c r="R10" s="45">
        <f>+Table136[[#This Row],[Expected Summer Peak Load (MW)]]-O10+Q10</f>
        <v>5.4499999999999993</v>
      </c>
      <c r="T10" s="12">
        <v>5</v>
      </c>
      <c r="U10" s="12">
        <v>0.05</v>
      </c>
      <c r="V10" s="44">
        <f t="shared" si="0"/>
        <v>0.25</v>
      </c>
      <c r="W10" s="44">
        <f>+Table136[[#This Row],[Expected Summer Peak Load (MW)]]-T10+V10</f>
        <v>5.4499999999999993</v>
      </c>
    </row>
    <row r="11" spans="1:23">
      <c r="A11" s="4">
        <v>4</v>
      </c>
      <c r="B11" s="23" t="s">
        <v>11</v>
      </c>
      <c r="C11" s="22">
        <v>10</v>
      </c>
      <c r="D11" s="22">
        <f>+Table136[[#This Row],[Summer PLC (MW)]]*1.02</f>
        <v>10.199999999999999</v>
      </c>
      <c r="E11" s="22">
        <v>4</v>
      </c>
      <c r="F11" s="22">
        <f>+Table136[[#This Row],[Expected Summer Peak Load (MW)]]-Table136[[#This Row],[Summer MESL (MW)]]</f>
        <v>6.1999999999999993</v>
      </c>
      <c r="G11" s="22">
        <v>6</v>
      </c>
      <c r="H11" s="22">
        <v>1.05</v>
      </c>
      <c r="I11" s="22">
        <f>+Table136[[#This Row],[Winter Peak Load (MW)]]*Table136[[#This Row],[Winter Weather Adjustment Factor]]</f>
        <v>6.3000000000000007</v>
      </c>
      <c r="J11" s="49">
        <f>+Table136[[#This Row],[Weather Adjusted Winter Peak Load (MW)]]*1.02</f>
        <v>6.426000000000001</v>
      </c>
      <c r="K11" s="22">
        <v>6.3</v>
      </c>
      <c r="L11" s="50">
        <f>+Table136[[#This Row],[Weather Adjusted Winter Peak Load (MW)]]-Table136[[#This Row],[Winter FSL (MW)]]</f>
        <v>0</v>
      </c>
      <c r="M11" s="22"/>
      <c r="N11" s="21"/>
      <c r="O11" s="22">
        <v>3</v>
      </c>
      <c r="P11" s="22">
        <v>0.05</v>
      </c>
      <c r="Q11" s="22">
        <f>+P11*Table136[[#This Row],[Summer MESL (MW)]]</f>
        <v>0.2</v>
      </c>
      <c r="R11" s="49">
        <f>+Table136[[#This Row],[Expected Summer Peak Load (MW)]]-O11+Q11</f>
        <v>7.3999999999999995</v>
      </c>
      <c r="S11" s="21"/>
      <c r="T11" s="22">
        <v>6.3</v>
      </c>
      <c r="U11" s="22">
        <v>0.05</v>
      </c>
      <c r="V11" s="48">
        <f>+U11*E11</f>
        <v>0.2</v>
      </c>
      <c r="W11" s="48">
        <f>+Table136[[#This Row],[Expected Summer Peak Load (MW)]]-T11+V11</f>
        <v>4.0999999999999996</v>
      </c>
    </row>
    <row r="12" spans="1:23">
      <c r="A12" s="4">
        <v>5</v>
      </c>
      <c r="B12" s="51" t="s">
        <v>12</v>
      </c>
      <c r="C12" s="52">
        <v>1</v>
      </c>
      <c r="D12" s="52">
        <f>+Table136[[#This Row],[Summer PLC (MW)]]*1.02</f>
        <v>1.02</v>
      </c>
      <c r="E12" s="52">
        <v>0</v>
      </c>
      <c r="F12" s="52">
        <f>+Table136[[#This Row],[Expected Summer Peak Load (MW)]]-Table136[[#This Row],[Summer MESL (MW)]]</f>
        <v>1.02</v>
      </c>
      <c r="G12" s="52">
        <v>12</v>
      </c>
      <c r="H12" s="52">
        <v>1.05</v>
      </c>
      <c r="I12" s="52">
        <f>+Table136[[#This Row],[Winter Peak Load (MW)]]*Table136[[#This Row],[Winter Weather Adjustment Factor]]</f>
        <v>12.600000000000001</v>
      </c>
      <c r="J12" s="53">
        <f>+Table136[[#This Row],[Weather Adjusted Winter Peak Load (MW)]]*1.02</f>
        <v>12.852000000000002</v>
      </c>
      <c r="K12" s="52">
        <f>+Table136[[#This Row],[Weather Adjusted Winter Peak Load (MW)]]-Table136[[#This Row],[Summer Nominated PRD Value (MW)]]</f>
        <v>11.580000000000002</v>
      </c>
      <c r="L12" s="54">
        <f>+Table136[[#This Row],[Weather Adjusted Winter Peak Load (MW)]]-Table136[[#This Row],[Winter FSL (MW)]]</f>
        <v>1.0199999999999996</v>
      </c>
      <c r="M12" s="55"/>
      <c r="N12" s="56"/>
      <c r="O12" s="52">
        <v>1</v>
      </c>
      <c r="P12" s="52">
        <v>0.05</v>
      </c>
      <c r="Q12" s="52">
        <f>+P12*Table136[[#This Row],[Summer MESL (MW)]]</f>
        <v>0</v>
      </c>
      <c r="R12" s="53">
        <f>+Table136[[#This Row],[Expected Summer Peak Load (MW)]]-O12+Q12</f>
        <v>2.0000000000000018E-2</v>
      </c>
      <c r="S12" s="56"/>
      <c r="T12" s="52">
        <v>5.6</v>
      </c>
      <c r="U12" s="52">
        <v>0.05</v>
      </c>
      <c r="V12" s="44">
        <f>+U12*E12</f>
        <v>0</v>
      </c>
      <c r="W12" s="57">
        <v>0</v>
      </c>
    </row>
    <row r="13" spans="1:23">
      <c r="A13" s="18" t="s">
        <v>32</v>
      </c>
      <c r="B13" s="8"/>
      <c r="C13" s="67">
        <f>SUM(Table136[Summer PLC (MW)])</f>
        <v>41</v>
      </c>
      <c r="D13" s="67">
        <f>SUM(Table136[Expected Summer Peak Load (MW)])</f>
        <v>41.82</v>
      </c>
      <c r="E13" s="67">
        <f>SUM(Table136[Summer MESL (MW)])</f>
        <v>19</v>
      </c>
      <c r="F13" s="67">
        <f>SUM(Table136[Summer Nominated PRD Value (MW)])</f>
        <v>22.819999999999997</v>
      </c>
      <c r="G13" s="67"/>
      <c r="H13" s="41"/>
      <c r="I13" s="67">
        <f>SUM(Table136[Weather Adjusted Winter Peak Load (MW)])</f>
        <v>50.4</v>
      </c>
      <c r="J13" s="67"/>
      <c r="K13" s="67">
        <f>SUM(Table136[Winter FSL (MW)])</f>
        <v>33.380000000000003</v>
      </c>
      <c r="L13" s="68">
        <f>SUM(Table136[Winter Nominated DR Value (MW)])</f>
        <v>17.02</v>
      </c>
      <c r="M13" s="67">
        <f>+Table136[[#Totals],[Summer Nominated PRD Value (MW)]]</f>
        <v>22.819999999999997</v>
      </c>
      <c r="N13" s="69"/>
      <c r="O13" s="41"/>
      <c r="P13" s="41"/>
      <c r="Q13" s="47">
        <f>SUM(Q8:Q12)</f>
        <v>0.95</v>
      </c>
      <c r="R13" s="47">
        <f>SUM(R8:R12)</f>
        <v>23.769999999999996</v>
      </c>
      <c r="S13" s="69"/>
      <c r="T13" s="41"/>
      <c r="U13" s="41"/>
      <c r="V13" s="47">
        <f>SUM(V8:V12)</f>
        <v>0.95</v>
      </c>
      <c r="W13" s="47">
        <f>SUM(W8:W12)</f>
        <v>18.949999999999996</v>
      </c>
    </row>
    <row r="14" spans="1:23" ht="13.7" customHeight="1">
      <c r="A14" s="15" t="s">
        <v>23</v>
      </c>
    </row>
    <row r="15" spans="1:23" ht="13.7" customHeight="1">
      <c r="A15" s="14">
        <v>1</v>
      </c>
      <c r="B15" s="17" t="s">
        <v>24</v>
      </c>
    </row>
    <row r="16" spans="1:23" ht="13.7" customHeight="1">
      <c r="A16" s="14"/>
      <c r="B16" s="10"/>
    </row>
    <row r="17" spans="1:2" ht="13.7" customHeight="1">
      <c r="A17" s="14"/>
      <c r="B17" s="9"/>
    </row>
    <row r="18" spans="1:2" ht="13.7" customHeight="1">
      <c r="A18" s="14">
        <v>4</v>
      </c>
      <c r="B18" t="s">
        <v>92</v>
      </c>
    </row>
    <row r="19" spans="1:2" ht="13.7" customHeight="1">
      <c r="A19" s="14" t="s">
        <v>62</v>
      </c>
      <c r="B19" t="s">
        <v>93</v>
      </c>
    </row>
    <row r="20" spans="1:2" ht="13.7" customHeight="1">
      <c r="A20" s="14"/>
    </row>
    <row r="21" spans="1:2" ht="13.7" customHeight="1">
      <c r="A21" s="14" t="s">
        <v>83</v>
      </c>
      <c r="B21" t="s">
        <v>95</v>
      </c>
    </row>
    <row r="22" spans="1:2">
      <c r="A22" s="14"/>
      <c r="B22" t="s">
        <v>98</v>
      </c>
    </row>
    <row r="23" spans="1:2">
      <c r="A23" s="14"/>
    </row>
    <row r="24" spans="1:2">
      <c r="A24" s="16" t="s">
        <v>31</v>
      </c>
      <c r="B24" s="9"/>
    </row>
    <row r="25" spans="1:2">
      <c r="A25" t="s">
        <v>27</v>
      </c>
    </row>
    <row r="26" spans="1:2">
      <c r="A26" s="9"/>
    </row>
    <row r="27" spans="1:2">
      <c r="A27" s="9"/>
    </row>
    <row r="28" spans="1:2">
      <c r="A28" s="9" t="s">
        <v>30</v>
      </c>
    </row>
    <row r="29" spans="1:2">
      <c r="A29" t="s">
        <v>76</v>
      </c>
    </row>
  </sheetData>
  <mergeCells count="2">
    <mergeCell ref="O5:R5"/>
    <mergeCell ref="T5:W5"/>
  </mergeCells>
  <pageMargins left="0.45" right="0.45" top="0.75" bottom="0.75" header="0.3" footer="0.3"/>
  <pageSetup scale="7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topLeftCell="F1" zoomScale="98" zoomScaleNormal="98" workbookViewId="0">
      <selection activeCell="W6" sqref="W6"/>
    </sheetView>
  </sheetViews>
  <sheetFormatPr defaultRowHeight="15"/>
  <cols>
    <col min="1" max="1" width="9.7109375" customWidth="1"/>
    <col min="2" max="2" width="35.140625" customWidth="1"/>
    <col min="3" max="3" width="9.85546875" bestFit="1" customWidth="1"/>
    <col min="4" max="4" width="11.85546875" customWidth="1"/>
    <col min="5" max="5" width="11.7109375" customWidth="1"/>
    <col min="6" max="6" width="14" customWidth="1"/>
    <col min="7" max="7" width="13.85546875" customWidth="1"/>
    <col min="8" max="8" width="17.5703125" customWidth="1"/>
    <col min="9" max="10" width="18" customWidth="1"/>
    <col min="11" max="11" width="10.7109375" customWidth="1"/>
    <col min="12" max="13" width="12.42578125" customWidth="1"/>
    <col min="14" max="14" width="1.5703125" customWidth="1"/>
    <col min="18" max="18" width="11.5703125" customWidth="1"/>
    <col min="19" max="19" width="2.42578125" customWidth="1"/>
    <col min="23" max="23" width="11.140625" customWidth="1"/>
  </cols>
  <sheetData>
    <row r="1" spans="1:23" ht="15.75">
      <c r="A1" s="1" t="s">
        <v>84</v>
      </c>
      <c r="B1" s="1"/>
      <c r="T1" s="13"/>
      <c r="U1" s="13"/>
      <c r="V1" s="13"/>
    </row>
    <row r="2" spans="1:23" ht="15.75">
      <c r="A2" s="1"/>
      <c r="B2" s="1"/>
      <c r="O2" s="13"/>
      <c r="P2" s="13"/>
      <c r="Q2" s="13"/>
      <c r="T2" s="13"/>
      <c r="U2" s="13"/>
      <c r="V2" s="13"/>
    </row>
    <row r="3" spans="1:23" ht="15.75">
      <c r="A3" s="31"/>
      <c r="B3" s="1"/>
      <c r="O3" s="13"/>
      <c r="P3" s="13"/>
      <c r="Q3" s="13"/>
      <c r="T3" s="13"/>
      <c r="U3" s="13"/>
      <c r="V3" s="13"/>
    </row>
    <row r="4" spans="1:23" ht="15.75">
      <c r="A4" s="1"/>
      <c r="B4" s="29"/>
      <c r="O4" s="13"/>
      <c r="P4" s="13"/>
      <c r="Q4" s="13"/>
      <c r="T4" s="13"/>
      <c r="U4" s="13"/>
      <c r="V4" s="13"/>
    </row>
    <row r="5" spans="1:23" ht="15.75">
      <c r="A5" s="1"/>
      <c r="B5" s="29"/>
      <c r="O5" s="70" t="s">
        <v>18</v>
      </c>
      <c r="P5" s="70"/>
      <c r="Q5" s="70"/>
      <c r="R5" s="70"/>
      <c r="T5" s="70" t="s">
        <v>21</v>
      </c>
      <c r="U5" s="70"/>
      <c r="V5" s="70"/>
      <c r="W5" s="70"/>
    </row>
    <row r="6" spans="1:23" ht="45">
      <c r="C6" s="2" t="s">
        <v>4</v>
      </c>
      <c r="D6" s="2" t="s">
        <v>62</v>
      </c>
      <c r="E6" s="2" t="s">
        <v>5</v>
      </c>
      <c r="F6" s="2" t="s">
        <v>7</v>
      </c>
      <c r="G6" s="2" t="s">
        <v>6</v>
      </c>
      <c r="H6" s="2" t="s">
        <v>14</v>
      </c>
      <c r="I6" s="2" t="s">
        <v>15</v>
      </c>
      <c r="J6" s="2" t="s">
        <v>64</v>
      </c>
      <c r="K6" s="2" t="s">
        <v>37</v>
      </c>
      <c r="L6" s="2" t="s">
        <v>80</v>
      </c>
      <c r="M6" s="11" t="s">
        <v>36</v>
      </c>
      <c r="O6" s="2" t="s">
        <v>22</v>
      </c>
      <c r="P6" s="2" t="s">
        <v>71</v>
      </c>
      <c r="Q6" s="11" t="s">
        <v>72</v>
      </c>
      <c r="R6" s="11" t="s">
        <v>39</v>
      </c>
      <c r="T6" s="2" t="s">
        <v>40</v>
      </c>
      <c r="U6" s="2" t="s">
        <v>74</v>
      </c>
      <c r="V6" s="11" t="s">
        <v>75</v>
      </c>
      <c r="W6" s="11" t="s">
        <v>41</v>
      </c>
    </row>
    <row r="7" spans="1:23" ht="60">
      <c r="A7" s="7" t="s">
        <v>33</v>
      </c>
      <c r="B7" s="6" t="s">
        <v>9</v>
      </c>
      <c r="C7" s="6" t="s">
        <v>0</v>
      </c>
      <c r="D7" s="6" t="s">
        <v>66</v>
      </c>
      <c r="E7" s="6" t="s">
        <v>1</v>
      </c>
      <c r="F7" s="6" t="s">
        <v>90</v>
      </c>
      <c r="G7" s="6" t="s">
        <v>16</v>
      </c>
      <c r="H7" s="6" t="s">
        <v>13</v>
      </c>
      <c r="I7" s="6" t="s">
        <v>17</v>
      </c>
      <c r="J7" s="6" t="s">
        <v>65</v>
      </c>
      <c r="K7" s="6" t="s">
        <v>8</v>
      </c>
      <c r="L7" s="20" t="s">
        <v>91</v>
      </c>
      <c r="M7" s="20" t="s">
        <v>89</v>
      </c>
      <c r="O7" s="7" t="s">
        <v>19</v>
      </c>
      <c r="P7" s="7" t="s">
        <v>87</v>
      </c>
      <c r="Q7" s="7" t="s">
        <v>88</v>
      </c>
      <c r="R7" s="7" t="s">
        <v>20</v>
      </c>
      <c r="T7" s="7" t="s">
        <v>19</v>
      </c>
      <c r="U7" s="7" t="s">
        <v>87</v>
      </c>
      <c r="V7" s="7" t="s">
        <v>88</v>
      </c>
      <c r="W7" s="7" t="s">
        <v>20</v>
      </c>
    </row>
    <row r="8" spans="1:23">
      <c r="A8" s="4">
        <v>1</v>
      </c>
      <c r="B8" s="3" t="s">
        <v>2</v>
      </c>
      <c r="C8" s="4">
        <v>10</v>
      </c>
      <c r="D8" s="4" t="s">
        <v>78</v>
      </c>
      <c r="E8" s="4">
        <v>5</v>
      </c>
      <c r="F8" s="4">
        <f>+Table1368[[#This Row],[Summer PLC (MW)]]-Table1368[[#This Row],[Summer FSL (MW)]]</f>
        <v>5</v>
      </c>
      <c r="G8" s="4">
        <v>8</v>
      </c>
      <c r="H8" s="4">
        <v>1.05</v>
      </c>
      <c r="I8" s="4">
        <f>+Table1368[[#This Row],[Winter Peak Load (MW)]]*Table1368[[#This Row],[Winter Weather Adjustment Factor]]</f>
        <v>8.4</v>
      </c>
      <c r="J8" s="42" t="s">
        <v>79</v>
      </c>
      <c r="K8" s="4">
        <v>5</v>
      </c>
      <c r="L8" s="19">
        <f>+Table1368[[#This Row],[Weather Adjusted Winter Peak Load (MW)]]-Table1368[[#This Row],[Winter FSL (MW)]]</f>
        <v>3.4000000000000004</v>
      </c>
      <c r="M8" s="19"/>
      <c r="O8" s="12">
        <v>5</v>
      </c>
      <c r="P8" s="12" t="s">
        <v>79</v>
      </c>
      <c r="Q8" s="12" t="s">
        <v>79</v>
      </c>
      <c r="R8" s="12">
        <f>+Table1368[[#This Row],[Summer PLC (MW)]]-O8</f>
        <v>5</v>
      </c>
      <c r="T8" s="12">
        <v>5.5</v>
      </c>
      <c r="U8" s="12" t="s">
        <v>79</v>
      </c>
      <c r="V8" s="12" t="s">
        <v>79</v>
      </c>
      <c r="W8" s="44">
        <f>+Table1368[[#This Row],[Weather Adjusted Winter Peak Load (MW)]]-T8</f>
        <v>2.9000000000000004</v>
      </c>
    </row>
    <row r="9" spans="1:23">
      <c r="A9" s="4">
        <v>2</v>
      </c>
      <c r="B9" s="3" t="s">
        <v>3</v>
      </c>
      <c r="C9" s="4">
        <v>10</v>
      </c>
      <c r="D9" s="4" t="s">
        <v>78</v>
      </c>
      <c r="E9" s="4">
        <v>5</v>
      </c>
      <c r="F9" s="4">
        <f>+Table1368[[#This Row],[Summer PLC (MW)]]-Table1368[[#This Row],[Summer FSL (MW)]]</f>
        <v>5</v>
      </c>
      <c r="G9" s="4">
        <v>12</v>
      </c>
      <c r="H9" s="4">
        <v>1.05</v>
      </c>
      <c r="I9" s="4">
        <f>+Table1368[[#This Row],[Winter Peak Load (MW)]]*Table1368[[#This Row],[Winter Weather Adjustment Factor]]</f>
        <v>12.600000000000001</v>
      </c>
      <c r="J9" s="42" t="s">
        <v>79</v>
      </c>
      <c r="K9" s="4">
        <v>5</v>
      </c>
      <c r="L9" s="19">
        <f>+Table1368[[#This Row],[Weather Adjusted Winter Peak Load (MW)]]-Table1368[[#This Row],[Winter FSL (MW)]]</f>
        <v>7.6000000000000014</v>
      </c>
      <c r="M9" s="4"/>
      <c r="O9" s="4">
        <v>5</v>
      </c>
      <c r="P9" s="4" t="s">
        <v>79</v>
      </c>
      <c r="Q9" s="4" t="s">
        <v>79</v>
      </c>
      <c r="R9" s="4">
        <f>+Table1368[[#This Row],[Summer PLC (MW)]]-O9</f>
        <v>5</v>
      </c>
      <c r="T9" s="4">
        <v>6</v>
      </c>
      <c r="U9" s="4" t="s">
        <v>79</v>
      </c>
      <c r="V9" s="4" t="s">
        <v>79</v>
      </c>
      <c r="W9" s="41">
        <f>+Table1368[[#This Row],[Weather Adjusted Winter Peak Load (MW)]]-T9</f>
        <v>6.6000000000000014</v>
      </c>
    </row>
    <row r="10" spans="1:23">
      <c r="A10" s="4">
        <v>3</v>
      </c>
      <c r="B10" s="3" t="s">
        <v>10</v>
      </c>
      <c r="C10" s="4">
        <v>10</v>
      </c>
      <c r="D10" s="4" t="s">
        <v>78</v>
      </c>
      <c r="E10" s="4">
        <v>5</v>
      </c>
      <c r="F10" s="4">
        <f>+Table1368[[#This Row],[Summer PLC (MW)]]-Table1368[[#This Row],[Summer FSL (MW)]]</f>
        <v>5</v>
      </c>
      <c r="G10" s="4">
        <v>10</v>
      </c>
      <c r="H10" s="4">
        <v>1.05</v>
      </c>
      <c r="I10" s="4">
        <f>+Table1368[[#This Row],[Winter Peak Load (MW)]]*Table1368[[#This Row],[Winter Weather Adjustment Factor]]</f>
        <v>10.5</v>
      </c>
      <c r="J10" s="42" t="s">
        <v>79</v>
      </c>
      <c r="K10" s="4">
        <v>5.5</v>
      </c>
      <c r="L10" s="19">
        <f>+Table1368[[#This Row],[Weather Adjusted Winter Peak Load (MW)]]-Table1368[[#This Row],[Winter FSL (MW)]]</f>
        <v>5</v>
      </c>
      <c r="M10" s="4"/>
      <c r="O10" s="12">
        <v>5</v>
      </c>
      <c r="P10" s="12" t="s">
        <v>79</v>
      </c>
      <c r="Q10" s="12" t="s">
        <v>79</v>
      </c>
      <c r="R10" s="12">
        <f>+Table1368[[#This Row],[Summer PLC (MW)]]-O10</f>
        <v>5</v>
      </c>
      <c r="T10" s="12">
        <v>5</v>
      </c>
      <c r="U10" s="12" t="s">
        <v>79</v>
      </c>
      <c r="V10" s="12" t="s">
        <v>79</v>
      </c>
      <c r="W10" s="44">
        <f>+Table1368[[#This Row],[Weather Adjusted Winter Peak Load (MW)]]-T10</f>
        <v>5.5</v>
      </c>
    </row>
    <row r="11" spans="1:23">
      <c r="A11" s="4">
        <v>4</v>
      </c>
      <c r="B11" s="23" t="s">
        <v>11</v>
      </c>
      <c r="C11" s="22">
        <v>10</v>
      </c>
      <c r="D11" s="22" t="s">
        <v>78</v>
      </c>
      <c r="E11" s="22">
        <v>4</v>
      </c>
      <c r="F11" s="22">
        <f>+Table1368[[#This Row],[Summer PLC (MW)]]-Table1368[[#This Row],[Summer FSL (MW)]]</f>
        <v>6</v>
      </c>
      <c r="G11" s="22">
        <v>6</v>
      </c>
      <c r="H11" s="22">
        <v>1.05</v>
      </c>
      <c r="I11" s="22">
        <f>+Table1368[[#This Row],[Winter Peak Load (MW)]]*Table1368[[#This Row],[Winter Weather Adjustment Factor]]</f>
        <v>6.3000000000000007</v>
      </c>
      <c r="J11" s="49" t="s">
        <v>79</v>
      </c>
      <c r="K11" s="22">
        <v>6.3</v>
      </c>
      <c r="L11" s="50">
        <f>+Table1368[[#This Row],[Weather Adjusted Winter Peak Load (MW)]]-Table1368[[#This Row],[Winter FSL (MW)]]</f>
        <v>0</v>
      </c>
      <c r="M11" s="22"/>
      <c r="N11" s="21"/>
      <c r="O11" s="22">
        <v>3</v>
      </c>
      <c r="P11" s="22" t="s">
        <v>79</v>
      </c>
      <c r="Q11" s="22" t="s">
        <v>79</v>
      </c>
      <c r="R11" s="22">
        <f>+Table1368[[#This Row],[Summer PLC (MW)]]-O11</f>
        <v>7</v>
      </c>
      <c r="S11" s="21"/>
      <c r="T11" s="22">
        <v>6.3</v>
      </c>
      <c r="U11" s="22" t="s">
        <v>79</v>
      </c>
      <c r="V11" s="22" t="s">
        <v>79</v>
      </c>
      <c r="W11" s="48">
        <f>+Table1368[[#This Row],[Weather Adjusted Winter Peak Load (MW)]]-T11</f>
        <v>0</v>
      </c>
    </row>
    <row r="12" spans="1:23">
      <c r="A12" s="4">
        <v>5</v>
      </c>
      <c r="B12" s="58" t="s">
        <v>12</v>
      </c>
      <c r="C12" s="59">
        <v>1</v>
      </c>
      <c r="D12" s="59" t="s">
        <v>78</v>
      </c>
      <c r="E12" s="59">
        <v>0</v>
      </c>
      <c r="F12" s="59">
        <f>+Table1368[[#This Row],[Summer PLC (MW)]]-Table1368[[#This Row],[Summer FSL (MW)]]</f>
        <v>1</v>
      </c>
      <c r="G12" s="59">
        <v>12</v>
      </c>
      <c r="H12" s="59">
        <v>1.05</v>
      </c>
      <c r="I12" s="59">
        <f>+Table1368[[#This Row],[Winter Peak Load (MW)]]*Table1368[[#This Row],[Winter Weather Adjustment Factor]]</f>
        <v>12.600000000000001</v>
      </c>
      <c r="J12" s="60" t="s">
        <v>79</v>
      </c>
      <c r="K12" s="59">
        <v>6.6</v>
      </c>
      <c r="L12" s="61">
        <f>+Table1368[[#This Row],[Weather Adjusted Winter Peak Load (MW)]]-Table1368[[#This Row],[Winter FSL (MW)]]</f>
        <v>6.0000000000000018</v>
      </c>
      <c r="M12" s="62"/>
      <c r="N12" s="63"/>
      <c r="O12" s="59">
        <v>1</v>
      </c>
      <c r="P12" s="59" t="s">
        <v>79</v>
      </c>
      <c r="Q12" s="59" t="s">
        <v>79</v>
      </c>
      <c r="R12" s="59">
        <f>+Table1368[[#This Row],[Summer PLC (MW)]]-O12</f>
        <v>0</v>
      </c>
      <c r="S12" s="63"/>
      <c r="T12" s="59">
        <v>5.6</v>
      </c>
      <c r="U12" s="59" t="s">
        <v>79</v>
      </c>
      <c r="V12" s="59" t="s">
        <v>79</v>
      </c>
      <c r="W12" s="64">
        <f>+Table1368[[#This Row],[Weather Adjusted Winter Peak Load (MW)]]-T12</f>
        <v>7.0000000000000018</v>
      </c>
    </row>
    <row r="13" spans="1:23">
      <c r="A13" s="18" t="s">
        <v>32</v>
      </c>
      <c r="B13" s="8"/>
      <c r="C13" s="5">
        <f>SUM(Table1368[Summer PLC (MW)])</f>
        <v>41</v>
      </c>
      <c r="D13" s="43"/>
      <c r="E13" s="67">
        <f>SUM(Table1368[Summer FSL (MW)])</f>
        <v>19</v>
      </c>
      <c r="F13" s="67">
        <f>SUM(Table1368[Summer Nominated PRD Value (MW)])</f>
        <v>22</v>
      </c>
      <c r="G13" s="67"/>
      <c r="H13" s="41"/>
      <c r="I13" s="67">
        <f>SUM(Table1368[Weather Adjusted Winter Peak Load (MW)])</f>
        <v>50.4</v>
      </c>
      <c r="J13" s="67"/>
      <c r="K13" s="67">
        <f>SUM(Table1368[Winter FSL (MW)])</f>
        <v>28.4</v>
      </c>
      <c r="L13" s="68">
        <f>+Table1368[[#Totals],[Weather Adjusted Winter Peak Load (MW)]]-Table1368[[#Totals],[Winter FSL (MW)]]</f>
        <v>22</v>
      </c>
      <c r="M13" s="67">
        <f>MIN(Table1368[[#Totals],[Summer Nominated PRD Value (MW)]],Table1368[[#Totals],[Winter Nominated PRD Value (MW)]])</f>
        <v>22</v>
      </c>
      <c r="N13" s="69"/>
      <c r="O13" s="41"/>
      <c r="P13" s="41"/>
      <c r="Q13" s="41"/>
      <c r="R13" s="47">
        <f>SUM(R8:R12)</f>
        <v>22</v>
      </c>
      <c r="S13" s="69"/>
      <c r="T13" s="41"/>
      <c r="U13" s="41"/>
      <c r="V13" s="41"/>
      <c r="W13" s="47">
        <f>SUM(W8:W12)</f>
        <v>22.000000000000004</v>
      </c>
    </row>
    <row r="14" spans="1:23" ht="13.7" customHeight="1">
      <c r="A14" s="15" t="s">
        <v>23</v>
      </c>
    </row>
    <row r="15" spans="1:23" ht="13.7" customHeight="1">
      <c r="A15" s="14">
        <v>1</v>
      </c>
      <c r="B15" s="17" t="s">
        <v>24</v>
      </c>
    </row>
    <row r="16" spans="1:23" ht="13.7" customHeight="1">
      <c r="A16" s="14">
        <v>4</v>
      </c>
      <c r="B16" s="10" t="s">
        <v>25</v>
      </c>
    </row>
    <row r="17" spans="1:2" ht="13.7" customHeight="1">
      <c r="A17" s="14">
        <v>5</v>
      </c>
      <c r="B17" s="9" t="s">
        <v>26</v>
      </c>
    </row>
    <row r="18" spans="1:2" ht="13.7" customHeight="1">
      <c r="A18" s="14">
        <v>9</v>
      </c>
      <c r="B18" t="s">
        <v>38</v>
      </c>
    </row>
    <row r="19" spans="1:2" ht="13.7" customHeight="1">
      <c r="A19" s="14" t="s">
        <v>62</v>
      </c>
      <c r="B19" t="s">
        <v>76</v>
      </c>
    </row>
    <row r="20" spans="1:2" ht="13.7" customHeight="1">
      <c r="A20" s="14" t="s">
        <v>64</v>
      </c>
      <c r="B20" t="s">
        <v>77</v>
      </c>
    </row>
    <row r="21" spans="1:2" ht="13.7" customHeight="1">
      <c r="A21" s="14" t="s">
        <v>83</v>
      </c>
      <c r="B21" t="s">
        <v>94</v>
      </c>
    </row>
    <row r="22" spans="1:2" ht="13.7" customHeight="1">
      <c r="A22" s="14"/>
    </row>
    <row r="23" spans="1:2">
      <c r="A23" s="14"/>
    </row>
    <row r="24" spans="1:2">
      <c r="A24" s="16" t="s">
        <v>31</v>
      </c>
      <c r="B24" s="9"/>
    </row>
    <row r="25" spans="1:2">
      <c r="A25" t="s">
        <v>27</v>
      </c>
    </row>
    <row r="26" spans="1:2">
      <c r="A26" s="9" t="s">
        <v>28</v>
      </c>
    </row>
    <row r="27" spans="1:2">
      <c r="A27" s="9" t="s">
        <v>29</v>
      </c>
    </row>
    <row r="28" spans="1:2">
      <c r="A28" s="9" t="s">
        <v>30</v>
      </c>
    </row>
    <row r="29" spans="1:2">
      <c r="A29" t="s">
        <v>76</v>
      </c>
    </row>
    <row r="30" spans="1:2">
      <c r="A30" t="s">
        <v>77</v>
      </c>
    </row>
  </sheetData>
  <mergeCells count="2">
    <mergeCell ref="O5:R5"/>
    <mergeCell ref="T5:W5"/>
  </mergeCells>
  <pageMargins left="0.45" right="0.45" top="0.75" bottom="0.75" header="0.3" footer="0.3"/>
  <pageSetup scale="7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topLeftCell="E2" zoomScale="95" zoomScaleNormal="95" workbookViewId="0">
      <selection activeCell="M16" sqref="M16"/>
    </sheetView>
  </sheetViews>
  <sheetFormatPr defaultRowHeight="15"/>
  <cols>
    <col min="1" max="1" width="9.7109375" customWidth="1"/>
    <col min="2" max="2" width="35.140625" customWidth="1"/>
    <col min="3" max="3" width="9.85546875" bestFit="1" customWidth="1"/>
    <col min="4" max="4" width="11.85546875" customWidth="1"/>
    <col min="5" max="5" width="11.7109375" customWidth="1"/>
    <col min="6" max="6" width="14" customWidth="1"/>
    <col min="7" max="7" width="12.42578125" customWidth="1"/>
    <col min="8" max="8" width="13.140625" customWidth="1"/>
    <col min="9" max="9" width="12.5703125" customWidth="1"/>
    <col min="10" max="10" width="18" customWidth="1"/>
    <col min="11" max="11" width="10.7109375" customWidth="1"/>
    <col min="12" max="13" width="12.42578125" customWidth="1"/>
    <col min="14" max="14" width="1.5703125" customWidth="1"/>
    <col min="18" max="18" width="11.5703125" customWidth="1"/>
    <col min="19" max="19" width="2.42578125" customWidth="1"/>
    <col min="23" max="23" width="11.140625" customWidth="1"/>
  </cols>
  <sheetData>
    <row r="1" spans="1:23" ht="15.75">
      <c r="A1" s="1" t="s">
        <v>85</v>
      </c>
      <c r="B1" s="1"/>
      <c r="T1" s="13"/>
      <c r="U1" s="13"/>
      <c r="V1" s="13"/>
    </row>
    <row r="2" spans="1:23" ht="15.75">
      <c r="A2" s="1"/>
      <c r="B2" s="1"/>
      <c r="O2" s="13"/>
      <c r="P2" s="13"/>
      <c r="Q2" s="13"/>
      <c r="T2" s="13"/>
      <c r="U2" s="13"/>
      <c r="V2" s="13"/>
    </row>
    <row r="3" spans="1:23" ht="15.75">
      <c r="A3" s="31"/>
      <c r="B3" s="1"/>
      <c r="O3" s="13"/>
      <c r="P3" s="13"/>
      <c r="Q3" s="13"/>
      <c r="T3" s="13"/>
      <c r="U3" s="13"/>
      <c r="V3" s="13"/>
    </row>
    <row r="4" spans="1:23" ht="15.75">
      <c r="A4" s="1"/>
      <c r="B4" s="29"/>
      <c r="O4" s="13"/>
      <c r="P4" s="13"/>
      <c r="Q4" s="13"/>
      <c r="T4" s="13"/>
      <c r="U4" s="13"/>
      <c r="V4" s="13"/>
    </row>
    <row r="5" spans="1:23" ht="15.75">
      <c r="A5" s="1"/>
      <c r="B5" s="29"/>
      <c r="O5" s="70" t="s">
        <v>18</v>
      </c>
      <c r="P5" s="70"/>
      <c r="Q5" s="70"/>
      <c r="R5" s="70"/>
      <c r="T5" s="70" t="s">
        <v>21</v>
      </c>
      <c r="U5" s="70"/>
      <c r="V5" s="70"/>
      <c r="W5" s="70"/>
    </row>
    <row r="6" spans="1:23" ht="45">
      <c r="C6" s="2" t="s">
        <v>4</v>
      </c>
      <c r="D6" s="2" t="s">
        <v>62</v>
      </c>
      <c r="E6" s="2" t="s">
        <v>5</v>
      </c>
      <c r="F6" s="2" t="s">
        <v>63</v>
      </c>
      <c r="G6" s="2" t="s">
        <v>6</v>
      </c>
      <c r="H6" s="2" t="s">
        <v>14</v>
      </c>
      <c r="I6" s="2" t="s">
        <v>15</v>
      </c>
      <c r="J6" s="2" t="s">
        <v>64</v>
      </c>
      <c r="K6" s="2" t="s">
        <v>37</v>
      </c>
      <c r="L6" s="2" t="s">
        <v>81</v>
      </c>
      <c r="M6" s="11" t="s">
        <v>36</v>
      </c>
      <c r="O6" s="2" t="s">
        <v>22</v>
      </c>
      <c r="P6" s="2" t="s">
        <v>71</v>
      </c>
      <c r="Q6" s="11" t="s">
        <v>72</v>
      </c>
      <c r="R6" s="11" t="s">
        <v>73</v>
      </c>
      <c r="T6" s="2" t="s">
        <v>40</v>
      </c>
      <c r="U6" s="2" t="s">
        <v>74</v>
      </c>
      <c r="V6" s="11" t="s">
        <v>75</v>
      </c>
      <c r="W6" s="11" t="s">
        <v>97</v>
      </c>
    </row>
    <row r="7" spans="1:23" ht="60">
      <c r="A7" s="7" t="s">
        <v>33</v>
      </c>
      <c r="B7" s="6" t="s">
        <v>9</v>
      </c>
      <c r="C7" s="6" t="s">
        <v>0</v>
      </c>
      <c r="D7" s="6" t="s">
        <v>66</v>
      </c>
      <c r="E7" s="6" t="s">
        <v>68</v>
      </c>
      <c r="F7" s="6" t="s">
        <v>90</v>
      </c>
      <c r="G7" s="6" t="s">
        <v>16</v>
      </c>
      <c r="H7" s="6" t="s">
        <v>13</v>
      </c>
      <c r="I7" s="6" t="s">
        <v>17</v>
      </c>
      <c r="J7" s="6" t="s">
        <v>65</v>
      </c>
      <c r="K7" s="6" t="s">
        <v>82</v>
      </c>
      <c r="L7" s="20" t="s">
        <v>91</v>
      </c>
      <c r="M7" s="20" t="s">
        <v>89</v>
      </c>
      <c r="O7" s="7" t="s">
        <v>19</v>
      </c>
      <c r="P7" s="7" t="s">
        <v>69</v>
      </c>
      <c r="Q7" s="7" t="s">
        <v>70</v>
      </c>
      <c r="R7" s="7" t="s">
        <v>20</v>
      </c>
      <c r="T7" s="7" t="s">
        <v>19</v>
      </c>
      <c r="U7" s="7" t="s">
        <v>69</v>
      </c>
      <c r="V7" s="7" t="s">
        <v>70</v>
      </c>
      <c r="W7" s="7" t="s">
        <v>20</v>
      </c>
    </row>
    <row r="8" spans="1:23">
      <c r="A8" s="4">
        <v>1</v>
      </c>
      <c r="B8" s="3" t="s">
        <v>2</v>
      </c>
      <c r="C8" s="4">
        <v>10</v>
      </c>
      <c r="D8" s="4">
        <f>+Table13689[[#This Row],[Summer PLC (MW)]]*1.02</f>
        <v>10.199999999999999</v>
      </c>
      <c r="E8" s="4">
        <v>5</v>
      </c>
      <c r="F8" s="4">
        <f>+Table13689[[#This Row],[Expected Summer Peak Load (MW)]]-Table13689[[#This Row],[Summer MESL (MW)]]</f>
        <v>5.1999999999999993</v>
      </c>
      <c r="G8" s="4">
        <v>8</v>
      </c>
      <c r="H8" s="4">
        <v>1.05</v>
      </c>
      <c r="I8" s="4">
        <f>+Table13689[[#This Row],[Winter Peak Load (MW)]]*Table13689[[#This Row],[Winter Weather Adjustment Factor]]</f>
        <v>8.4</v>
      </c>
      <c r="J8" s="42">
        <f>+Table13689[[#This Row],[Weather Adjusted Winter Peak Load (MW)]]*1.02</f>
        <v>8.5680000000000014</v>
      </c>
      <c r="K8" s="4">
        <v>5</v>
      </c>
      <c r="L8" s="46">
        <f>+Table13689[[#This Row],[Expected Weather Adjusted Winter Peak Load (MW)]]-Table13689[[#This Row],[Winter MESL (MW)]]</f>
        <v>3.5680000000000014</v>
      </c>
      <c r="M8" s="19"/>
      <c r="O8" s="12">
        <v>5</v>
      </c>
      <c r="P8" s="12">
        <v>0.05</v>
      </c>
      <c r="Q8" s="44">
        <f>+E8*P8</f>
        <v>0.25</v>
      </c>
      <c r="R8" s="45">
        <f>+Table13689[[#This Row],[Expected Summer Peak Load (MW)]]-O8+Q8</f>
        <v>5.4499999999999993</v>
      </c>
      <c r="T8" s="12">
        <v>5.5</v>
      </c>
      <c r="U8" s="12">
        <v>0.06</v>
      </c>
      <c r="V8" s="44">
        <f>+U8*K8</f>
        <v>0.3</v>
      </c>
      <c r="W8" s="44">
        <f>+Table13689[[#This Row],[Expected Weather Adjusted Winter Peak Load (MW)]]-T8+V8</f>
        <v>3.3680000000000012</v>
      </c>
    </row>
    <row r="9" spans="1:23">
      <c r="A9" s="4">
        <v>2</v>
      </c>
      <c r="B9" s="3" t="s">
        <v>3</v>
      </c>
      <c r="C9" s="4">
        <v>10</v>
      </c>
      <c r="D9" s="4">
        <f>+Table13689[[#This Row],[Summer PLC (MW)]]*1.02</f>
        <v>10.199999999999999</v>
      </c>
      <c r="E9" s="4">
        <v>5</v>
      </c>
      <c r="F9" s="4">
        <f>+Table13689[[#This Row],[Expected Summer Peak Load (MW)]]-Table13689[[#This Row],[Summer MESL (MW)]]</f>
        <v>5.1999999999999993</v>
      </c>
      <c r="G9" s="4">
        <v>12</v>
      </c>
      <c r="H9" s="4">
        <v>1.05</v>
      </c>
      <c r="I9" s="4">
        <f>+Table13689[[#This Row],[Winter Peak Load (MW)]]*Table13689[[#This Row],[Winter Weather Adjustment Factor]]</f>
        <v>12.600000000000001</v>
      </c>
      <c r="J9" s="42">
        <f>+Table13689[[#This Row],[Weather Adjusted Winter Peak Load (MW)]]*1.02</f>
        <v>12.852000000000002</v>
      </c>
      <c r="K9" s="4">
        <v>5</v>
      </c>
      <c r="L9" s="46">
        <f>+Table13689[[#This Row],[Expected Weather Adjusted Winter Peak Load (MW)]]-Table13689[[#This Row],[Winter MESL (MW)]]</f>
        <v>7.8520000000000021</v>
      </c>
      <c r="M9" s="4"/>
      <c r="O9" s="4">
        <v>5</v>
      </c>
      <c r="P9" s="4">
        <v>0.05</v>
      </c>
      <c r="Q9" s="44">
        <f>+E9*P9</f>
        <v>0.25</v>
      </c>
      <c r="R9" s="4">
        <f>+Table13689[[#This Row],[Expected Summer Peak Load (MW)]]-O9+Q9</f>
        <v>5.4499999999999993</v>
      </c>
      <c r="T9" s="4">
        <v>6</v>
      </c>
      <c r="U9" s="4">
        <v>0.06</v>
      </c>
      <c r="V9" s="44">
        <f t="shared" ref="V9:V11" si="0">+U9*K9</f>
        <v>0.3</v>
      </c>
      <c r="W9" s="41">
        <f>+Table13689[[#This Row],[Expected Weather Adjusted Winter Peak Load (MW)]]-T9+V9</f>
        <v>7.1520000000000019</v>
      </c>
    </row>
    <row r="10" spans="1:23">
      <c r="A10" s="4">
        <v>3</v>
      </c>
      <c r="B10" s="3" t="s">
        <v>10</v>
      </c>
      <c r="C10" s="4">
        <v>10</v>
      </c>
      <c r="D10" s="4">
        <f>+Table13689[[#This Row],[Summer PLC (MW)]]*1.02</f>
        <v>10.199999999999999</v>
      </c>
      <c r="E10" s="4">
        <v>5</v>
      </c>
      <c r="F10" s="4">
        <f>+Table13689[[#This Row],[Expected Summer Peak Load (MW)]]-Table13689[[#This Row],[Summer MESL (MW)]]</f>
        <v>5.1999999999999993</v>
      </c>
      <c r="G10" s="4">
        <v>10</v>
      </c>
      <c r="H10" s="4">
        <v>1.05</v>
      </c>
      <c r="I10" s="4">
        <f>+Table13689[[#This Row],[Winter Peak Load (MW)]]*Table13689[[#This Row],[Winter Weather Adjustment Factor]]</f>
        <v>10.5</v>
      </c>
      <c r="J10" s="42">
        <f>+Table13689[[#This Row],[Weather Adjusted Winter Peak Load (MW)]]*1.02</f>
        <v>10.71</v>
      </c>
      <c r="K10" s="4">
        <v>5.5</v>
      </c>
      <c r="L10" s="46">
        <f>+Table13689[[#This Row],[Expected Weather Adjusted Winter Peak Load (MW)]]-Table13689[[#This Row],[Winter MESL (MW)]]</f>
        <v>5.2100000000000009</v>
      </c>
      <c r="M10" s="4"/>
      <c r="O10" s="12">
        <v>5</v>
      </c>
      <c r="P10" s="12">
        <v>0.05</v>
      </c>
      <c r="Q10" s="44">
        <f>+E10*P10</f>
        <v>0.25</v>
      </c>
      <c r="R10" s="12">
        <f>+Table13689[[#This Row],[Expected Summer Peak Load (MW)]]-O10+Q10</f>
        <v>5.4499999999999993</v>
      </c>
      <c r="T10" s="12">
        <v>5</v>
      </c>
      <c r="U10" s="12">
        <v>0.06</v>
      </c>
      <c r="V10" s="44">
        <f t="shared" si="0"/>
        <v>0.32999999999999996</v>
      </c>
      <c r="W10" s="44">
        <f>+Table13689[[#This Row],[Expected Weather Adjusted Winter Peak Load (MW)]]-T10+V10</f>
        <v>6.0400000000000009</v>
      </c>
    </row>
    <row r="11" spans="1:23">
      <c r="A11" s="4">
        <v>4</v>
      </c>
      <c r="B11" s="23" t="s">
        <v>11</v>
      </c>
      <c r="C11" s="22">
        <v>10</v>
      </c>
      <c r="D11" s="22">
        <f>+Table13689[[#This Row],[Summer PLC (MW)]]*1.02</f>
        <v>10.199999999999999</v>
      </c>
      <c r="E11" s="22">
        <v>4</v>
      </c>
      <c r="F11" s="22">
        <f>+Table13689[[#This Row],[Expected Summer Peak Load (MW)]]-Table13689[[#This Row],[Summer MESL (MW)]]</f>
        <v>6.1999999999999993</v>
      </c>
      <c r="G11" s="22">
        <v>6</v>
      </c>
      <c r="H11" s="22">
        <v>1.05</v>
      </c>
      <c r="I11" s="22">
        <f>+Table13689[[#This Row],[Winter Peak Load (MW)]]*Table13689[[#This Row],[Winter Weather Adjustment Factor]]</f>
        <v>6.3000000000000007</v>
      </c>
      <c r="J11" s="49">
        <f>+Table13689[[#This Row],[Weather Adjusted Winter Peak Load (MW)]]*1.02</f>
        <v>6.426000000000001</v>
      </c>
      <c r="K11" s="22">
        <v>6.3</v>
      </c>
      <c r="L11" s="65">
        <f>+Table13689[[#This Row],[Expected Weather Adjusted Winter Peak Load (MW)]]-Table13689[[#This Row],[Winter MESL (MW)]]</f>
        <v>0.12600000000000122</v>
      </c>
      <c r="M11" s="22"/>
      <c r="N11" s="21"/>
      <c r="O11" s="22">
        <v>3</v>
      </c>
      <c r="P11" s="22">
        <v>0.05</v>
      </c>
      <c r="Q11" s="22">
        <f>+E11*P11</f>
        <v>0.2</v>
      </c>
      <c r="R11" s="22">
        <f>+Table13689[[#This Row],[Expected Summer Peak Load (MW)]]-O11+Q11</f>
        <v>7.3999999999999995</v>
      </c>
      <c r="S11" s="21"/>
      <c r="T11" s="22">
        <v>6.3</v>
      </c>
      <c r="U11" s="22">
        <v>0.06</v>
      </c>
      <c r="V11" s="22">
        <f t="shared" si="0"/>
        <v>0.378</v>
      </c>
      <c r="W11" s="48">
        <f>+Table13689[[#This Row],[Expected Weather Adjusted Winter Peak Load (MW)]]-T11+V11</f>
        <v>0.50400000000000122</v>
      </c>
    </row>
    <row r="12" spans="1:23">
      <c r="A12" s="4">
        <v>5</v>
      </c>
      <c r="B12" s="58" t="s">
        <v>12</v>
      </c>
      <c r="C12" s="59">
        <v>1</v>
      </c>
      <c r="D12" s="59">
        <f>+Table13689[[#This Row],[Summer PLC (MW)]]*1.02</f>
        <v>1.02</v>
      </c>
      <c r="E12" s="59">
        <v>0</v>
      </c>
      <c r="F12" s="59">
        <f>+Table13689[[#This Row],[Expected Summer Peak Load (MW)]]-Table13689[[#This Row],[Summer MESL (MW)]]</f>
        <v>1.02</v>
      </c>
      <c r="G12" s="59">
        <v>12</v>
      </c>
      <c r="H12" s="59">
        <v>1.05</v>
      </c>
      <c r="I12" s="59">
        <f>+Table13689[[#This Row],[Winter Peak Load (MW)]]*Table13689[[#This Row],[Winter Weather Adjustment Factor]]</f>
        <v>12.600000000000001</v>
      </c>
      <c r="J12" s="60">
        <f>+Table13689[[#This Row],[Weather Adjusted Winter Peak Load (MW)]]*1.02</f>
        <v>12.852000000000002</v>
      </c>
      <c r="K12" s="59">
        <v>6.8</v>
      </c>
      <c r="L12" s="66">
        <f>+Table13689[[#This Row],[Expected Weather Adjusted Winter Peak Load (MW)]]-Table13689[[#This Row],[Winter MESL (MW)]]</f>
        <v>6.0520000000000023</v>
      </c>
      <c r="M12" s="62"/>
      <c r="N12" s="63"/>
      <c r="O12" s="59">
        <v>1</v>
      </c>
      <c r="P12" s="59">
        <v>0.05</v>
      </c>
      <c r="Q12" s="59">
        <f>+E12*P12</f>
        <v>0</v>
      </c>
      <c r="R12" s="44">
        <f>+F12*Q12</f>
        <v>0</v>
      </c>
      <c r="S12" s="63"/>
      <c r="T12" s="59">
        <v>5.6</v>
      </c>
      <c r="U12" s="59">
        <v>0.06</v>
      </c>
      <c r="V12" s="59">
        <f>+U12*K12</f>
        <v>0.40799999999999997</v>
      </c>
      <c r="W12" s="64">
        <f>+Table13689[[#This Row],[Expected Weather Adjusted Winter Peak Load (MW)]]-T12+V12</f>
        <v>7.6600000000000028</v>
      </c>
    </row>
    <row r="13" spans="1:23">
      <c r="A13" s="18" t="s">
        <v>32</v>
      </c>
      <c r="B13" s="8"/>
      <c r="C13" s="67">
        <f>SUM(Table13689[Summer PLC (MW)])</f>
        <v>41</v>
      </c>
      <c r="D13" s="67">
        <f>SUM(Table13689[Expected Summer Peak Load (MW)])</f>
        <v>41.82</v>
      </c>
      <c r="E13" s="67">
        <f>SUM(Table13689[Summer MESL (MW)])</f>
        <v>19</v>
      </c>
      <c r="F13" s="67">
        <f>SUM(Table13689[Summer Nominated PRD Value (MW)])</f>
        <v>22.819999999999997</v>
      </c>
      <c r="G13" s="67"/>
      <c r="H13" s="41"/>
      <c r="I13" s="67">
        <f>SUM(Table13689[Weather Adjusted Winter Peak Load (MW)])</f>
        <v>50.4</v>
      </c>
      <c r="J13" s="67"/>
      <c r="K13" s="67">
        <f>SUM(Table13689[Winter MESL (MW)])</f>
        <v>28.6</v>
      </c>
      <c r="L13" s="68">
        <f>SUM(Table13689[Winter Nominated PRD Value (MW)])</f>
        <v>22.808000000000007</v>
      </c>
      <c r="M13" s="67">
        <f>MIN(Table13689[[#Totals],[Summer Nominated PRD Value (MW)]],Table13689[[#Totals],[Winter Nominated PRD Value (MW)]])</f>
        <v>22.808000000000007</v>
      </c>
      <c r="N13" s="69"/>
      <c r="O13" s="41"/>
      <c r="P13" s="41"/>
      <c r="Q13" s="47">
        <f>SUM(Q8:Q12)</f>
        <v>0.95</v>
      </c>
      <c r="R13" s="47">
        <f>SUM(R8:R12)</f>
        <v>23.749999999999996</v>
      </c>
      <c r="S13" s="69"/>
      <c r="T13" s="41"/>
      <c r="U13" s="41"/>
      <c r="V13" s="47">
        <f>SUM(V8:V12)</f>
        <v>1.7159999999999997</v>
      </c>
      <c r="W13" s="47">
        <f>SUM(W8:W12)</f>
        <v>24.724000000000007</v>
      </c>
    </row>
    <row r="14" spans="1:23" ht="13.7" customHeight="1">
      <c r="A14" s="15" t="s">
        <v>23</v>
      </c>
    </row>
    <row r="15" spans="1:23" ht="13.7" customHeight="1">
      <c r="A15" s="14">
        <v>1</v>
      </c>
      <c r="B15" s="17" t="s">
        <v>24</v>
      </c>
    </row>
    <row r="16" spans="1:23" ht="13.7" customHeight="1">
      <c r="A16" s="14">
        <v>4</v>
      </c>
      <c r="B16" s="10" t="s">
        <v>25</v>
      </c>
    </row>
    <row r="17" spans="1:2" ht="13.7" customHeight="1">
      <c r="A17" s="14">
        <v>5</v>
      </c>
      <c r="B17" s="9" t="s">
        <v>26</v>
      </c>
    </row>
    <row r="18" spans="1:2" ht="13.7" customHeight="1">
      <c r="A18" s="14">
        <v>9</v>
      </c>
      <c r="B18" t="s">
        <v>38</v>
      </c>
    </row>
    <row r="19" spans="1:2" ht="13.7" customHeight="1">
      <c r="A19" s="14" t="s">
        <v>62</v>
      </c>
      <c r="B19" t="s">
        <v>76</v>
      </c>
    </row>
    <row r="20" spans="1:2" ht="13.7" customHeight="1">
      <c r="A20" s="14" t="s">
        <v>64</v>
      </c>
      <c r="B20" t="s">
        <v>77</v>
      </c>
    </row>
    <row r="21" spans="1:2" ht="13.7" customHeight="1">
      <c r="A21" s="14" t="s">
        <v>83</v>
      </c>
      <c r="B21" t="s">
        <v>94</v>
      </c>
    </row>
    <row r="22" spans="1:2" ht="13.7" customHeight="1">
      <c r="A22" s="14"/>
    </row>
    <row r="23" spans="1:2" ht="13.7" customHeight="1">
      <c r="A23" s="14"/>
    </row>
    <row r="24" spans="1:2" ht="13.7" customHeight="1">
      <c r="A24" s="16" t="s">
        <v>31</v>
      </c>
      <c r="B24" s="9"/>
    </row>
    <row r="25" spans="1:2">
      <c r="A25" t="s">
        <v>27</v>
      </c>
    </row>
    <row r="26" spans="1:2">
      <c r="A26" s="9" t="s">
        <v>28</v>
      </c>
    </row>
    <row r="27" spans="1:2">
      <c r="A27" s="9" t="s">
        <v>29</v>
      </c>
    </row>
    <row r="28" spans="1:2">
      <c r="A28" s="9" t="s">
        <v>30</v>
      </c>
    </row>
    <row r="29" spans="1:2">
      <c r="A29" t="s">
        <v>76</v>
      </c>
    </row>
    <row r="30" spans="1:2">
      <c r="A30" t="s">
        <v>77</v>
      </c>
    </row>
  </sheetData>
  <mergeCells count="2">
    <mergeCell ref="O5:R5"/>
    <mergeCell ref="T5:W5"/>
  </mergeCells>
  <pageMargins left="0.45" right="0.45" top="0.75" bottom="0.75" header="0.3" footer="0.3"/>
  <pageSetup scale="7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workbookViewId="0">
      <selection activeCell="I28" sqref="I28"/>
    </sheetView>
  </sheetViews>
  <sheetFormatPr defaultRowHeight="15"/>
  <cols>
    <col min="1" max="1" width="41.42578125" customWidth="1"/>
    <col min="2" max="2" width="9.5703125" customWidth="1"/>
    <col min="3" max="3" width="12.7109375" customWidth="1"/>
    <col min="5" max="5" width="10.85546875" customWidth="1"/>
    <col min="7" max="7" width="10.5703125" bestFit="1" customWidth="1"/>
    <col min="8" max="8" width="4.85546875" customWidth="1"/>
  </cols>
  <sheetData>
    <row r="1" spans="1:5">
      <c r="A1" s="39" t="s">
        <v>56</v>
      </c>
      <c r="B1" s="38">
        <v>1</v>
      </c>
      <c r="C1" s="39">
        <v>2</v>
      </c>
      <c r="D1" s="38">
        <v>3</v>
      </c>
    </row>
    <row r="2" spans="1:5">
      <c r="A2" s="35" t="s">
        <v>45</v>
      </c>
      <c r="B2" s="38">
        <v>1</v>
      </c>
      <c r="C2" s="39">
        <v>1</v>
      </c>
      <c r="D2" s="38">
        <v>1</v>
      </c>
      <c r="E2" s="30"/>
    </row>
    <row r="3" spans="1:5">
      <c r="A3" s="35" t="s">
        <v>46</v>
      </c>
      <c r="B3" s="38">
        <v>4</v>
      </c>
      <c r="C3" s="39">
        <v>4</v>
      </c>
      <c r="D3" s="38">
        <v>4</v>
      </c>
    </row>
    <row r="4" spans="1:5">
      <c r="A4" s="24"/>
      <c r="B4" s="34"/>
      <c r="D4" s="34"/>
    </row>
    <row r="5" spans="1:5" ht="18.75">
      <c r="A5" s="28" t="s">
        <v>50</v>
      </c>
      <c r="B5" s="34"/>
      <c r="D5" s="34"/>
    </row>
    <row r="6" spans="1:5" ht="30">
      <c r="A6" s="35" t="s">
        <v>55</v>
      </c>
      <c r="B6" s="36">
        <v>150</v>
      </c>
      <c r="C6" s="37">
        <v>150</v>
      </c>
      <c r="D6" s="36">
        <v>150</v>
      </c>
    </row>
    <row r="7" spans="1:5">
      <c r="A7" s="35" t="s">
        <v>42</v>
      </c>
      <c r="B7" s="36">
        <f>+B6*0.2</f>
        <v>30</v>
      </c>
      <c r="C7" s="37">
        <f>+C6*0.2</f>
        <v>30</v>
      </c>
      <c r="D7" s="36">
        <f>+D6*0.2</f>
        <v>30</v>
      </c>
    </row>
    <row r="8" spans="1:5">
      <c r="A8" s="35" t="s">
        <v>43</v>
      </c>
      <c r="B8" s="36">
        <f>+B6+B7</f>
        <v>180</v>
      </c>
      <c r="C8" s="37">
        <f>+C6+C7</f>
        <v>180</v>
      </c>
      <c r="D8" s="36">
        <f>+D6+D7</f>
        <v>180</v>
      </c>
    </row>
    <row r="9" spans="1:5">
      <c r="A9" s="35" t="s">
        <v>44</v>
      </c>
      <c r="B9" s="38">
        <v>365</v>
      </c>
      <c r="C9" s="39">
        <v>365</v>
      </c>
      <c r="D9" s="38">
        <v>365</v>
      </c>
    </row>
    <row r="10" spans="1:5">
      <c r="A10" s="40" t="s">
        <v>58</v>
      </c>
      <c r="B10" s="36">
        <f>+B9*B8</f>
        <v>65700</v>
      </c>
      <c r="C10" s="37">
        <f>+C9*C8</f>
        <v>65700</v>
      </c>
      <c r="D10" s="36">
        <f>+D9*D8</f>
        <v>65700</v>
      </c>
      <c r="E10" t="s">
        <v>57</v>
      </c>
    </row>
    <row r="11" spans="1:5">
      <c r="A11" s="40" t="s">
        <v>47</v>
      </c>
      <c r="B11" s="36">
        <f>+B10*B2</f>
        <v>65700</v>
      </c>
      <c r="C11" s="39">
        <v>0</v>
      </c>
      <c r="D11" s="38">
        <v>0</v>
      </c>
      <c r="E11" s="26">
        <f>SUM(B11:D11)</f>
        <v>65700</v>
      </c>
    </row>
    <row r="12" spans="1:5">
      <c r="A12" s="17"/>
      <c r="B12" s="34"/>
      <c r="D12" s="34"/>
    </row>
    <row r="13" spans="1:5" ht="37.5">
      <c r="A13" s="27" t="s">
        <v>51</v>
      </c>
      <c r="B13" s="34"/>
      <c r="D13" s="34"/>
    </row>
    <row r="14" spans="1:5">
      <c r="A14" s="40" t="s">
        <v>59</v>
      </c>
      <c r="B14" s="36">
        <v>300</v>
      </c>
      <c r="C14" s="37">
        <v>300</v>
      </c>
      <c r="D14" s="36">
        <v>300</v>
      </c>
    </row>
    <row r="15" spans="1:5">
      <c r="A15" s="40" t="s">
        <v>44</v>
      </c>
      <c r="B15" s="38">
        <v>365</v>
      </c>
      <c r="C15" s="39">
        <v>365</v>
      </c>
      <c r="D15" s="38">
        <v>365</v>
      </c>
    </row>
    <row r="16" spans="1:5">
      <c r="A16" s="40" t="s">
        <v>60</v>
      </c>
      <c r="B16" s="38">
        <v>30</v>
      </c>
      <c r="C16" s="39">
        <v>30</v>
      </c>
      <c r="D16" s="38">
        <v>30</v>
      </c>
    </row>
    <row r="17" spans="1:8">
      <c r="A17" s="40" t="s">
        <v>61</v>
      </c>
      <c r="B17" s="36">
        <f>+B14*B15/B16</f>
        <v>3650</v>
      </c>
      <c r="C17" s="37">
        <f>+C14*C15/C16</f>
        <v>3650</v>
      </c>
      <c r="D17" s="36">
        <f>+D14*D15/D16</f>
        <v>3650</v>
      </c>
      <c r="E17" t="s">
        <v>57</v>
      </c>
    </row>
    <row r="18" spans="1:8">
      <c r="A18" s="40" t="s">
        <v>47</v>
      </c>
      <c r="B18" s="36">
        <f>+B17*B2*B3</f>
        <v>14600</v>
      </c>
      <c r="C18" s="37">
        <f>+C17*C2*C3</f>
        <v>14600</v>
      </c>
      <c r="D18" s="36">
        <f>+D17*D2*D3</f>
        <v>14600</v>
      </c>
      <c r="E18" s="26">
        <f>SUM(B18:D18)</f>
        <v>43800</v>
      </c>
    </row>
    <row r="19" spans="1:8">
      <c r="A19" s="24"/>
      <c r="B19" s="25"/>
    </row>
    <row r="20" spans="1:8">
      <c r="A20" s="32" t="s">
        <v>54</v>
      </c>
      <c r="B20" s="17"/>
      <c r="C20" s="17"/>
      <c r="D20" s="17"/>
      <c r="E20" s="17"/>
      <c r="F20" s="17"/>
      <c r="G20" s="17"/>
      <c r="H20" s="17"/>
    </row>
    <row r="21" spans="1:8" ht="29.25" customHeight="1">
      <c r="A21" s="71" t="s">
        <v>48</v>
      </c>
      <c r="B21" s="71"/>
      <c r="C21" s="71"/>
      <c r="D21" s="71"/>
      <c r="E21" s="71"/>
      <c r="F21" s="71"/>
      <c r="G21" s="71"/>
      <c r="H21" s="71"/>
    </row>
    <row r="22" spans="1:8" ht="45.95" customHeight="1">
      <c r="A22" s="71" t="s">
        <v>49</v>
      </c>
      <c r="B22" s="71"/>
      <c r="C22" s="71"/>
      <c r="D22" s="71"/>
      <c r="E22" s="71"/>
      <c r="F22" s="71"/>
      <c r="G22" s="71"/>
      <c r="H22" s="71"/>
    </row>
    <row r="23" spans="1:8" ht="15" customHeight="1">
      <c r="A23" s="33" t="s">
        <v>53</v>
      </c>
      <c r="B23" s="33"/>
      <c r="C23" s="33"/>
      <c r="D23" s="33"/>
      <c r="E23" s="33"/>
      <c r="F23" s="33"/>
      <c r="G23" s="33"/>
      <c r="H23" s="33"/>
    </row>
    <row r="24" spans="1:8">
      <c r="A24" s="10" t="s">
        <v>52</v>
      </c>
      <c r="B24" s="17"/>
      <c r="C24" s="17"/>
      <c r="D24" s="17"/>
      <c r="E24" s="17"/>
      <c r="F24" s="17"/>
      <c r="G24" s="17"/>
      <c r="H24" s="17"/>
    </row>
  </sheetData>
  <mergeCells count="2">
    <mergeCell ref="A21:H21"/>
    <mergeCell ref="A22:H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PRD_RegNom_MV_StatusQuo</vt:lpstr>
      <vt:lpstr>PRD_RegNom_MV_PJMProposed</vt:lpstr>
      <vt:lpstr>PRD_RegNom_MV_WhiskerProposed</vt:lpstr>
      <vt:lpstr>PRD_penaltyrate</vt:lpstr>
      <vt:lpstr>PRD_RegNom_MV_PJMProposed!Print_Area</vt:lpstr>
      <vt:lpstr>PRD_RegNom_MV_StatusQuo!Print_Area</vt:lpstr>
      <vt:lpstr>PRD_RegNom_MV_WhiskerProposed!Print_Area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2017-11-01T20:21:28Z</dcterms:modified>
</cp:coreProperties>
</file>